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DD8F3FD4-960D-434D-A67A-1E78533947D5}" xr6:coauthVersionLast="47" xr6:coauthVersionMax="47" xr10:uidLastSave="{00000000-0000-0000-0000-000000000000}"/>
  <bookViews>
    <workbookView xWindow="768" yWindow="636" windowWidth="17472" windowHeight="15768" tabRatio="870"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Common Variables" sheetId="8" r:id="rId19"/>
  </sheets>
  <definedNames>
    <definedName name="_xlnm._FilterDatabase" localSheetId="16" hidden="1">'BJCP Guidelines'!$A$1:$K$120</definedName>
    <definedName name="_xlnm._FilterDatabase" localSheetId="4" hidden="1">'Grain &amp; Sugar Calcs'!$B$2:$N$17</definedName>
    <definedName name="_xlnm._FilterDatabase" localSheetId="8" hidden="1">'Grain &amp; Sugar List'!$A$1:$X$242</definedName>
    <definedName name="_xlnm._FilterDatabase" localSheetId="10" hidden="1">'Yeast List'!$A$1:$I$732</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Sheet'!$A$1:$AA$49</definedName>
    <definedName name="yeastlist_headers">yeast_table[#Headers]</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W5" i="28" l="1"/>
  <c r="E8" i="33"/>
  <c r="Y23" i="28"/>
  <c r="M14" i="28" l="1"/>
  <c r="L14" i="28"/>
  <c r="Q24" i="28"/>
  <c r="X31" i="28"/>
  <c r="X27" i="28"/>
  <c r="X47" i="28" l="1"/>
  <c r="U10" i="28"/>
  <c r="V10" i="28"/>
  <c r="W10" i="28"/>
  <c r="X10" i="28"/>
  <c r="U11" i="28"/>
  <c r="V11" i="28"/>
  <c r="W11" i="28"/>
  <c r="X11" i="28"/>
  <c r="U12" i="28"/>
  <c r="V12" i="28"/>
  <c r="W12" i="28"/>
  <c r="X12" i="28"/>
  <c r="U13" i="28"/>
  <c r="V13" i="28"/>
  <c r="W13" i="28"/>
  <c r="X13" i="28"/>
  <c r="U9" i="28"/>
  <c r="W9" i="28"/>
  <c r="V9" i="28"/>
  <c r="X43" i="28"/>
  <c r="Y35" i="28" l="1"/>
  <c r="K11" i="28"/>
  <c r="K10" i="28"/>
  <c r="J31" i="14" l="1"/>
  <c r="C25" i="14" s="1"/>
  <c r="W39" i="28"/>
  <c r="W48" i="28"/>
  <c r="W35" i="28"/>
  <c r="C41" i="14" l="1"/>
  <c r="C51" i="14"/>
  <c r="C77" i="14" s="1"/>
  <c r="C50" i="14"/>
  <c r="C49" i="14"/>
  <c r="C48" i="14"/>
  <c r="C46" i="14"/>
  <c r="C45" i="14"/>
  <c r="T2" i="28"/>
  <c r="T1" i="28"/>
  <c r="T16" i="28" l="1"/>
  <c r="U19" i="28"/>
  <c r="U20" i="28"/>
  <c r="Y18" i="28"/>
  <c r="Y20" i="28"/>
  <c r="Y19" i="28"/>
  <c r="U18" i="28"/>
  <c r="E22" i="33" l="1"/>
  <c r="G22" i="33"/>
  <c r="E23" i="33"/>
  <c r="G23" i="33"/>
  <c r="E24" i="33"/>
  <c r="G24" i="33"/>
  <c r="E23" i="32"/>
  <c r="G23" i="32"/>
  <c r="E21" i="32"/>
  <c r="E22" i="32"/>
  <c r="I31" i="14"/>
  <c r="C55"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C24" i="14" l="1"/>
  <c r="Z5" i="28" s="1"/>
  <c r="C90" i="14"/>
  <c r="C27" i="14"/>
  <c r="F88" i="14"/>
  <c r="F87" i="14"/>
  <c r="F104" i="14"/>
  <c r="F67" i="14"/>
  <c r="F66" i="14"/>
  <c r="C65" i="14"/>
  <c r="B60" i="14"/>
  <c r="E60" i="14" s="1"/>
  <c r="C47" i="14"/>
  <c r="W32" i="28" s="1"/>
  <c r="C36" i="14"/>
  <c r="C35" i="14"/>
  <c r="H26" i="14"/>
  <c r="K26" i="14" s="1"/>
  <c r="F97" i="14"/>
  <c r="F96" i="14"/>
  <c r="F95" i="14"/>
  <c r="F94" i="14"/>
  <c r="F85" i="14"/>
  <c r="F86" i="14"/>
  <c r="F92" i="14"/>
  <c r="D27" i="14"/>
  <c r="G5" i="36" s="1"/>
  <c r="F91" i="14"/>
  <c r="F78" i="14"/>
  <c r="C56" i="14"/>
  <c r="C69" i="14" s="1"/>
  <c r="F54" i="14"/>
  <c r="C54" i="14"/>
  <c r="E54" i="14" s="1"/>
  <c r="C44" i="14"/>
  <c r="C53" i="14"/>
  <c r="C52" i="14"/>
  <c r="C43" i="14"/>
  <c r="C85" i="14" s="1"/>
  <c r="C42" i="14"/>
  <c r="F120" i="24"/>
  <c r="F118" i="24"/>
  <c r="X25" i="28" l="1"/>
  <c r="X29" i="28"/>
  <c r="W23" i="28"/>
  <c r="C86" i="14"/>
  <c r="E86" i="14" s="1"/>
  <c r="W17" i="28"/>
  <c r="X41" i="28"/>
  <c r="K8" i="28" s="1"/>
  <c r="W22" i="28"/>
  <c r="X45" i="28"/>
  <c r="K9" i="28" s="1"/>
  <c r="E85" i="14"/>
  <c r="B46" i="14"/>
  <c r="C60" i="14"/>
  <c r="F5" i="36"/>
  <c r="G8" i="13"/>
  <c r="G9" i="13"/>
  <c r="G10" i="13"/>
  <c r="G12" i="13"/>
  <c r="G13" i="13"/>
  <c r="G14" i="13"/>
  <c r="F6" i="13"/>
  <c r="F7" i="13"/>
  <c r="F8" i="13"/>
  <c r="F9" i="13"/>
  <c r="F10" i="13"/>
  <c r="F11" i="13"/>
  <c r="F12" i="13"/>
  <c r="F13" i="13"/>
  <c r="F14" i="13"/>
  <c r="F5" i="13"/>
  <c r="C66" i="14" l="1"/>
  <c r="E66" i="14" s="1"/>
  <c r="G20" i="16"/>
  <c r="C72" i="14" s="1"/>
  <c r="C73" i="14" s="1"/>
  <c r="C67" i="14" l="1"/>
  <c r="C70" i="14" s="1"/>
  <c r="C74" i="14" s="1"/>
  <c r="F53" i="14"/>
  <c r="E53" i="14"/>
  <c r="E67" i="14" l="1"/>
  <c r="O27" i="28"/>
  <c r="E69" i="14" l="1"/>
  <c r="F65" i="14"/>
  <c r="F69" i="14"/>
  <c r="F75" i="14"/>
  <c r="F73" i="14"/>
  <c r="F74" i="14"/>
  <c r="C4" i="14"/>
  <c r="Z8" i="28" s="1"/>
  <c r="Y17" i="28" l="1"/>
  <c r="V8" i="28"/>
  <c r="U8" i="28"/>
  <c r="Y22" i="28"/>
  <c r="X8" i="28"/>
  <c r="Y39" i="28"/>
  <c r="I25" i="14"/>
  <c r="K25" i="14"/>
  <c r="H25" i="14"/>
  <c r="A94" i="14"/>
  <c r="A88" i="14"/>
  <c r="A104" i="14"/>
  <c r="A75" i="14"/>
  <c r="A72" i="14"/>
  <c r="A67" i="14"/>
  <c r="A69" i="14"/>
  <c r="A66" i="14"/>
  <c r="A65" i="14"/>
  <c r="A79" i="14"/>
  <c r="A84" i="14"/>
  <c r="A95" i="14"/>
  <c r="A76" i="14"/>
  <c r="A80" i="14"/>
  <c r="D20" i="14"/>
  <c r="D19" i="14"/>
  <c r="D31" i="14"/>
  <c r="Q29" i="28"/>
  <c r="M14" i="14"/>
  <c r="E65" i="14"/>
  <c r="E16" i="28"/>
  <c r="A16" i="28"/>
  <c r="E15" i="28"/>
  <c r="A15" i="28"/>
  <c r="E14" i="28"/>
  <c r="A14" i="28"/>
  <c r="M12" i="13"/>
  <c r="L12" i="13"/>
  <c r="K12" i="13"/>
  <c r="J12" i="13"/>
  <c r="I12" i="13"/>
  <c r="H12" i="13"/>
  <c r="E12" i="13"/>
  <c r="D12" i="13"/>
  <c r="F14" i="28" s="1"/>
  <c r="M15" i="28"/>
  <c r="L15" i="28"/>
  <c r="M13" i="28"/>
  <c r="L13" i="28"/>
  <c r="M9" i="28"/>
  <c r="L9" i="28"/>
  <c r="M8" i="28"/>
  <c r="L8" i="28"/>
  <c r="O18" i="16"/>
  <c r="M18" i="16"/>
  <c r="M16" i="16"/>
  <c r="K27" i="13"/>
  <c r="M29" i="13"/>
  <c r="K29" i="13"/>
  <c r="M31" i="13"/>
  <c r="K31" i="13"/>
  <c r="F164" i="24" l="1"/>
  <c r="H234" i="24" l="1"/>
  <c r="H233" i="24"/>
  <c r="H232" i="24"/>
  <c r="H204" i="24"/>
  <c r="H205" i="24"/>
  <c r="H76" i="24"/>
  <c r="H127" i="24"/>
  <c r="H116" i="24"/>
  <c r="H115" i="24"/>
  <c r="H227" i="24"/>
  <c r="H130" i="24"/>
  <c r="H150" i="24"/>
  <c r="H151" i="24"/>
  <c r="H163" i="24"/>
  <c r="H237" i="24"/>
  <c r="H229" i="24"/>
  <c r="H162" i="24"/>
  <c r="H121" i="24"/>
  <c r="H209" i="24"/>
  <c r="H207" i="24"/>
  <c r="H157" i="24"/>
  <c r="H156" i="24"/>
  <c r="H9" i="24"/>
  <c r="H143" i="24"/>
  <c r="H142" i="24"/>
  <c r="H160" i="24"/>
  <c r="F119" i="24"/>
  <c r="F78" i="24" l="1"/>
  <c r="F77" i="24"/>
  <c r="J12" i="28" l="1"/>
  <c r="E6" i="13" l="1"/>
  <c r="E7" i="13"/>
  <c r="E8" i="13"/>
  <c r="E9" i="13"/>
  <c r="E10" i="13"/>
  <c r="E11" i="13"/>
  <c r="E13" i="13"/>
  <c r="E14" i="13"/>
  <c r="E5" i="13"/>
  <c r="F70" i="14" l="1"/>
  <c r="E70" i="14"/>
  <c r="J4" i="7" l="1"/>
  <c r="F4" i="7"/>
  <c r="B4" i="7"/>
  <c r="F237" i="24" l="1"/>
  <c r="F229" i="24"/>
  <c r="F75" i="24"/>
  <c r="F74" i="24"/>
  <c r="F4" i="24"/>
  <c r="F193" i="24"/>
  <c r="F63" i="24"/>
  <c r="F197" i="24"/>
  <c r="F201" i="24"/>
  <c r="F195" i="24"/>
  <c r="F166" i="24"/>
  <c r="F168" i="24"/>
  <c r="F71" i="24"/>
  <c r="F162" i="24"/>
  <c r="F121" i="24"/>
  <c r="F209" i="24"/>
  <c r="F207"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W38" i="28" l="1"/>
  <c r="J10" i="28"/>
  <c r="J6" i="28"/>
  <c r="F29" i="14" l="1"/>
  <c r="F72" i="14"/>
  <c r="D51" i="14"/>
  <c r="O5" i="36" s="1"/>
  <c r="G4" i="31"/>
  <c r="G3" i="31"/>
  <c r="B10" i="31"/>
  <c r="F6" i="31"/>
  <c r="B5" i="31"/>
  <c r="B6" i="31" s="1"/>
  <c r="B3" i="31"/>
  <c r="E73" i="14" l="1"/>
  <c r="E72" i="14"/>
  <c r="C75" i="14" l="1"/>
  <c r="K14" i="28"/>
  <c r="K12" i="28"/>
  <c r="J9" i="7"/>
  <c r="J5" i="7"/>
  <c r="J7" i="7" s="1"/>
  <c r="F5" i="7"/>
  <c r="F9" i="7" s="1"/>
  <c r="F11" i="7" s="1"/>
  <c r="P4" i="7"/>
  <c r="E75" i="14" l="1"/>
  <c r="C76" i="14"/>
  <c r="C78" i="14" s="1"/>
  <c r="E74" i="14"/>
  <c r="J8" i="7"/>
  <c r="J6" i="7"/>
  <c r="F7" i="7"/>
  <c r="F8" i="7" s="1"/>
  <c r="F6" i="7"/>
  <c r="F12" i="7"/>
  <c r="F10" i="7"/>
  <c r="F13" i="7"/>
  <c r="F15" i="7" s="1"/>
  <c r="F16" i="7" s="1"/>
  <c r="F17" i="7"/>
  <c r="F19" i="7" s="1"/>
  <c r="F20" i="7" s="1"/>
  <c r="F163" i="24"/>
  <c r="W36" i="28" l="1"/>
  <c r="W37" i="28" s="1"/>
  <c r="M13" i="13"/>
  <c r="M14" i="13"/>
  <c r="C79" i="14"/>
  <c r="C80" i="14" s="1"/>
  <c r="M11" i="13"/>
  <c r="M10" i="13"/>
  <c r="M9" i="13"/>
  <c r="M5" i="13"/>
  <c r="M8" i="13"/>
  <c r="J11" i="7"/>
  <c r="J12" i="7" s="1"/>
  <c r="J10" i="7"/>
  <c r="F14" i="7"/>
  <c r="F18" i="7"/>
  <c r="F149" i="24"/>
  <c r="F76" i="14"/>
  <c r="F79" i="14"/>
  <c r="F77" i="14"/>
  <c r="F103" i="14"/>
  <c r="F102" i="14"/>
  <c r="F101" i="14"/>
  <c r="F100" i="14"/>
  <c r="F84" i="14"/>
  <c r="F89" i="14"/>
  <c r="F83" i="14"/>
  <c r="F80" i="14"/>
  <c r="F56" i="14"/>
  <c r="E56" i="14"/>
  <c r="F50" i="14"/>
  <c r="E50" i="14"/>
  <c r="F43" i="14"/>
  <c r="E43" i="14"/>
  <c r="F48" i="14"/>
  <c r="E48" i="14"/>
  <c r="F41" i="14"/>
  <c r="E41" i="14"/>
  <c r="F44" i="14"/>
  <c r="E44" i="14"/>
  <c r="F23" i="14"/>
  <c r="E23" i="14"/>
  <c r="F18" i="14"/>
  <c r="E18" i="14"/>
  <c r="G19" i="8"/>
  <c r="E19" i="8"/>
  <c r="C19" i="8"/>
  <c r="A19" i="8"/>
  <c r="M13" i="14" l="1"/>
  <c r="E78" i="14"/>
  <c r="C12" i="30"/>
  <c r="C6" i="30"/>
  <c r="W34" i="28" l="1"/>
  <c r="W21" i="28"/>
  <c r="F242" i="24"/>
  <c r="F241" i="24"/>
  <c r="F240" i="24"/>
  <c r="F239" i="24"/>
  <c r="F238" i="24"/>
  <c r="F236" i="24"/>
  <c r="F235" i="24"/>
  <c r="F234" i="24"/>
  <c r="F233" i="24"/>
  <c r="F232" i="24"/>
  <c r="F231" i="24"/>
  <c r="F230" i="24"/>
  <c r="F228" i="24"/>
  <c r="F227" i="24"/>
  <c r="F226" i="24"/>
  <c r="F212" i="24"/>
  <c r="F211" i="24"/>
  <c r="F210" i="24"/>
  <c r="F208" i="24"/>
  <c r="F206" i="24"/>
  <c r="F205" i="24"/>
  <c r="F204" i="24"/>
  <c r="F203" i="24"/>
  <c r="F202" i="24"/>
  <c r="F200" i="24"/>
  <c r="F199" i="24"/>
  <c r="F198" i="24"/>
  <c r="F15" i="24"/>
  <c r="F194" i="24"/>
  <c r="F14" i="24"/>
  <c r="F192" i="24"/>
  <c r="F81" i="24"/>
  <c r="F17" i="24"/>
  <c r="F191" i="24"/>
  <c r="G11" i="13" s="1"/>
  <c r="F190" i="24"/>
  <c r="F189" i="24"/>
  <c r="F188" i="24"/>
  <c r="F187" i="24"/>
  <c r="F186" i="24"/>
  <c r="F185" i="24"/>
  <c r="F184" i="24"/>
  <c r="F183" i="24"/>
  <c r="F182" i="24"/>
  <c r="F181" i="24"/>
  <c r="F180" i="24"/>
  <c r="F179" i="24"/>
  <c r="F178" i="24"/>
  <c r="F11" i="24"/>
  <c r="F177" i="24"/>
  <c r="F176" i="24"/>
  <c r="F175" i="24"/>
  <c r="F174" i="24"/>
  <c r="F173" i="24"/>
  <c r="F172" i="24"/>
  <c r="F171" i="24"/>
  <c r="F170" i="24"/>
  <c r="F169"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4"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AA8" i="28" s="1"/>
  <c r="C6" i="14"/>
  <c r="C4" i="13" s="1"/>
  <c r="D82" i="14" s="1"/>
  <c r="Y36" i="28" l="1"/>
  <c r="Y37" i="28"/>
  <c r="Y16" i="28"/>
  <c r="Y8" i="28"/>
  <c r="Y34" i="28"/>
  <c r="Y38" i="28"/>
  <c r="Y48" i="28"/>
  <c r="Y21" i="28"/>
  <c r="M25" i="14"/>
  <c r="L25" i="14"/>
  <c r="D104" i="14"/>
  <c r="D88" i="14"/>
  <c r="D87" i="14"/>
  <c r="D67" i="14"/>
  <c r="D66" i="14"/>
  <c r="D97" i="14"/>
  <c r="D95" i="14"/>
  <c r="D96" i="14"/>
  <c r="D94" i="14"/>
  <c r="D92" i="14"/>
  <c r="D85" i="14"/>
  <c r="D86" i="14"/>
  <c r="D91" i="14"/>
  <c r="D78" i="14"/>
  <c r="D54" i="14"/>
  <c r="D46" i="14"/>
  <c r="K5" i="36" s="1"/>
  <c r="D53" i="14"/>
  <c r="U5" i="36" s="1"/>
  <c r="D69" i="14"/>
  <c r="D73" i="14"/>
  <c r="D65" i="14"/>
  <c r="D75" i="14"/>
  <c r="D74" i="14"/>
  <c r="D70" i="14"/>
  <c r="R29" i="28"/>
  <c r="D72" i="14"/>
  <c r="D35" i="14"/>
  <c r="AC5" i="36" s="1"/>
  <c r="L14" i="13"/>
  <c r="L13" i="13"/>
  <c r="K13" i="13"/>
  <c r="K11" i="13"/>
  <c r="L11" i="13"/>
  <c r="R33" i="28"/>
  <c r="D41" i="14"/>
  <c r="B5" i="36" s="1"/>
  <c r="D50" i="14"/>
  <c r="N5" i="36" s="1"/>
  <c r="D48" i="14"/>
  <c r="D56" i="14"/>
  <c r="D43" i="14"/>
  <c r="D5" i="36" s="1"/>
  <c r="D80" i="14"/>
  <c r="D84" i="14"/>
  <c r="D89" i="14"/>
  <c r="D83" i="14"/>
  <c r="D100" i="14"/>
  <c r="D101" i="14"/>
  <c r="D103" i="14"/>
  <c r="D102" i="14"/>
  <c r="G20" i="28"/>
  <c r="G6" i="16"/>
  <c r="D24" i="14"/>
  <c r="D90" i="14"/>
  <c r="D22" i="14"/>
  <c r="E6" i="28"/>
  <c r="D21" i="14"/>
  <c r="D18" i="14"/>
  <c r="D76" i="14"/>
  <c r="D77" i="14"/>
  <c r="D79" i="14"/>
  <c r="J6" i="13"/>
  <c r="J7" i="13"/>
  <c r="J8" i="13"/>
  <c r="J5" i="13"/>
  <c r="I9" i="13"/>
  <c r="I10" i="13"/>
  <c r="L5" i="36" l="1"/>
  <c r="Q5" i="36"/>
  <c r="P5" i="36"/>
  <c r="H13" i="16"/>
  <c r="I27" i="28" s="1"/>
  <c r="H17" i="16"/>
  <c r="I31" i="28" s="1"/>
  <c r="H14" i="16"/>
  <c r="I28" i="28" s="1"/>
  <c r="H10" i="16"/>
  <c r="I24" i="28" s="1"/>
  <c r="H18" i="16"/>
  <c r="I32" i="28" s="1"/>
  <c r="H12" i="16"/>
  <c r="I26" i="28" s="1"/>
  <c r="H11" i="16"/>
  <c r="I25" i="28" s="1"/>
  <c r="H15" i="16"/>
  <c r="I29" i="28" s="1"/>
  <c r="H16" i="16"/>
  <c r="I30" i="28" s="1"/>
  <c r="X5" i="36"/>
  <c r="Z5" i="36"/>
  <c r="G4" i="7"/>
  <c r="C4" i="7"/>
  <c r="K4" i="7"/>
  <c r="H8" i="16"/>
  <c r="I22" i="28" s="1"/>
  <c r="H7" i="16"/>
  <c r="I21" i="28" s="1"/>
  <c r="H9" i="16"/>
  <c r="I23" i="28" s="1"/>
  <c r="I8" i="13"/>
  <c r="I7" i="13"/>
  <c r="H5" i="13"/>
  <c r="I5" i="13" s="1"/>
  <c r="I6" i="13"/>
  <c r="C15" i="13"/>
  <c r="C82" i="14" s="1"/>
  <c r="C84" i="14" s="1"/>
  <c r="C87" i="14" s="1"/>
  <c r="Y5" i="28" s="1"/>
  <c r="C16" i="13"/>
  <c r="L26" i="14" l="1"/>
  <c r="C88" i="14"/>
  <c r="V5" i="28" s="1"/>
  <c r="C83" i="14"/>
  <c r="C97" i="14" s="1"/>
  <c r="C98" i="14" s="1"/>
  <c r="C99" i="14" s="1"/>
  <c r="F15" i="13"/>
  <c r="I16" i="13"/>
  <c r="I15" i="13"/>
  <c r="N26" i="14" l="1"/>
  <c r="M24" i="14"/>
  <c r="M26" i="14" s="1"/>
  <c r="Y9" i="28"/>
  <c r="X9" i="28"/>
  <c r="E87" i="14"/>
  <c r="E84" i="14"/>
  <c r="E83" i="14"/>
  <c r="I8" i="16"/>
  <c r="I9" i="16"/>
  <c r="I7" i="16"/>
  <c r="C15" i="5"/>
  <c r="D5" i="5"/>
  <c r="C13" i="5"/>
  <c r="C11" i="5"/>
  <c r="C9" i="5"/>
  <c r="C3" i="5"/>
  <c r="C5" i="5"/>
  <c r="D3" i="5"/>
  <c r="D5" i="8"/>
  <c r="C14" i="8"/>
  <c r="E14" i="8"/>
  <c r="G14" i="8"/>
  <c r="P5" i="7"/>
  <c r="P6" i="7"/>
  <c r="P7" i="7"/>
  <c r="P8" i="7"/>
  <c r="P9" i="7"/>
  <c r="P10" i="7"/>
  <c r="P11" i="7"/>
  <c r="P12" i="7"/>
  <c r="P13" i="7"/>
  <c r="P14" i="7"/>
  <c r="P15" i="7"/>
  <c r="L27" i="14" l="1"/>
  <c r="E88" i="14"/>
  <c r="E97" i="14"/>
  <c r="E76" i="14"/>
  <c r="B5" i="7"/>
  <c r="B13" i="7" s="1"/>
  <c r="L10" i="13"/>
  <c r="L9" i="13"/>
  <c r="L8" i="13"/>
  <c r="L7" i="13"/>
  <c r="L5" i="13"/>
  <c r="L6" i="13"/>
  <c r="C17" i="13"/>
  <c r="D13" i="13" s="1"/>
  <c r="F15" i="28" s="1"/>
  <c r="E77" i="14"/>
  <c r="N27" i="14" l="1"/>
  <c r="Y10" i="28"/>
  <c r="M27" i="14"/>
  <c r="L28" i="14"/>
  <c r="Y11" i="28" s="1"/>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N28" i="14" l="1"/>
  <c r="M28" i="14"/>
  <c r="L29" i="14"/>
  <c r="Y12" i="28" s="1"/>
  <c r="K14" i="13"/>
  <c r="B18" i="7"/>
  <c r="B10" i="7"/>
  <c r="B11" i="7"/>
  <c r="B12" i="7" s="1"/>
  <c r="E80" i="14"/>
  <c r="D16" i="13"/>
  <c r="K6" i="13"/>
  <c r="K10" i="13"/>
  <c r="K5" i="13"/>
  <c r="K7" i="13"/>
  <c r="K8" i="13"/>
  <c r="K9" i="13"/>
  <c r="F8" i="28"/>
  <c r="F9" i="28"/>
  <c r="F7" i="28"/>
  <c r="L15" i="13"/>
  <c r="L17" i="13"/>
  <c r="D15" i="13"/>
  <c r="N29" i="14" l="1"/>
  <c r="M29" i="14"/>
  <c r="L30" i="14"/>
  <c r="Y13" i="28" s="1"/>
  <c r="W44" i="28"/>
  <c r="W46" i="28" s="1"/>
  <c r="L21" i="13"/>
  <c r="J9" i="28"/>
  <c r="K20" i="13"/>
  <c r="K16" i="13"/>
  <c r="K19" i="13"/>
  <c r="I17" i="13"/>
  <c r="K7" i="28" s="1"/>
  <c r="D17" i="13"/>
  <c r="N30" i="14" l="1"/>
  <c r="M30" i="14"/>
  <c r="L31" i="14"/>
  <c r="J8" i="28"/>
  <c r="J7" i="28" s="1"/>
  <c r="W40" i="28"/>
  <c r="W42" i="28" s="1"/>
  <c r="W24" i="28"/>
  <c r="W26" i="28" s="1"/>
  <c r="K17" i="13"/>
  <c r="K15" i="13"/>
  <c r="X32" i="28" s="1"/>
  <c r="K21" i="13"/>
  <c r="X33" i="28" l="1"/>
  <c r="K6" i="28" s="1"/>
  <c r="L34" i="14"/>
  <c r="W16" i="28" s="1"/>
  <c r="X23" i="28" s="1"/>
  <c r="C89" i="14"/>
  <c r="J14" i="28"/>
  <c r="K16" i="28"/>
  <c r="W28" i="28"/>
  <c r="W30" i="28" s="1"/>
  <c r="J10" i="16"/>
  <c r="K10" i="16" s="1"/>
  <c r="J12" i="16"/>
  <c r="K12" i="16" s="1"/>
  <c r="J14" i="16"/>
  <c r="K14" i="16" s="1"/>
  <c r="J16" i="16"/>
  <c r="K16" i="16" s="1"/>
  <c r="J18" i="16"/>
  <c r="K18" i="16" s="1"/>
  <c r="J11" i="16"/>
  <c r="K11" i="16" s="1"/>
  <c r="J15" i="16"/>
  <c r="K15" i="16" s="1"/>
  <c r="J13" i="16"/>
  <c r="K13" i="16" s="1"/>
  <c r="J17" i="16"/>
  <c r="K17" i="16" s="1"/>
  <c r="C100" i="14"/>
  <c r="J7" i="16"/>
  <c r="K7" i="16" s="1"/>
  <c r="J8" i="16"/>
  <c r="K8" i="16" s="1"/>
  <c r="J9" i="16"/>
  <c r="K9" i="16" s="1"/>
  <c r="E100" i="14" l="1"/>
  <c r="C94" i="14"/>
  <c r="C95" i="14"/>
  <c r="E8" i="32" s="1"/>
  <c r="C91" i="14"/>
  <c r="K19" i="16"/>
  <c r="C92" i="14" l="1"/>
  <c r="C96" i="14" s="1"/>
  <c r="M12" i="14"/>
  <c r="C101" i="14"/>
  <c r="C102" i="14" s="1"/>
  <c r="J13" i="28"/>
  <c r="K13" i="28"/>
  <c r="E46" i="32"/>
  <c r="D46" i="32"/>
  <c r="C103" i="14" l="1"/>
  <c r="F46" i="32"/>
  <c r="C104" i="14" l="1"/>
  <c r="W20" i="28"/>
  <c r="E9" i="33" l="1"/>
  <c r="D8" i="33" l="1"/>
  <c r="E27" i="33" s="1"/>
  <c r="E89" i="14"/>
  <c r="D8" i="32"/>
  <c r="D39" i="32" s="1"/>
  <c r="E25" i="32" l="1"/>
  <c r="F39" i="32"/>
  <c r="E39" i="32"/>
  <c r="D47" i="33"/>
  <c r="R21" i="28" s="1"/>
  <c r="G51" i="32"/>
  <c r="F47" i="33"/>
  <c r="R23" i="28" s="1"/>
  <c r="F40" i="33"/>
  <c r="D40" i="33"/>
  <c r="R18" i="28" s="1"/>
  <c r="F51" i="32"/>
  <c r="H51" i="32"/>
  <c r="D51" i="32"/>
  <c r="E51" i="32"/>
  <c r="D32" i="32"/>
  <c r="E40" i="33"/>
  <c r="R19" i="28" s="1"/>
  <c r="E47" i="33"/>
  <c r="R22" i="28" s="1"/>
  <c r="D9" i="33"/>
  <c r="R20" i="28" l="1"/>
  <c r="E52" i="32"/>
  <c r="I51" i="32"/>
  <c r="F52" i="32"/>
  <c r="H52" i="32"/>
  <c r="G52" i="32"/>
  <c r="D52" i="32"/>
  <c r="E32" i="32"/>
  <c r="F32" i="32" s="1"/>
  <c r="E52" i="33"/>
  <c r="E53" i="33" s="1"/>
  <c r="E28" i="33"/>
  <c r="F52" i="33"/>
  <c r="G52" i="33"/>
  <c r="G53" i="33" s="1"/>
  <c r="D52" i="33"/>
  <c r="D53" i="33" s="1"/>
  <c r="H52" i="33"/>
  <c r="H53" i="33" s="1"/>
  <c r="F53" i="33"/>
  <c r="D33" i="33"/>
  <c r="W15" i="28" l="1"/>
  <c r="R8" i="28"/>
  <c r="R11" i="28"/>
  <c r="R12" i="28"/>
  <c r="R10" i="28"/>
  <c r="R9" i="28"/>
  <c r="I52" i="32"/>
  <c r="I52" i="33"/>
  <c r="E33" i="33"/>
  <c r="F33" i="33" s="1"/>
  <c r="I53" i="33"/>
  <c r="I54" i="33" s="1"/>
  <c r="R14" i="28" l="1"/>
  <c r="I53" i="32"/>
  <c r="E91" i="14" l="1"/>
  <c r="E92" i="14"/>
  <c r="C19" i="13" l="1"/>
  <c r="E96" i="14"/>
  <c r="W18" i="28" l="1"/>
  <c r="E94" i="14"/>
  <c r="E95" i="14"/>
  <c r="E101" i="14" l="1"/>
  <c r="E102" i="14" l="1"/>
  <c r="W19" i="28"/>
  <c r="E103" i="14" l="1"/>
  <c r="E10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<sst xmlns="http://schemas.openxmlformats.org/spreadsheetml/2006/main" count="4728" uniqueCount="2386">
  <si>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</si>
  <si>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</si>
  <si>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</si>
  <si>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</si>
  <si>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</si>
  <si>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</si>
  <si>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</si>
  <si>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</si>
  <si>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</si>
  <si>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</si>
  <si>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</si>
  <si>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</si>
  <si>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</si>
  <si>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</si>
  <si>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</si>
  <si>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</si>
  <si>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</si>
  <si>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</si>
  <si>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</si>
  <si>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</si>
  <si>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</si>
  <si>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</si>
  <si>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</si>
  <si>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</si>
  <si>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</si>
  <si>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</si>
  <si>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</si>
  <si>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</si>
  <si>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</si>
  <si>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</si>
  <si>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</si>
  <si>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</si>
  <si>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</si>
  <si>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</si>
  <si>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</si>
  <si>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</si>
  <si>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</si>
  <si>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</si>
  <si>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</si>
  <si>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</si>
  <si>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</si>
  <si>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</si>
  <si>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</si>
  <si>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</si>
  <si>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</si>
  <si>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</si>
  <si>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</si>
  <si>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</si>
  <si>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</si>
  <si>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</si>
  <si>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</si>
  <si>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</si>
  <si>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</si>
  <si>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</si>
  <si>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</si>
  <si>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</si>
  <si>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</si>
  <si>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</si>
  <si>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</si>
  <si>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</si>
  <si>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</si>
  <si>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</si>
  <si>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</si>
  <si>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</si>
  <si>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</si>
  <si>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</si>
  <si>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</si>
  <si>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</si>
  <si>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</si>
  <si>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</si>
  <si>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</si>
  <si>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</si>
  <si>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</si>
  <si>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</si>
  <si>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</si>
  <si>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</si>
  <si>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</si>
  <si>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</si>
  <si>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</si>
  <si>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</si>
  <si>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</si>
  <si>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</si>
  <si>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</si>
  <si>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</si>
  <si>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</si>
  <si>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</si>
  <si>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</si>
  <si>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</si>
  <si>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</si>
  <si>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</si>
  <si>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</si>
  <si>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</si>
  <si>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</si>
  <si>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</si>
  <si>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</si>
  <si>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</si>
  <si>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</si>
  <si>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</si>
  <si>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</si>
  <si>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</si>
  <si>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</si>
  <si>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</si>
  <si>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</si>
  <si>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</si>
  <si>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</si>
  <si>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</si>
  <si>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</si>
  <si>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</si>
  <si>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</si>
  <si>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</si>
  <si>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</si>
  <si>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</si>
  <si>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</si>
  <si>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</si>
  <si>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</si>
  <si>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</si>
  <si>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</si>
  <si>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</si>
  <si>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</si>
  <si>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</si>
  <si>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</si>
  <si>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</si>
  <si>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</si>
  <si>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</si>
  <si>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</si>
  <si>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</si>
  <si>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</si>
  <si>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</si>
  <si>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</si>
  <si>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</si>
  <si>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</si>
  <si>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</si>
  <si>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</si>
  <si>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</si>
  <si>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</si>
  <si>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</si>
  <si>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</si>
  <si>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</si>
  <si>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</si>
  <si>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</si>
  <si>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</si>
  <si>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</si>
  <si>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</si>
  <si>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</si>
  <si>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</si>
  <si>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</si>
  <si>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</si>
  <si>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</si>
  <si>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</si>
  <si>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</si>
  <si>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</si>
  <si>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</si>
  <si>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</si>
  <si>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</si>
  <si>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</si>
  <si>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</si>
  <si>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</si>
  <si>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</si>
  <si>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</si>
  <si>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</si>
  <si>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</si>
  <si>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</si>
  <si>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</si>
  <si>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</si>
  <si>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</si>
  <si>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</si>
  <si>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</si>
  <si>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</si>
  <si>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</si>
  <si>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</si>
  <si>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</si>
  <si>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</si>
  <si>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</si>
  <si>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</si>
  <si>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</si>
  <si>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</si>
  <si>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</si>
  <si>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</si>
  <si>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</si>
  <si>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</si>
  <si>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</si>
  <si>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</si>
  <si>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</si>
  <si>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</si>
  <si>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</si>
  <si>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</si>
  <si>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</si>
  <si>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</si>
  <si>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</si>
  <si>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</si>
  <si>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</si>
  <si>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</si>
  <si>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</si>
  <si>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</si>
  <si>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</si>
  <si>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</si>
  <si>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</si>
  <si>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</si>
  <si>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</si>
  <si>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</si>
  <si>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</si>
  <si>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</si>
  <si>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</si>
  <si>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</si>
  <si>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</si>
  <si>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</si>
  <si>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</si>
  <si>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</si>
  <si>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</si>
  <si>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</si>
  <si>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</si>
  <si>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</si>
  <si>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</si>
  <si>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</si>
  <si>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</si>
  <si>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</si>
  <si>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</si>
  <si>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</si>
  <si>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</si>
  <si>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</si>
  <si>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</si>
  <si>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</si>
  <si>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</si>
  <si>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</si>
  <si>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</si>
  <si>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</si>
  <si>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</si>
  <si>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</si>
  <si>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</si>
  <si>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</si>
  <si>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</si>
  <si>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</si>
  <si>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</si>
  <si>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</si>
  <si>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</si>
  <si>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</si>
  <si>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</si>
  <si>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</si>
  <si>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</si>
  <si>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</si>
  <si>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</si>
  <si>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</si>
  <si>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</si>
  <si>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</si>
  <si>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</si>
  <si>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</si>
  <si>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</si>
  <si>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</si>
  <si>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</si>
  <si>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</si>
  <si>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</si>
  <si>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</si>
  <si>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</si>
  <si>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</si>
  <si>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</si>
  <si>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</si>
  <si>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</si>
  <si>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</si>
  <si>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</si>
  <si>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</si>
  <si>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</si>
  <si>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</si>
  <si>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</si>
  <si>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</si>
  <si>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</si>
  <si>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</si>
  <si>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</si>
  <si>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</si>
  <si>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</si>
  <si>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</si>
  <si>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</si>
  <si>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</si>
  <si>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</si>
  <si>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</si>
  <si>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</si>
  <si>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</si>
  <si>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</si>
  <si>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</si>
  <si>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</si>
  <si>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</si>
  <si>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</si>
  <si>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</si>
  <si>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</si>
  <si>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</si>
  <si>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</si>
  <si>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</si>
  <si>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</si>
  <si>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</si>
  <si>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</si>
  <si>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</si>
  <si>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</si>
  <si>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</si>
  <si>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</si>
  <si>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</si>
  <si>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</si>
  <si>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</si>
  <si>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</si>
  <si>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</si>
  <si>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</si>
  <si>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</si>
  <si>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</si>
  <si>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</si>
  <si>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</si>
  <si>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</si>
  <si>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</si>
  <si>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</si>
  <si>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</si>
  <si>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</si>
  <si>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</si>
  <si>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</si>
  <si>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</si>
  <si>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</si>
  <si>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</si>
  <si>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</si>
  <si>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</si>
  <si>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</si>
  <si>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</si>
  <si>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</si>
  <si>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</si>
  <si>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</si>
  <si>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</si>
  <si>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</si>
  <si>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</si>
  <si>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</si>
  <si>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</si>
  <si>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</si>
  <si>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</si>
  <si>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</si>
  <si>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</si>
  <si>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</si>
  <si>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</si>
  <si>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</si>
  <si>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</si>
  <si>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</si>
  <si>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</si>
  <si>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</si>
  <si>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</si>
  <si>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</si>
  <si>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</si>
  <si>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</si>
  <si>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</si>
  <si>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</si>
  <si>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</si>
  <si>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</si>
  <si>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</si>
  <si>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</si>
  <si>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</si>
  <si>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</si>
  <si>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</si>
  <si>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</si>
  <si>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</si>
  <si>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</si>
  <si>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</si>
  <si>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</si>
  <si>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</si>
  <si>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</si>
  <si>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</si>
  <si>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</si>
  <si>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</si>
  <si>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</si>
  <si>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</si>
  <si>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</si>
  <si>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</si>
  <si>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</si>
  <si>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</si>
  <si>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</si>
  <si>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</si>
  <si>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</si>
  <si>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</si>
  <si>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</si>
  <si>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</si>
  <si>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</si>
  <si>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</si>
  <si>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</si>
  <si>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</si>
  <si>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</si>
  <si>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</si>
  <si>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</si>
  <si>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</si>
  <si>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</si>
  <si>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</si>
  <si>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</si>
  <si>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</si>
  <si>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</si>
  <si>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</si>
  <si>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</si>
  <si>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</si>
  <si>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</si>
  <si>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</si>
  <si>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</si>
  <si>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</si>
  <si>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</si>
  <si>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</si>
  <si>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</si>
  <si>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</si>
  <si>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</si>
  <si>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</si>
  <si>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</si>
  <si>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</si>
  <si>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</si>
  <si>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</si>
  <si>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</si>
  <si>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</si>
  <si>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</si>
  <si>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</si>
  <si>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</si>
  <si>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</si>
  <si>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</si>
  <si>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</si>
  <si>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</si>
  <si>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</si>
  <si>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</si>
  <si>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</si>
  <si>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</si>
  <si>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</si>
  <si>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</si>
  <si>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</si>
  <si>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</si>
  <si>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</si>
  <si>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</si>
  <si>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</si>
  <si>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</si>
  <si>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</si>
  <si>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</si>
  <si>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</si>
  <si>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</si>
  <si>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</si>
  <si>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</si>
  <si>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</si>
  <si>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</si>
  <si>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</si>
  <si>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</si>
  <si>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</si>
  <si>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</si>
  <si>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</si>
  <si>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</si>
  <si>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</si>
  <si>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</si>
  <si>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</si>
  <si>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</si>
  <si>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</si>
  <si>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</si>
  <si>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</si>
  <si>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</si>
  <si>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</si>
  <si>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</si>
  <si>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</si>
  <si>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</si>
  <si>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</si>
  <si>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</si>
  <si>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</si>
  <si>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</si>
  <si>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</si>
  <si>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</si>
  <si>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</si>
  <si>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</si>
  <si>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</si>
  <si>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</si>
  <si>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</si>
  <si>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</si>
  <si>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</si>
  <si>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</si>
  <si>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</si>
  <si>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</si>
  <si>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</si>
  <si>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</si>
  <si>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</si>
  <si>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</si>
  <si>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</si>
  <si>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</si>
  <si>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</si>
  <si>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</si>
  <si>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</si>
  <si>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</si>
  <si>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</si>
  <si>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</si>
  <si>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</si>
  <si>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</si>
  <si>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</si>
  <si>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</si>
  <si>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</si>
  <si>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</si>
  <si>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</si>
  <si>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</si>
  <si>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</si>
  <si>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</si>
  <si>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</si>
  <si>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</si>
  <si>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</si>
  <si>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</si>
  <si>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</si>
  <si>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</si>
  <si>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</si>
  <si>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</si>
  <si>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</si>
  <si>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</si>
  <si>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</si>
  <si>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</si>
  <si>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</si>
  <si>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</si>
  <si>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</si>
  <si>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</si>
  <si>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</si>
  <si>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</si>
  <si>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</si>
  <si>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</si>
  <si>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</si>
  <si>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</si>
  <si>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</si>
  <si>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</si>
  <si>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</si>
  <si>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</si>
  <si>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</si>
  <si>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</si>
  <si>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</si>
  <si>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</si>
  <si>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</si>
  <si>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</si>
  <si>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</si>
  <si>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</si>
  <si>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</si>
  <si>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</si>
  <si>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</si>
  <si>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</si>
  <si>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</si>
  <si>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</si>
  <si>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</si>
  <si>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</si>
  <si>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</si>
  <si>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</si>
  <si>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</si>
  <si>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</si>
  <si>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</si>
  <si>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</si>
  <si>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</si>
  <si>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</si>
  <si>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</si>
  <si>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</si>
  <si>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</si>
  <si>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</si>
  <si>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</si>
  <si>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</si>
  <si>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</si>
  <si>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</si>
  <si>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</si>
  <si>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</si>
  <si>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</si>
  <si>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</si>
  <si>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</si>
  <si>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</si>
  <si>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</si>
  <si>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</si>
  <si>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</si>
  <si>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</si>
  <si>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</si>
  <si>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</si>
  <si>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</si>
  <si>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</si>
  <si>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</si>
  <si>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</si>
  <si>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</si>
  <si>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</si>
  <si>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</si>
  <si>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</si>
  <si>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</si>
  <si>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</si>
  <si>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</si>
  <si>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</si>
  <si>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</si>
  <si>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</si>
  <si>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</si>
  <si>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</si>
  <si>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</si>
  <si>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</si>
  <si>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</si>
  <si>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</si>
  <si>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</si>
  <si>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</si>
  <si>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</si>
  <si>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</si>
  <si>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</si>
  <si>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</si>
  <si>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</si>
  <si>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</si>
  <si>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</si>
  <si>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</si>
  <si>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</si>
  <si>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</si>
  <si>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</si>
  <si>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</si>
  <si>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</si>
  <si>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</si>
  <si>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</si>
  <si>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</si>
  <si>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</si>
  <si>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</si>
  <si>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</si>
  <si>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</si>
  <si>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</si>
  <si>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</si>
  <si>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</si>
  <si>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</si>
  <si>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</si>
  <si>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</si>
  <si>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</si>
  <si>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</si>
  <si>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</si>
  <si>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</si>
  <si>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</si>
  <si>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</si>
  <si>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</si>
  <si>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</si>
  <si>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</si>
  <si>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</si>
  <si>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</si>
  <si>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7C. Kellerbier: Pale Kellerbier</t>
  </si>
  <si>
    <t>7C. Kellerbier: Amber Kellerbier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</si>
  <si>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</si>
  <si>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</si>
  <si>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</si>
  <si>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</si>
  <si>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</si>
  <si>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</si>
  <si>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</si>
  <si>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</si>
  <si>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</si>
  <si>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</si>
  <si>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</si>
  <si>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</si>
  <si>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</si>
  <si>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</si>
  <si>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</si>
  <si>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</si>
  <si>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</si>
  <si>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</si>
  <si>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</si>
  <si>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</si>
  <si>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</si>
  <si>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</si>
  <si>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</si>
  <si>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</si>
  <si>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</si>
  <si>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</si>
  <si>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</si>
  <si>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</si>
  <si>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</si>
  <si>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</si>
  <si>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</si>
  <si>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</si>
  <si>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</si>
  <si>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</si>
  <si>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</si>
  <si>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</si>
  <si>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</si>
  <si>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</si>
  <si>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</si>
  <si>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</si>
  <si>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</si>
  <si>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</si>
  <si>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</si>
  <si>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</si>
  <si>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</si>
  <si>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</si>
  <si>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</si>
  <si>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</si>
  <si>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</si>
  <si>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</si>
  <si>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</si>
  <si>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</si>
  <si>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</si>
  <si>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</si>
  <si>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</si>
  <si>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</si>
  <si>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</si>
  <si>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</si>
  <si>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</si>
  <si>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</si>
  <si>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</si>
  <si>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</si>
  <si>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</si>
  <si>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</si>
  <si>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</si>
  <si>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</si>
  <si>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</si>
  <si>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</si>
  <si>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</si>
  <si>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</si>
  <si>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</si>
  <si>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</si>
  <si>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</si>
  <si>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</si>
  <si>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</si>
  <si>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</si>
  <si>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</si>
  <si>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</si>
  <si>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</si>
  <si>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</si>
  <si>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</si>
  <si>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</si>
  <si>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</si>
  <si>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</si>
  <si>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</si>
  <si>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</si>
  <si>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</si>
  <si>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</si>
  <si>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</si>
  <si>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</si>
  <si>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</si>
  <si>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</si>
  <si>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</si>
  <si>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</si>
  <si>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</si>
  <si>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</si>
  <si>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</si>
  <si>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</si>
  <si>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</si>
  <si>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</si>
  <si>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</si>
  <si>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</si>
  <si>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</si>
  <si>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</si>
  <si>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</si>
  <si>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</si>
  <si>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</si>
  <si>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</si>
  <si>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</si>
  <si>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</si>
  <si>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</si>
  <si>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</si>
  <si>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</si>
  <si>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</si>
  <si>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</si>
  <si>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</si>
  <si>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</si>
  <si>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</si>
  <si>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</si>
  <si>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</si>
  <si>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</si>
  <si>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</si>
  <si>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</si>
  <si>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</si>
  <si>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</si>
  <si>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</si>
  <si>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</si>
  <si>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</si>
  <si>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</si>
  <si>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</si>
  <si>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</si>
  <si>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</si>
  <si>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</si>
  <si>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</si>
  <si>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</si>
  <si>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</si>
  <si>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</si>
  <si>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</si>
  <si>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</si>
  <si>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</si>
  <si>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</si>
  <si>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</si>
  <si>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</si>
  <si>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</si>
  <si>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</si>
  <si>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</si>
  <si>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</si>
  <si>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</si>
  <si>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</si>
  <si>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</si>
  <si>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</si>
  <si>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</si>
  <si>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</si>
  <si>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</si>
  <si>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</si>
  <si>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</si>
  <si>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</si>
  <si>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</si>
  <si>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</si>
  <si>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</si>
  <si>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</si>
  <si>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</si>
  <si>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</si>
  <si>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</si>
  <si>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</si>
  <si>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</si>
  <si>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</si>
  <si>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</si>
  <si>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</si>
  <si>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</si>
  <si>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</si>
  <si>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</si>
  <si>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</si>
  <si>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</si>
  <si>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</si>
  <si>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</si>
  <si>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</si>
  <si>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</si>
  <si>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</si>
  <si>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</si>
  <si>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</si>
  <si>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</si>
  <si>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</si>
  <si>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</si>
  <si>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</si>
  <si>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</si>
  <si>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</si>
  <si>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</si>
  <si>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</si>
  <si>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</si>
  <si>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</si>
  <si>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</si>
  <si>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</si>
  <si>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</si>
  <si>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</si>
  <si>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</si>
  <si>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</si>
  <si>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</si>
  <si>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</si>
  <si>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</si>
  <si>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</si>
  <si>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</si>
  <si>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</si>
  <si>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</si>
  <si>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</si>
  <si>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</si>
  <si>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</si>
  <si>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</si>
  <si>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</si>
  <si>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</si>
  <si>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</si>
  <si>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</si>
  <si>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</si>
  <si>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</si>
  <si>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</si>
  <si>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</si>
  <si>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</si>
  <si>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</si>
  <si>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</si>
  <si>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</si>
  <si>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</si>
  <si>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</si>
  <si>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</si>
  <si>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</si>
  <si>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</si>
  <si>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</si>
  <si>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</si>
  <si>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</si>
  <si>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</si>
  <si>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</si>
  <si>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</si>
  <si>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</si>
  <si>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</si>
  <si>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</si>
  <si>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</si>
  <si>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</si>
  <si>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</si>
  <si>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</si>
  <si>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</si>
  <si>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</si>
  <si>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</si>
  <si>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</si>
  <si>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</si>
  <si>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</si>
  <si>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</si>
  <si>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</si>
  <si>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</si>
  <si>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</si>
  <si>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</si>
  <si>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</si>
  <si>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</si>
  <si>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</si>
  <si>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</si>
  <si>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</si>
  <si>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</si>
  <si>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</si>
  <si>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</si>
  <si>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</si>
  <si>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</si>
  <si>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</si>
  <si>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</si>
  <si>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</si>
  <si>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</si>
  <si>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</si>
  <si>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</si>
  <si>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</si>
  <si>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</si>
  <si>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</si>
  <si>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</si>
  <si>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</si>
  <si>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</si>
  <si>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</si>
  <si>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</si>
  <si>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</si>
  <si>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</si>
  <si>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</si>
  <si>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</si>
  <si>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</si>
  <si>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</si>
  <si>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</si>
  <si>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</si>
  <si>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</si>
  <si>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</si>
  <si>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</si>
  <si>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</si>
  <si>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</si>
  <si>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</si>
  <si>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</si>
  <si>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</si>
  <si>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</si>
  <si>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</si>
  <si>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</si>
  <si>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</si>
  <si>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</si>
  <si>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</si>
  <si>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</si>
  <si>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</si>
  <si>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</si>
  <si>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</si>
  <si>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</si>
  <si>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</si>
  <si>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</si>
  <si>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</si>
  <si>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</si>
  <si>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</si>
  <si>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</si>
  <si>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</si>
  <si>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</si>
  <si>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</si>
  <si>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</si>
  <si>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</si>
  <si>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</si>
  <si>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</si>
  <si>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</si>
  <si>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</si>
  <si>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</si>
  <si>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</si>
  <si>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</si>
  <si>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</si>
  <si>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</si>
  <si>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</si>
  <si>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</si>
  <si>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</si>
  <si>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</si>
  <si>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</si>
  <si>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</si>
  <si>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</si>
  <si>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</si>
  <si>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</si>
  <si>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</si>
  <si>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</si>
  <si>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</si>
  <si>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</si>
  <si>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</si>
  <si>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</si>
  <si>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</si>
  <si>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</si>
  <si>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</si>
  <si>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</si>
  <si>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</si>
  <si>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</si>
  <si>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</si>
  <si>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</si>
  <si>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</si>
  <si>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</si>
  <si>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</si>
  <si>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</si>
  <si>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</si>
  <si>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</si>
  <si>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</si>
  <si>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</si>
  <si>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</si>
  <si>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</si>
  <si>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</si>
  <si>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</si>
  <si>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</si>
  <si>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</si>
  <si>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</si>
  <si>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</si>
  <si>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</si>
  <si>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</si>
  <si>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</si>
  <si>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</si>
  <si>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</si>
  <si>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</si>
  <si>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</si>
  <si>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</si>
  <si>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</si>
  <si>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</si>
  <si>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</si>
  <si>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</si>
  <si>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</si>
  <si>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</si>
  <si>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</si>
  <si>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</si>
  <si>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</si>
  <si>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</si>
  <si>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</si>
  <si>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</si>
  <si>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</si>
  <si>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</si>
  <si>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</si>
  <si>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</si>
  <si>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</si>
  <si>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</si>
  <si>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</si>
  <si>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</si>
  <si>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</si>
  <si>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</si>
  <si>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</si>
  <si>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</si>
  <si>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</si>
  <si>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</si>
  <si>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</si>
  <si>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</si>
  <si>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</si>
  <si>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</si>
  <si>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</si>
  <si>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</si>
  <si>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</si>
  <si>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</si>
  <si>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</si>
  <si>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</si>
  <si>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</si>
  <si>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</si>
  <si>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</si>
  <si>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</si>
  <si>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</si>
  <si>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</si>
  <si>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</si>
  <si>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</si>
  <si>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</si>
  <si>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</si>
  <si>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</si>
  <si>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</si>
  <si>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</si>
  <si>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</si>
  <si>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</si>
  <si>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</si>
  <si>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</si>
  <si>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</si>
  <si>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</si>
  <si>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</si>
  <si>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</si>
  <si>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</si>
  <si>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</si>
  <si>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</si>
  <si>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</si>
  <si>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</si>
  <si>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</si>
  <si>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</si>
  <si>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</si>
  <si>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</si>
  <si>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</si>
  <si>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</si>
  <si>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</si>
  <si>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</si>
  <si>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</si>
  <si>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</si>
  <si>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</si>
  <si>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</si>
  <si>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</si>
  <si>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</si>
  <si>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</si>
  <si>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</si>
  <si>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</si>
  <si>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</si>
  <si>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</si>
  <si>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</si>
  <si>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</si>
  <si>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</si>
  <si>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</si>
  <si>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</si>
  <si>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</si>
  <si>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</si>
  <si>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</si>
  <si>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</si>
  <si>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</si>
  <si>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</si>
  <si>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</si>
  <si>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</si>
  <si>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</si>
  <si>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</si>
  <si>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</si>
  <si>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</si>
  <si>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</si>
  <si>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</si>
  <si>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</si>
  <si>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</si>
  <si>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</si>
  <si>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</si>
  <si>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</si>
  <si>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</si>
  <si>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</si>
  <si>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</si>
  <si>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</si>
  <si>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</si>
  <si>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</si>
  <si>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</si>
  <si>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</si>
  <si>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</si>
  <si>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</si>
  <si>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</si>
  <si>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</si>
  <si>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</si>
  <si>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</si>
  <si>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</si>
  <si>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</si>
  <si>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</si>
  <si>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</si>
  <si>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</si>
  <si>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</si>
  <si>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</si>
  <si>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</si>
  <si>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</si>
  <si>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</si>
  <si>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</si>
  <si>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</si>
  <si>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</si>
  <si>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</si>
  <si>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</si>
  <si>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</si>
  <si>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</si>
  <si>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</si>
  <si>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</si>
  <si>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</si>
  <si>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</si>
  <si>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</si>
  <si>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</si>
  <si>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</si>
  <si>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</si>
  <si>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</si>
  <si>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</si>
  <si>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</si>
  <si>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</si>
  <si>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</si>
  <si>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</si>
  <si>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</si>
  <si>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</si>
  <si>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</si>
  <si>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</si>
  <si>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</si>
  <si>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</si>
  <si>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</si>
  <si>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</si>
  <si>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</si>
  <si>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</si>
  <si>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</si>
  <si>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</si>
  <si>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</si>
  <si>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</si>
  <si>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</si>
  <si>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</si>
  <si>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</si>
  <si>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</si>
  <si>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</si>
  <si>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</si>
  <si>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</si>
  <si>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</si>
  <si>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</si>
  <si>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</si>
  <si>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</si>
  <si>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</si>
  <si>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</si>
  <si>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</si>
  <si>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</si>
  <si>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</si>
  <si>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</si>
  <si>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</si>
  <si>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</si>
  <si>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</si>
  <si>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</si>
  <si>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</si>
  <si>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</si>
  <si>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</si>
  <si>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</si>
  <si>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</si>
  <si>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</si>
  <si>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</si>
  <si>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</si>
  <si>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</si>
  <si>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</si>
  <si>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</si>
  <si>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</si>
  <si>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</si>
  <si>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</si>
  <si>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</si>
  <si>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</si>
  <si>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</si>
  <si>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</si>
  <si>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</si>
  <si>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</si>
  <si>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</si>
  <si>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</si>
  <si>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</si>
  <si>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</si>
  <si>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</si>
  <si>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</si>
  <si>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</si>
  <si>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</si>
  <si>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</si>
  <si>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</si>
  <si>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</si>
  <si>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</si>
  <si>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</si>
  <si>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</si>
  <si>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</si>
  <si>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</si>
  <si>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</si>
  <si>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</si>
  <si>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</si>
  <si>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</si>
  <si>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</si>
  <si>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</si>
  <si>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</si>
  <si>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</si>
  <si>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</si>
  <si>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</si>
  <si>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</si>
  <si>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</si>
  <si>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</si>
  <si>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</si>
  <si>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</si>
  <si>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</si>
  <si>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</si>
  <si>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</si>
  <si>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</si>
  <si>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</si>
  <si>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</si>
  <si>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</si>
  <si>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</si>
  <si>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</si>
  <si>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</si>
  <si>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</si>
  <si>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</si>
  <si>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</si>
  <si>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</si>
  <si>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</si>
  <si>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</si>
  <si>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</si>
  <si>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</si>
  <si>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</si>
  <si>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</si>
  <si>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</si>
  <si>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</si>
  <si>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</si>
  <si>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</si>
  <si>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</si>
  <si>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</si>
  <si>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</si>
  <si>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</si>
  <si>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</si>
  <si>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</si>
  <si>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</si>
  <si>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</si>
  <si>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</si>
  <si>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</si>
  <si>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</si>
  <si>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</si>
  <si>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</si>
  <si>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</si>
  <si>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</si>
  <si>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</si>
  <si>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</si>
  <si>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</si>
  <si>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</si>
  <si>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</si>
  <si>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</si>
  <si>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</si>
  <si>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</si>
  <si>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</si>
  <si>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</si>
  <si>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</si>
  <si>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</si>
  <si>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</si>
  <si>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</si>
  <si>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</si>
  <si>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</si>
  <si>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</si>
  <si>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</si>
  <si>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</si>
  <si>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</si>
  <si>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</si>
  <si>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</si>
  <si>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</si>
  <si>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</si>
  <si>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</si>
  <si>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</si>
  <si>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</si>
  <si>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</si>
  <si>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</si>
  <si>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</si>
  <si>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</si>
  <si>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</si>
  <si>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</si>
  <si>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</si>
  <si>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</si>
  <si>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</si>
  <si>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</si>
  <si>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</si>
  <si>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</si>
  <si>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</si>
  <si>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</si>
  <si>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</si>
  <si>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</si>
  <si>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</si>
  <si>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</si>
  <si>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</si>
  <si>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</si>
  <si>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</si>
  <si>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</si>
  <si>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</si>
  <si>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</si>
  <si>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</si>
  <si>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</si>
  <si>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</si>
  <si>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</si>
  <si>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</si>
  <si>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</si>
  <si>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</si>
  <si>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</si>
  <si>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</si>
  <si>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</si>
  <si>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</si>
  <si>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</si>
  <si>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</si>
  <si>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</si>
  <si>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</si>
  <si>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</si>
  <si>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</si>
  <si>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</si>
  <si>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</si>
  <si>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</si>
  <si>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</si>
  <si>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</si>
  <si>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</si>
  <si>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</si>
  <si>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</si>
  <si>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</si>
  <si>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</si>
  <si>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</si>
  <si>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</si>
  <si>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</si>
  <si>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</si>
  <si>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</si>
  <si>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</si>
  <si>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</si>
  <si>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</si>
  <si>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</si>
  <si>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</si>
  <si>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</si>
  <si>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</si>
  <si>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</si>
  <si>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</si>
  <si>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</si>
  <si>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</si>
  <si>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</si>
  <si>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</si>
  <si>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</si>
  <si>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</si>
  <si>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</si>
  <si>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</si>
  <si>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</si>
  <si>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</si>
  <si>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</si>
  <si>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</si>
  <si>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</si>
  <si>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</si>
  <si>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</si>
  <si>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</si>
  <si>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</si>
  <si>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</si>
  <si>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</si>
  <si>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</si>
  <si>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</si>
  <si>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</si>
  <si>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</si>
  <si>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</si>
  <si>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</si>
  <si>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</si>
  <si>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</si>
  <si>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</si>
  <si>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</si>
  <si>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</si>
  <si>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</si>
  <si>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</si>
  <si>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</si>
  <si>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</si>
  <si>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</si>
  <si>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</si>
  <si>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</si>
  <si>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</si>
  <si>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</si>
  <si>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</si>
  <si>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</si>
  <si>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</si>
  <si>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</si>
  <si>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</si>
  <si>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</si>
  <si>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</si>
  <si>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</si>
  <si>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</si>
  <si>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</si>
  <si>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</si>
  <si>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</si>
  <si>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</si>
  <si>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</si>
  <si>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</si>
  <si>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</si>
  <si>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</si>
  <si>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</si>
  <si>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</si>
  <si>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</si>
  <si>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</si>
  <si>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</si>
  <si>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</si>
  <si>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</si>
  <si>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</si>
  <si>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</si>
  <si>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</si>
  <si>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</si>
  <si>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</si>
  <si>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</si>
  <si>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</si>
  <si>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</si>
  <si>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</si>
  <si>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</si>
  <si>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</si>
  <si>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</si>
  <si>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</si>
  <si>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</si>
  <si>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</si>
  <si>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</si>
  <si>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</si>
  <si>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</si>
  <si>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</si>
  <si>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</si>
  <si>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</si>
  <si>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</si>
  <si>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</si>
  <si>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</si>
  <si>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</si>
  <si>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</si>
  <si>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</si>
  <si>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</si>
  <si>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</si>
  <si>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</si>
  <si>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</si>
  <si>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</si>
  <si>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</si>
  <si>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</si>
  <si>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</si>
  <si>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</si>
  <si>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</si>
  <si>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</si>
  <si>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</si>
  <si>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</si>
  <si>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</si>
  <si>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</si>
  <si>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</si>
  <si>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</si>
  <si>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</si>
  <si>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</si>
  <si>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</si>
  <si>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</si>
  <si>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</si>
  <si>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</si>
  <si>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</si>
  <si>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</si>
  <si>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</si>
  <si>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</si>
  <si>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</si>
  <si>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</si>
  <si>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</si>
  <si>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</si>
  <si>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</si>
  <si>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</si>
  <si>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</si>
  <si>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</si>
  <si>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</si>
  <si>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</si>
  <si>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</si>
  <si>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</si>
  <si>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</si>
  <si>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</si>
  <si>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</si>
  <si>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</si>
  <si>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</si>
  <si>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</si>
  <si>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</si>
  <si>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</si>
  <si>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</si>
  <si>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</si>
  <si>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</si>
  <si>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</si>
  <si>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</si>
  <si>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</si>
  <si>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</si>
  <si>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</si>
  <si>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</si>
  <si>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</si>
  <si>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</si>
  <si>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</si>
  <si>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</si>
  <si>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</si>
  <si>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</si>
  <si>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</si>
  <si>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</si>
  <si>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</si>
  <si>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</si>
  <si>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</si>
  <si>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</si>
  <si>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</si>
  <si>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</si>
  <si>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</si>
  <si>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</si>
  <si>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</si>
  <si>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</si>
  <si>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</si>
  <si>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</si>
  <si>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</si>
  <si>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</si>
  <si>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</si>
  <si>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</si>
  <si>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</si>
  <si>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</si>
  <si>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</si>
  <si>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</si>
  <si>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</si>
  <si>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</si>
  <si>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</si>
  <si>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</si>
  <si>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</si>
  <si>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</si>
  <si>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</si>
  <si>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</si>
  <si>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</si>
  <si>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</si>
  <si>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</si>
  <si>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</si>
  <si>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</si>
  <si>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</si>
  <si>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</si>
  <si>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</si>
  <si>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</si>
  <si>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</si>
  <si>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</si>
  <si>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</si>
  <si>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</si>
  <si>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</si>
  <si>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</si>
  <si>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</si>
  <si>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</si>
  <si>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</si>
  <si>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</si>
  <si>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</si>
  <si>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</si>
  <si>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</si>
  <si>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</si>
  <si>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</si>
  <si>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</si>
  <si>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</si>
  <si>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</si>
  <si>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</si>
  <si>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</si>
  <si>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</si>
  <si>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</si>
  <si>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</si>
  <si>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</si>
  <si>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</si>
  <si>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</si>
  <si>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</si>
  <si>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</si>
  <si>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</si>
  <si>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</si>
  <si>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</si>
  <si>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</si>
  <si>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</si>
  <si>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</si>
  <si>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</si>
  <si>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</si>
  <si>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</si>
  <si>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</si>
  <si>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</si>
  <si>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</si>
  <si>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</si>
  <si>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</si>
  <si>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</si>
  <si>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</si>
  <si>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</si>
  <si>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</si>
  <si>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</si>
  <si>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</si>
  <si>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</si>
  <si>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</si>
  <si>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</si>
  <si>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</si>
  <si>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</si>
  <si>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</si>
  <si>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</si>
  <si>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</si>
  <si>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</si>
  <si>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</si>
  <si>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</si>
  <si>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</si>
  <si>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</si>
  <si>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</si>
  <si>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</si>
  <si>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</si>
  <si>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</si>
  <si>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</si>
  <si>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</si>
  <si>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</si>
  <si>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</si>
  <si>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</si>
  <si>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</si>
  <si>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</si>
  <si>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</si>
  <si>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</si>
  <si>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</si>
  <si>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</si>
  <si>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</si>
  <si>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</si>
  <si>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</si>
  <si>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</si>
  <si>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</si>
  <si>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</si>
  <si>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</si>
  <si>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</si>
  <si>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</si>
  <si>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</si>
  <si>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</si>
  <si>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</si>
  <si>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</si>
  <si>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</si>
  <si>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</si>
  <si>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</si>
  <si>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</si>
  <si>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</si>
  <si>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</si>
  <si>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</si>
  <si>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</si>
  <si>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</si>
  <si>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</si>
  <si>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</si>
  <si>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</si>
  <si>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</si>
  <si>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</si>
  <si>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</si>
  <si>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</si>
  <si>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</si>
  <si>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</si>
  <si>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</si>
  <si>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</si>
  <si>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</si>
  <si>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</si>
  <si>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</si>
  <si>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</si>
  <si>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</si>
  <si>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</si>
  <si>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</si>
  <si>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</si>
  <si>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</si>
  <si>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</si>
  <si>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</si>
  <si>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</si>
  <si>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</si>
  <si>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</si>
  <si>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Hydro.</t>
  </si>
  <si>
    <t>Corr SG</t>
  </si>
  <si>
    <t>Total Hops</t>
  </si>
  <si>
    <t>Refracto.</t>
  </si>
  <si>
    <t>Ferm Temp:</t>
  </si>
  <si>
    <t>When</t>
  </si>
  <si>
    <t>Original Gravity</t>
  </si>
  <si>
    <t>Preferred SG Tool</t>
  </si>
  <si>
    <t>O.G.:</t>
  </si>
  <si>
    <t>F.G.:</t>
  </si>
  <si>
    <t>Batch Vol:</t>
  </si>
  <si>
    <t>Ferm Vol:</t>
  </si>
  <si>
    <t>Refrac</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</si>
  <si>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</si>
  <si>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</si>
  <si>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</si>
  <si>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</si>
  <si>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</si>
  <si>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</si>
  <si>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</si>
  <si>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</si>
  <si>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</si>
  <si>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</si>
  <si>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</si>
  <si>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</si>
  <si>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</si>
  <si>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</si>
  <si>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</si>
  <si>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</si>
  <si>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</si>
  <si>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</si>
  <si>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</si>
  <si>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</si>
  <si>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</si>
  <si>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</si>
  <si>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</si>
  <si>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</si>
  <si>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</si>
  <si>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</si>
  <si>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</si>
  <si>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</si>
  <si>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</si>
  <si>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</si>
  <si>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</si>
  <si>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</si>
  <si>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</si>
  <si>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</si>
  <si>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</si>
  <si>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</si>
  <si>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</si>
  <si>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</si>
  <si>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</si>
  <si>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</si>
  <si>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</si>
  <si>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</si>
  <si>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</si>
  <si>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</si>
  <si>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</si>
  <si>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</si>
  <si>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</si>
  <si>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</si>
  <si>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</si>
  <si>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</si>
  <si>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</si>
  <si>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</si>
  <si>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</si>
  <si>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</si>
  <si>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</si>
  <si>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</si>
  <si>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</si>
  <si>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</si>
  <si>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</si>
  <si>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</si>
  <si>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</si>
  <si>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</si>
  <si>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</si>
  <si>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</si>
  <si>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</si>
  <si>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</si>
  <si>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</si>
  <si>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</si>
  <si>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</si>
  <si>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</si>
  <si>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</si>
  <si>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</si>
  <si>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</si>
  <si>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</si>
  <si>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</si>
  <si>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</si>
  <si>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</si>
  <si>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</si>
  <si>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</si>
  <si>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</si>
  <si>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</si>
  <si>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</si>
  <si>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</si>
  <si>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</si>
  <si>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</si>
  <si>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</si>
  <si>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</si>
  <si>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</si>
  <si>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</si>
  <si>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</si>
  <si>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</si>
  <si>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</si>
  <si>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</si>
  <si>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</si>
  <si>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</si>
  <si>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</si>
  <si>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</si>
  <si>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</si>
  <si>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</si>
  <si>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</si>
  <si>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</si>
  <si>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</si>
  <si>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</si>
  <si>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</si>
  <si>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</si>
  <si>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</si>
  <si>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</si>
  <si>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</si>
  <si>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</si>
  <si>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</si>
  <si>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</si>
  <si>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</si>
  <si>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</si>
  <si>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</si>
  <si>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</si>
  <si>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</si>
  <si>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</si>
  <si>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</si>
  <si>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</si>
  <si>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</si>
  <si>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</si>
  <si>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</si>
  <si>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</si>
  <si>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</si>
  <si>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</si>
  <si>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</si>
  <si>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</si>
  <si>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</si>
  <si>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</si>
  <si>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</si>
  <si>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</si>
  <si>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</si>
  <si>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</si>
  <si>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</si>
  <si>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</si>
  <si>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</si>
  <si>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</si>
  <si>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</si>
  <si>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</si>
  <si>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</si>
  <si>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</si>
  <si>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</si>
  <si>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</si>
  <si>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</si>
  <si>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</si>
  <si>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</si>
  <si>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</si>
  <si>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</si>
  <si>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</si>
  <si>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</si>
  <si>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</si>
  <si>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</si>
  <si>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</si>
  <si>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</si>
  <si>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</si>
  <si>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</si>
  <si>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</si>
  <si>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</si>
  <si>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</si>
  <si>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</si>
  <si>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</si>
  <si>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</si>
  <si>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</si>
  <si>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</si>
  <si>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</si>
  <si>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</si>
  <si>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</si>
  <si>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</si>
  <si>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</si>
  <si>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</si>
  <si>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</si>
  <si>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</si>
  <si>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</si>
  <si>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</si>
  <si>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</si>
  <si>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</si>
  <si>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</si>
  <si>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</si>
  <si>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</si>
  <si>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</si>
  <si>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</si>
  <si>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</si>
  <si>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</si>
  <si>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</si>
  <si>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</si>
  <si>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</si>
  <si>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</si>
  <si>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</si>
  <si>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</si>
  <si>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</si>
  <si>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</si>
  <si>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</si>
  <si>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</si>
  <si>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Hop Stand:</t>
  </si>
  <si>
    <t>CTZ</t>
  </si>
  <si>
    <t>14.5-16.5%</t>
  </si>
  <si>
    <t>Columbus, Tomahawk, and Zeus. High on the bittering scale yet also valued for its oil content.</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</si>
  <si>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</si>
  <si>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</si>
  <si>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</si>
  <si>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</si>
  <si>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</si>
  <si>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</si>
  <si>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</si>
  <si>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</si>
  <si>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</si>
  <si>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</si>
  <si>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</si>
  <si>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</si>
  <si>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</si>
  <si>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</si>
  <si>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</si>
  <si>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</si>
  <si>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</si>
  <si>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</si>
  <si>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</si>
  <si>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</si>
  <si>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</si>
  <si>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</si>
  <si>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</si>
  <si>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</si>
  <si>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</si>
  <si>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</si>
  <si>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</si>
  <si>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</si>
  <si>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</si>
  <si>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</si>
  <si>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</si>
  <si>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</si>
  <si>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</si>
  <si>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</si>
  <si>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</si>
  <si>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</si>
  <si>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</si>
  <si>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</si>
  <si>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</si>
  <si>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</si>
  <si>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</si>
  <si>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</si>
  <si>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</si>
  <si>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</si>
  <si>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</si>
  <si>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</si>
  <si>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</si>
  <si>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</si>
  <si>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</si>
  <si>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</si>
  <si>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</si>
  <si>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</si>
  <si>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</si>
  <si>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</si>
  <si>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</si>
  <si>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</si>
  <si>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</si>
  <si>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</si>
  <si>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</si>
  <si>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</si>
  <si>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</si>
  <si>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</si>
  <si>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</si>
  <si>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</si>
  <si>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</si>
  <si>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</si>
  <si>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</si>
  <si>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</si>
  <si>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</si>
  <si>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</si>
  <si>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</si>
  <si>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</si>
  <si>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</si>
  <si>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</si>
  <si>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</si>
  <si>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</si>
  <si>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</si>
  <si>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</si>
  <si>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</si>
  <si>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</si>
  <si>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</si>
  <si>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</si>
  <si>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</si>
  <si>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</si>
  <si>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</si>
  <si>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</si>
  <si>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</si>
  <si>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</si>
  <si>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</si>
  <si>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</si>
  <si>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</si>
  <si>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</si>
  <si>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</si>
  <si>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</si>
  <si>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</si>
  <si>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</si>
  <si>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</si>
  <si>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</si>
  <si>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</si>
  <si>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</si>
  <si>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</si>
  <si>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</si>
  <si>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</si>
  <si>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</si>
  <si>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</si>
  <si>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</si>
  <si>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</si>
  <si>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</si>
  <si>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</si>
  <si>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</si>
  <si>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</si>
  <si>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</si>
  <si>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</si>
  <si>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</si>
  <si>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</si>
  <si>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</si>
  <si>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</si>
  <si>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</si>
  <si>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</si>
  <si>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</si>
  <si>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</si>
  <si>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</si>
  <si>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</si>
  <si>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</si>
  <si>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</si>
  <si>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Pellet</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</si>
  <si>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</si>
  <si>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</si>
  <si>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</si>
  <si>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</si>
  <si>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</si>
  <si>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</si>
  <si>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</si>
  <si>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</si>
  <si>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</si>
  <si>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</si>
  <si>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</si>
  <si>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</si>
  <si>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</si>
  <si>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</si>
  <si>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</si>
  <si>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</si>
  <si>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</si>
  <si>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</si>
  <si>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</si>
  <si>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</si>
  <si>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</si>
  <si>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</si>
  <si>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</si>
  <si>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</si>
  <si>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</si>
  <si>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</si>
  <si>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</si>
  <si>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</si>
  <si>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</si>
  <si>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</si>
  <si>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</si>
  <si>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</si>
  <si>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</si>
  <si>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</si>
  <si>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</si>
  <si>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</si>
  <si>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</si>
  <si>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</si>
  <si>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</si>
  <si>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</si>
  <si>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</si>
  <si>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</si>
  <si>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</si>
  <si>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</si>
  <si>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</si>
  <si>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</si>
  <si>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</si>
  <si>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</si>
  <si>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</si>
  <si>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</si>
  <si>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</si>
  <si>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</si>
  <si>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</si>
  <si>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</si>
  <si>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</si>
  <si>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</si>
  <si>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</si>
  <si>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</si>
  <si>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</si>
  <si>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</si>
  <si>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</si>
  <si>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</si>
  <si>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</si>
  <si>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</si>
  <si>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</si>
  <si>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</si>
  <si>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</si>
  <si>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</si>
  <si>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</si>
  <si>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</si>
  <si>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</si>
  <si>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</si>
  <si>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</si>
  <si>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</si>
  <si>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</si>
  <si>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</si>
  <si>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</si>
  <si>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</si>
  <si>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</si>
  <si>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</si>
  <si>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</si>
  <si>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</si>
  <si>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</si>
  <si>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</si>
  <si>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</si>
  <si>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</si>
  <si>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</si>
  <si>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</si>
  <si>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</si>
  <si>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</si>
  <si>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</si>
  <si>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</si>
  <si>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</si>
  <si>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</si>
  <si>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</si>
  <si>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</si>
  <si>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</si>
  <si>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</si>
  <si>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</si>
  <si>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</si>
  <si>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</si>
  <si>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</si>
  <si>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</si>
  <si>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</si>
  <si>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</si>
  <si>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</si>
  <si>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</si>
  <si>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</si>
  <si>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</si>
  <si>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</si>
  <si>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</si>
  <si>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</si>
  <si>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</si>
  <si>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</si>
  <si>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</si>
  <si>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</si>
  <si>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</si>
  <si>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</si>
  <si>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</si>
  <si>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</si>
  <si>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</si>
  <si>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</si>
  <si>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</si>
  <si>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</si>
  <si>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</si>
  <si>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</si>
  <si>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</si>
  <si>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</si>
  <si>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</si>
  <si>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</si>
  <si>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</si>
  <si>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</si>
  <si>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</si>
  <si>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</si>
  <si>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</si>
  <si>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</si>
  <si>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</si>
  <si>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</si>
  <si>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</si>
  <si>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</si>
  <si>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</si>
  <si>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</si>
  <si>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</si>
  <si>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</si>
  <si>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</si>
  <si>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</si>
  <si>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</si>
  <si>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</si>
  <si>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</si>
  <si>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</si>
  <si>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</si>
  <si>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</si>
  <si>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</si>
  <si>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</si>
  <si>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</si>
  <si>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</si>
  <si>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21B. Specialty IPA: New England IPA</t>
  </si>
  <si>
    <t>27. Gose</t>
  </si>
  <si>
    <t>27. Kentucky Common</t>
  </si>
  <si>
    <t>27. Lichtenhainer</t>
  </si>
  <si>
    <t>27. London Brown Ale</t>
  </si>
  <si>
    <t>27. Piwo Grodziskie</t>
  </si>
  <si>
    <t>27. Pre-Prohibition Lager</t>
  </si>
  <si>
    <t>27. Roggenbier</t>
  </si>
  <si>
    <t>27. Sahti</t>
  </si>
  <si>
    <t>27. Pre-Prohibition Porter</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</si>
  <si>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</si>
  <si>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</si>
  <si>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</si>
  <si>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</si>
  <si>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</si>
  <si>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</si>
  <si>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</si>
  <si>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</si>
  <si>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</si>
  <si>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</si>
  <si>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</si>
  <si>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</si>
  <si>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</si>
  <si>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</si>
  <si>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</si>
  <si>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</si>
  <si>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</si>
  <si>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</si>
  <si>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</si>
  <si>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</si>
  <si>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Exchilerator</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</si>
  <si>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</si>
  <si>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</si>
  <si>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</si>
  <si>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</si>
  <si>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</si>
  <si>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</si>
  <si>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</si>
  <si>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</si>
  <si>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</si>
  <si>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</si>
  <si>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</si>
  <si>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</si>
  <si>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</si>
  <si>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</si>
  <si>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</si>
  <si>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</si>
  <si>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</si>
  <si>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</si>
  <si>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</si>
  <si>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</si>
  <si>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</si>
  <si>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</si>
  <si>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</si>
  <si>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</si>
  <si>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</si>
  <si>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</si>
  <si>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</si>
  <si>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</si>
  <si>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</si>
  <si>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</si>
  <si>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</si>
  <si>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</si>
  <si>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</si>
  <si>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</si>
  <si>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</si>
  <si>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</si>
  <si>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</si>
  <si>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</si>
  <si>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</si>
  <si>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</si>
  <si>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</si>
  <si>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</si>
  <si>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</si>
  <si>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</si>
  <si>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</si>
  <si>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</si>
  <si>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</si>
  <si>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</si>
  <si>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</si>
  <si>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</si>
  <si>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</si>
  <si>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</si>
  <si>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</si>
  <si>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</si>
  <si>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</si>
  <si>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</si>
  <si>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</si>
  <si>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</si>
  <si>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</si>
  <si>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</si>
  <si>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</si>
  <si>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</si>
  <si>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</si>
  <si>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</si>
  <si>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</si>
  <si>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</si>
  <si>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Liquor-Grist Ratio</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</si>
  <si>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</si>
  <si>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</si>
  <si>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</si>
  <si>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</si>
  <si>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</si>
  <si>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</si>
  <si>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</si>
  <si>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</si>
  <si>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</si>
  <si>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</si>
  <si>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</si>
  <si>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</si>
  <si>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</si>
  <si>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</si>
  <si>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</si>
  <si>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</si>
  <si>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</si>
  <si>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</si>
  <si>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</si>
  <si>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</si>
  <si>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</si>
  <si>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</si>
  <si>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</si>
  <si>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</si>
  <si>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</si>
  <si>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</si>
  <si>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</si>
  <si>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</si>
  <si>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</si>
  <si>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</si>
  <si>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</si>
  <si>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</si>
  <si>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</si>
  <si>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</si>
  <si>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</si>
  <si>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</si>
  <si>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</si>
  <si>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</si>
  <si>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</si>
  <si>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</si>
  <si>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</si>
  <si>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</si>
  <si>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pH</t>
  </si>
  <si>
    <t>Batch Sparge</t>
  </si>
  <si>
    <t>Fly Sparge</t>
  </si>
  <si>
    <t>Grain + Water</t>
  </si>
  <si>
    <t>Tun Vol w/</t>
  </si>
  <si>
    <t>Starting</t>
  </si>
  <si>
    <t>Ending</t>
  </si>
  <si>
    <t>MAX Available Sparge Additions</t>
  </si>
  <si>
    <t>Number of Drain Steps Required</t>
  </si>
  <si>
    <t>Add Top Up Water</t>
  </si>
  <si>
    <t>Refractometer</t>
  </si>
  <si>
    <t>No IC</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</si>
  <si>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</si>
  <si>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</si>
  <si>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</si>
  <si>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</si>
  <si>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</si>
  <si>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</si>
  <si>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</si>
  <si>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</si>
  <si>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</si>
  <si>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</si>
  <si>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</si>
  <si>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</si>
  <si>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Pre-Boil</t>
  </si>
  <si>
    <t>Grain + Sugar</t>
  </si>
  <si>
    <t>Grains Only</t>
  </si>
  <si>
    <t>Starting Vol</t>
  </si>
  <si>
    <t>Hydrometer</t>
  </si>
  <si>
    <t>End Vol</t>
  </si>
  <si>
    <t>Brewing Process</t>
  </si>
  <si>
    <t xml:space="preserve">Fermenter </t>
  </si>
  <si>
    <t>w/ IC</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</si>
  <si>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</si>
  <si>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</si>
  <si>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</si>
  <si>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</si>
  <si>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</si>
  <si>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</si>
  <si>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</si>
  <si>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</si>
  <si>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</si>
  <si>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</si>
  <si>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</si>
  <si>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</si>
  <si>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</si>
  <si>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</si>
  <si>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Total Strike Water</t>
  </si>
  <si>
    <t>4 Top Up Water</t>
  </si>
  <si>
    <t>4 Subseq Water Add'</t>
  </si>
  <si>
    <t>Manual Entry</t>
  </si>
  <si>
    <t>Drop Down Selection</t>
  </si>
  <si>
    <t>Autofilled</t>
  </si>
  <si>
    <t>beernbbqbylarry.com</t>
  </si>
  <si>
    <t xml:space="preserve">For tutorials, go to: </t>
  </si>
  <si>
    <t>Loose</t>
  </si>
  <si>
    <t>Grain Abs Rate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</si>
  <si>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</si>
  <si>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</si>
  <si>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</si>
  <si>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</si>
  <si>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</si>
  <si>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</si>
  <si>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</si>
  <si>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BEER-N-BBQ by Larry</t>
  </si>
  <si>
    <t>FK 35L Snubnose, FermZilla AR 30L</t>
  </si>
  <si>
    <t>Mash Recirculation Volume</t>
  </si>
  <si>
    <t>Kettle Recirculation Volume</t>
  </si>
  <si>
    <t>Hoses/Pump</t>
  </si>
  <si>
    <t>4.1 DRAFT Account for hose volume</t>
  </si>
  <si>
    <t>4.1 DRAFT - Fixed Sparge water volume on water additions tabs.</t>
  </si>
  <si>
    <t>4.1 DRAFT - Added more cells to record variables in recipe sheet.</t>
  </si>
  <si>
    <t>Cannabis, Decarboxylated</t>
  </si>
  <si>
    <t>N/A</t>
  </si>
  <si>
    <t>4.1 DRAFT - Added new specialty dry hop ingredient.</t>
  </si>
  <si>
    <t>FK 35L Snubnose, Spike Flex+</t>
  </si>
  <si>
    <t>1</t>
  </si>
  <si>
    <t>oak chips</t>
  </si>
  <si>
    <t>Bourbon</t>
  </si>
  <si>
    <t>yeast nutrient</t>
  </si>
  <si>
    <t>.5 tsp</t>
  </si>
  <si>
    <t>pitch</t>
  </si>
  <si>
    <t>post-ferment</t>
  </si>
  <si>
    <t>Blichmann BrewEasy, 10 Gal, Electric, 75% Power, HiGrav</t>
  </si>
  <si>
    <t xml:space="preserve">NOTES:
• Optionally, to avoid astringency, either add roasted grains late in mash or make a cold steeped tea in advance and add to boil.
• Ferment out (~10–14 days).
• While fermenting, soak oak chips in just enough bourbon to cover them for ~2 weeks or longer. Use air tight jar.
• Rack to another vessel, and add soaked chips and some (or all of) the bourbon for a couple of weeks or longer. Taste over time to ensure it doesn't become too oaky. Optionally, use a weighted sanitized mesh bag to sink the chips and keep tubing from clogging during transfer later. A bag also allows removal if flavor gets to become too strong. Or, if not using bag, rack again to get beer off oak if necessary.
• Keg. Use closed system transfer if possible to prolong shelf life since it may take to while to drink all of this.
</t>
  </si>
  <si>
    <t>2 oz</t>
  </si>
  <si>
    <t>See notes</t>
  </si>
  <si>
    <t>2 pkg</t>
  </si>
  <si>
    <t>dry yeast (See yeast info for strain)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</si>
</sst>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3"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s>
  <fills count="2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s>
  <borders count="1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double">
        <color indexed="64"/>
      </top>
      <bottom style="double">
        <color indexed="64"/>
      </bottom>
      <diagonal/>
    </border>
    <border>
      <left/>
      <right style="thick">
        <color indexed="64"/>
      </right>
      <top style="double">
        <color indexed="64"/>
      </top>
      <bottom style="double">
        <color indexed="64"/>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ck">
        <color indexed="64"/>
      </bottom>
      <diagonal/>
    </border>
    <border>
      <left/>
      <right style="thick">
        <color indexed="64"/>
      </right>
      <top style="medium">
        <color indexed="64"/>
      </top>
      <bottom/>
      <diagonal/>
    </border>
    <border>
      <left style="thick">
        <color indexed="64"/>
      </left>
      <right/>
      <top style="medium">
        <color indexed="64"/>
      </top>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99">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164" fontId="0" fillId="5" borderId="1" xfId="0" applyNumberFormat="1" applyFill="1" applyBorder="1" applyAlignment="1">
      <alignment horizontal="center"/>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5" borderId="10" xfId="0" applyFont="1" applyFill="1" applyBorder="1" applyAlignment="1">
      <alignment horizontal="center" vertical="center" wrapText="1"/>
    </xf>
    <xf numFmtId="0" fontId="4" fillId="6" borderId="1" xfId="0" applyFon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2"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70" fontId="0" fillId="5" borderId="10" xfId="0" applyNumberFormat="1" applyFill="1" applyBorder="1" applyAlignment="1">
      <alignment horizontal="center"/>
    </xf>
    <xf numFmtId="0" fontId="10" fillId="0" borderId="11" xfId="2" applyBorder="1" applyAlignment="1" applyProtection="1">
      <alignment horizontal="center"/>
    </xf>
    <xf numFmtId="167" fontId="0" fillId="6" borderId="27" xfId="1" applyNumberFormat="1" applyFont="1" applyFill="1" applyBorder="1" applyAlignment="1" applyProtection="1">
      <alignment horizontal="center"/>
      <protection locked="0"/>
    </xf>
    <xf numFmtId="0" fontId="4" fillId="0" borderId="4" xfId="0" applyFont="1" applyBorder="1" applyAlignment="1">
      <alignment horizontal="center"/>
    </xf>
    <xf numFmtId="0" fontId="4" fillId="0" borderId="9" xfId="0" applyFont="1" applyBorder="1" applyAlignment="1">
      <alignment vertical="center" wrapText="1"/>
    </xf>
    <xf numFmtId="166" fontId="4" fillId="5" borderId="1" xfId="0" applyNumberFormat="1" applyFont="1" applyFill="1" applyBorder="1" applyAlignment="1">
      <alignment horizontal="center" vertical="center"/>
    </xf>
    <xf numFmtId="166" fontId="4" fillId="5" borderId="9" xfId="0" applyNumberFormat="1" applyFont="1" applyFill="1" applyBorder="1" applyAlignment="1">
      <alignment horizontal="center" vertical="center"/>
    </xf>
    <xf numFmtId="0" fontId="0" fillId="0" borderId="9" xfId="0" applyBorder="1" applyAlignment="1">
      <alignment horizontal="center"/>
    </xf>
    <xf numFmtId="2" fontId="4" fillId="5" borderId="2" xfId="0" applyNumberFormat="1" applyFont="1" applyFill="1" applyBorder="1" applyAlignment="1">
      <alignment horizontal="center" vertical="center"/>
    </xf>
    <xf numFmtId="166" fontId="4" fillId="5" borderId="10" xfId="0" applyNumberFormat="1" applyFont="1" applyFill="1" applyBorder="1" applyAlignment="1">
      <alignment horizontal="center" vertical="center"/>
    </xf>
    <xf numFmtId="166" fontId="4" fillId="5" borderId="30" xfId="0" applyNumberFormat="1" applyFont="1" applyFill="1" applyBorder="1" applyAlignment="1">
      <alignment horizontal="center" vertical="center"/>
    </xf>
    <xf numFmtId="2" fontId="4" fillId="5" borderId="30" xfId="0" applyNumberFormat="1" applyFont="1" applyFill="1" applyBorder="1" applyAlignment="1">
      <alignment horizontal="center" vertic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14" fillId="0" borderId="9" xfId="0" applyFont="1" applyBorder="1" applyAlignment="1">
      <alignment horizontal="center" vertical="center"/>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2" fillId="13" borderId="0" xfId="6" applyFill="1"/>
    <xf numFmtId="0" fontId="39" fillId="0" borderId="0" xfId="6" applyFont="1"/>
    <xf numFmtId="0" fontId="13" fillId="0" borderId="0" xfId="6" applyFont="1"/>
    <xf numFmtId="0" fontId="40" fillId="0" borderId="0" xfId="6" applyFont="1"/>
    <xf numFmtId="0" fontId="2" fillId="13" borderId="1" xfId="6" applyFill="1" applyBorder="1"/>
    <xf numFmtId="0" fontId="13" fillId="0" borderId="61" xfId="6" applyFont="1" applyBorder="1" applyAlignment="1">
      <alignment horizontal="right"/>
    </xf>
    <xf numFmtId="2" fontId="13" fillId="13" borderId="62" xfId="6" applyNumberFormat="1" applyFont="1" applyFill="1" applyBorder="1" applyAlignment="1">
      <alignment horizontal="center"/>
    </xf>
    <xf numFmtId="0" fontId="13" fillId="0" borderId="63" xfId="6" applyFont="1" applyBorder="1"/>
    <xf numFmtId="0" fontId="44" fillId="0" borderId="0" xfId="7"/>
    <xf numFmtId="164" fontId="2" fillId="0" borderId="0" xfId="6" applyNumberFormat="1"/>
    <xf numFmtId="11" fontId="2"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0" fontId="2" fillId="8" borderId="1" xfId="6" applyFill="1" applyBorder="1" applyProtection="1">
      <protection locked="0"/>
    </xf>
    <xf numFmtId="164" fontId="2" fillId="8" borderId="1" xfId="6" applyNumberFormat="1" applyFill="1" applyBorder="1" applyProtection="1">
      <protection locked="0"/>
    </xf>
    <xf numFmtId="2" fontId="2" fillId="8" borderId="1" xfId="6" applyNumberFormat="1" applyFill="1" applyBorder="1" applyProtection="1">
      <protection locked="0"/>
    </xf>
    <xf numFmtId="11" fontId="2" fillId="8" borderId="1" xfId="6" applyNumberFormat="1" applyFill="1" applyBorder="1" applyProtection="1">
      <protection locked="0"/>
    </xf>
    <xf numFmtId="2" fontId="21" fillId="0" borderId="5" xfId="0" applyNumberFormat="1" applyFont="1" applyBorder="1" applyAlignment="1">
      <alignment horizontal="center" vertical="center"/>
    </xf>
    <xf numFmtId="0" fontId="4"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4"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5" borderId="1" xfId="0" applyNumberFormat="1" applyFill="1" applyBorder="1" applyAlignment="1">
      <alignment horizontal="center"/>
    </xf>
    <xf numFmtId="0" fontId="4" fillId="0" borderId="13" xfId="0" applyFont="1" applyBorder="1" applyAlignment="1">
      <alignment vertical="center" wrapText="1"/>
    </xf>
    <xf numFmtId="166" fontId="0" fillId="15"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Font="1"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Font="1"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5" borderId="10" xfId="0" applyNumberFormat="1" applyFill="1" applyBorder="1" applyAlignment="1">
      <alignment horizontal="center"/>
    </xf>
    <xf numFmtId="2" fontId="0" fillId="15" borderId="1" xfId="0" applyNumberFormat="1" applyFill="1" applyBorder="1" applyAlignment="1">
      <alignment horizontal="center"/>
    </xf>
    <xf numFmtId="0" fontId="0" fillId="0" borderId="0" xfId="0" applyAlignment="1">
      <alignment horizontal="center"/>
    </xf>
    <xf numFmtId="166" fontId="14" fillId="6" borderId="10" xfId="0" applyNumberFormat="1" applyFont="1" applyFill="1" applyBorder="1" applyAlignment="1" applyProtection="1">
      <alignment horizontal="center" vertical="center"/>
      <protection locked="0"/>
    </xf>
    <xf numFmtId="1" fontId="14" fillId="6" borderId="1" xfId="0" applyNumberFormat="1" applyFont="1" applyFill="1" applyBorder="1" applyAlignment="1" applyProtection="1">
      <alignment horizontal="center" vertical="center"/>
      <protection locked="0"/>
    </xf>
    <xf numFmtId="164" fontId="14" fillId="6" borderId="2" xfId="0" applyNumberFormat="1" applyFont="1" applyFill="1" applyBorder="1" applyAlignment="1" applyProtection="1">
      <alignment horizontal="center" vertical="center"/>
      <protection locked="0"/>
    </xf>
    <xf numFmtId="166" fontId="14" fillId="6" borderId="9" xfId="0" applyNumberFormat="1" applyFont="1" applyFill="1" applyBorder="1" applyAlignment="1" applyProtection="1">
      <alignment horizontal="center" vertical="center"/>
      <protection locked="0"/>
    </xf>
    <xf numFmtId="164" fontId="14" fillId="6" borderId="9" xfId="0" applyNumberFormat="1" applyFont="1" applyFill="1" applyBorder="1" applyAlignment="1" applyProtection="1">
      <alignment horizontal="center" vertical="center"/>
      <protection locked="0"/>
    </xf>
    <xf numFmtId="166" fontId="14" fillId="6" borderId="1" xfId="0" applyNumberFormat="1"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0" fontId="0" fillId="0" borderId="0" xfId="0" applyFont="1" applyProtection="1">
      <protection locked="0"/>
    </xf>
    <xf numFmtId="0" fontId="0" fillId="0" borderId="0" xfId="0"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pplyProtection="1">
      <alignment horizontal="center"/>
    </xf>
    <xf numFmtId="1" fontId="0" fillId="0" borderId="0" xfId="0" applyNumberFormat="1" applyAlignment="1" applyProtection="1">
      <alignment horizontal="center"/>
    </xf>
    <xf numFmtId="1" fontId="4" fillId="0" borderId="0" xfId="0" applyNumberFormat="1" applyFont="1" applyAlignment="1" applyProtection="1">
      <alignment horizontal="center"/>
    </xf>
    <xf numFmtId="0" fontId="0" fillId="0" borderId="0" xfId="0" applyAlignment="1">
      <alignment horizontal="center"/>
    </xf>
    <xf numFmtId="9" fontId="0" fillId="0" borderId="0" xfId="1" applyFont="1"/>
    <xf numFmtId="0" fontId="0" fillId="0" borderId="0" xfId="0" applyBorder="1"/>
    <xf numFmtId="9" fontId="0" fillId="16" borderId="6" xfId="1" applyFont="1" applyFill="1" applyBorder="1" applyAlignment="1" applyProtection="1">
      <alignment horizontal="center"/>
    </xf>
    <xf numFmtId="0" fontId="0" fillId="16" borderId="1" xfId="0" applyFill="1" applyBorder="1" applyAlignment="1" applyProtection="1">
      <alignment horizontal="center"/>
    </xf>
    <xf numFmtId="10" fontId="0" fillId="0" borderId="0" xfId="0" applyNumberFormat="1"/>
    <xf numFmtId="0" fontId="4" fillId="0" borderId="0" xfId="0" applyFont="1" applyBorder="1"/>
    <xf numFmtId="0" fontId="4" fillId="0" borderId="0" xfId="0" applyFont="1" applyBorder="1" applyAlignment="1">
      <alignment horizontal="center"/>
    </xf>
    <xf numFmtId="9" fontId="0" fillId="0" borderId="0" xfId="1" applyFont="1" applyBorder="1"/>
    <xf numFmtId="10" fontId="0" fillId="0" borderId="0" xfId="0" applyNumberFormat="1" applyBorder="1" applyAlignment="1">
      <alignment horizontal="center"/>
    </xf>
    <xf numFmtId="0" fontId="0" fillId="0" borderId="0" xfId="0" applyBorder="1" applyAlignment="1">
      <alignment horizontal="center"/>
    </xf>
    <xf numFmtId="166" fontId="0" fillId="16" borderId="12" xfId="0" applyNumberFormat="1" applyFill="1" applyBorder="1" applyAlignment="1" applyProtection="1">
      <alignment horizontal="center"/>
    </xf>
    <xf numFmtId="2" fontId="0" fillId="16" borderId="1" xfId="0" applyNumberFormat="1" applyFill="1" applyBorder="1" applyAlignment="1" applyProtection="1">
      <alignment horizontal="center"/>
    </xf>
    <xf numFmtId="0" fontId="3" fillId="0" borderId="88" xfId="0" applyFont="1" applyFill="1" applyBorder="1" applyAlignment="1">
      <alignment horizontal="center"/>
    </xf>
    <xf numFmtId="9" fontId="4" fillId="6" borderId="7" xfId="0" applyNumberFormat="1" applyFont="1" applyFill="1" applyBorder="1" applyAlignment="1" applyProtection="1">
      <alignment horizontal="center" vertical="center" shrinkToFit="1"/>
      <protection locked="0"/>
    </xf>
    <xf numFmtId="9" fontId="0" fillId="6" borderId="74" xfId="0" applyNumberFormat="1" applyFill="1" applyBorder="1" applyAlignment="1" applyProtection="1">
      <alignment horizontal="center" vertical="center" shrinkToFit="1"/>
      <protection locked="0"/>
    </xf>
    <xf numFmtId="167" fontId="0" fillId="16" borderId="14" xfId="0" applyNumberFormat="1" applyFill="1" applyBorder="1" applyAlignment="1" applyProtection="1">
      <alignment horizontal="center"/>
    </xf>
    <xf numFmtId="9" fontId="0" fillId="16" borderId="1" xfId="0" applyNumberFormat="1" applyFill="1" applyBorder="1" applyAlignment="1" applyProtection="1">
      <alignment horizontal="center"/>
    </xf>
    <xf numFmtId="166" fontId="0" fillId="16" borderId="9" xfId="0" applyNumberFormat="1" applyFill="1" applyBorder="1" applyAlignment="1" applyProtection="1">
      <alignment horizontal="center"/>
    </xf>
    <xf numFmtId="166" fontId="0" fillId="16" borderId="14" xfId="0" applyNumberFormat="1" applyFill="1" applyBorder="1" applyAlignment="1" applyProtection="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4" fillId="0" borderId="4" xfId="0"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0" fillId="0" borderId="0" xfId="0" applyAlignment="1">
      <alignment horizontal="center"/>
    </xf>
    <xf numFmtId="0" fontId="4" fillId="0" borderId="103" xfId="0" applyFont="1" applyBorder="1" applyAlignment="1">
      <alignment horizontal="center"/>
    </xf>
    <xf numFmtId="0" fontId="4" fillId="0" borderId="0" xfId="0" applyFont="1" applyAlignment="1"/>
    <xf numFmtId="0" fontId="4" fillId="0" borderId="81" xfId="0" applyFont="1" applyBorder="1" applyAlignment="1">
      <alignment horizontal="center" vertical="center"/>
    </xf>
    <xf numFmtId="0" fontId="4" fillId="0" borderId="28" xfId="0" applyFont="1" applyFill="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0" xfId="0" applyFont="1" applyBorder="1" applyAlignment="1">
      <alignment horizontal="center"/>
    </xf>
    <xf numFmtId="0" fontId="4" fillId="0" borderId="13" xfId="0" applyFont="1" applyBorder="1" applyAlignment="1">
      <alignment horizontal="center"/>
    </xf>
    <xf numFmtId="0" fontId="15" fillId="0" borderId="2" xfId="0" applyFont="1" applyBorder="1" applyAlignment="1">
      <alignment horizontal="center" vertical="center" wrapText="1"/>
    </xf>
    <xf numFmtId="166" fontId="0" fillId="6" borderId="78" xfId="0" applyNumberFormat="1" applyFill="1" applyBorder="1" applyAlignment="1" applyProtection="1">
      <alignment horizontal="center" vertical="center"/>
      <protection locked="0"/>
    </xf>
    <xf numFmtId="166" fontId="0" fillId="6" borderId="106" xfId="0" applyNumberFormat="1" applyFill="1" applyBorder="1" applyAlignment="1" applyProtection="1">
      <alignment horizontal="center" vertical="center"/>
      <protection locked="0"/>
    </xf>
    <xf numFmtId="166" fontId="0" fillId="6" borderId="1" xfId="1" applyNumberFormat="1" applyFont="1" applyFill="1" applyBorder="1" applyAlignment="1" applyProtection="1">
      <alignment horizontal="center" vertical="center"/>
      <protection locked="0"/>
    </xf>
    <xf numFmtId="0" fontId="4" fillId="0" borderId="5" xfId="0" applyFont="1" applyBorder="1" applyAlignment="1">
      <alignment horizontal="center" vertical="center"/>
    </xf>
    <xf numFmtId="166" fontId="0" fillId="6" borderId="1" xfId="0" applyNumberFormat="1" applyFill="1" applyBorder="1" applyAlignment="1" applyProtection="1">
      <alignment horizontal="center" vertical="center"/>
      <protection locked="0"/>
    </xf>
    <xf numFmtId="166" fontId="0" fillId="6" borderId="10" xfId="0" applyNumberForma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vertical="center"/>
    </xf>
    <xf numFmtId="1" fontId="0" fillId="6" borderId="78" xfId="1" applyNumberFormat="1" applyFont="1" applyFill="1" applyBorder="1" applyAlignment="1" applyProtection="1">
      <alignment horizontal="center" vertical="center"/>
      <protection locked="0"/>
    </xf>
    <xf numFmtId="166" fontId="0" fillId="6" borderId="64" xfId="1" applyNumberFormat="1" applyFont="1" applyFill="1" applyBorder="1" applyAlignment="1" applyProtection="1">
      <alignment horizontal="center" vertical="center"/>
      <protection locked="0"/>
    </xf>
    <xf numFmtId="2" fontId="0" fillId="6" borderId="9" xfId="1" applyNumberFormat="1" applyFont="1" applyFill="1" applyBorder="1" applyAlignment="1" applyProtection="1">
      <alignment horizontal="center" vertical="center"/>
      <protection locked="0"/>
    </xf>
    <xf numFmtId="0" fontId="4" fillId="0" borderId="91" xfId="0" applyFont="1" applyBorder="1" applyAlignment="1">
      <alignment horizontal="center"/>
    </xf>
    <xf numFmtId="0" fontId="4" fillId="0" borderId="0" xfId="0" applyFont="1" applyBorder="1" applyAlignment="1">
      <alignment horizontal="center" vertic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6" borderId="1" xfId="0" applyNumberFormat="1" applyFill="1" applyBorder="1" applyAlignment="1" applyProtection="1">
      <alignment horizontal="center" vertical="center"/>
    </xf>
    <xf numFmtId="0" fontId="0" fillId="0" borderId="29" xfId="0" applyBorder="1" applyAlignment="1">
      <alignment horizontal="center" vertical="center"/>
    </xf>
    <xf numFmtId="0" fontId="0" fillId="6" borderId="128" xfId="0" applyFill="1" applyBorder="1" applyAlignment="1" applyProtection="1">
      <alignment horizontal="center" vertical="center"/>
      <protection locked="0"/>
    </xf>
    <xf numFmtId="0" fontId="0" fillId="0" borderId="136" xfId="0" applyBorder="1" applyAlignment="1">
      <alignment horizontal="center" vertical="center"/>
    </xf>
    <xf numFmtId="0" fontId="4" fillId="0" borderId="73" xfId="0" applyFont="1" applyBorder="1" applyAlignment="1">
      <alignment horizontal="center"/>
    </xf>
    <xf numFmtId="166" fontId="0" fillId="16" borderId="21" xfId="0" applyNumberFormat="1" applyFill="1" applyBorder="1" applyAlignment="1" applyProtection="1">
      <alignment horizontal="center"/>
    </xf>
    <xf numFmtId="0" fontId="3" fillId="0" borderId="75" xfId="0" applyFont="1" applyBorder="1" applyAlignment="1">
      <alignment horizontal="center"/>
    </xf>
    <xf numFmtId="0" fontId="4" fillId="0" borderId="4" xfId="0" applyFont="1" applyBorder="1" applyAlignment="1">
      <alignment horizontal="center" vertical="center"/>
    </xf>
    <xf numFmtId="0" fontId="3" fillId="0" borderId="2"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Fill="1" applyBorder="1" applyAlignment="1">
      <alignment horizontal="center" vertical="center" wrapText="1"/>
    </xf>
    <xf numFmtId="0" fontId="4" fillId="0" borderId="82" xfId="0" applyFont="1" applyBorder="1" applyAlignment="1">
      <alignment horizontal="center" vertical="center"/>
    </xf>
    <xf numFmtId="2" fontId="0" fillId="6" borderId="10" xfId="0" applyNumberFormat="1" applyFill="1" applyBorder="1" applyAlignment="1" applyProtection="1">
      <alignment horizontal="center" vertical="center"/>
      <protection locked="0"/>
    </xf>
    <xf numFmtId="0" fontId="3" fillId="0" borderId="0" xfId="0" applyFont="1" applyBorder="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166" fontId="14" fillId="18" borderId="1" xfId="0" applyNumberFormat="1" applyFont="1" applyFill="1" applyBorder="1" applyAlignment="1">
      <alignment horizontal="center" vertical="center"/>
    </xf>
    <xf numFmtId="1" fontId="14" fillId="18" borderId="1" xfId="0" applyNumberFormat="1" applyFont="1" applyFill="1" applyBorder="1" applyAlignment="1">
      <alignment horizontal="center" vertical="center"/>
    </xf>
    <xf numFmtId="2" fontId="14" fillId="18" borderId="1" xfId="0" applyNumberFormat="1" applyFont="1" applyFill="1" applyBorder="1" applyAlignment="1">
      <alignment horizontal="center" vertical="center"/>
    </xf>
    <xf numFmtId="164" fontId="14" fillId="18" borderId="1" xfId="0" applyNumberFormat="1" applyFont="1" applyFill="1" applyBorder="1" applyAlignment="1">
      <alignment horizontal="center" vertical="center" shrinkToFit="1"/>
    </xf>
    <xf numFmtId="1" fontId="14" fillId="18" borderId="1" xfId="0" applyNumberFormat="1" applyFont="1" applyFill="1" applyBorder="1" applyAlignment="1">
      <alignment horizontal="center" vertical="center" shrinkToFit="1"/>
    </xf>
    <xf numFmtId="167" fontId="14" fillId="18" borderId="1" xfId="1" applyNumberFormat="1" applyFont="1" applyFill="1" applyBorder="1" applyAlignment="1">
      <alignment horizontal="center" vertical="center" shrinkToFit="1"/>
    </xf>
    <xf numFmtId="0" fontId="4" fillId="0" borderId="1" xfId="0" applyFont="1" applyBorder="1" applyAlignment="1">
      <alignment horizontal="center" vertical="center"/>
    </xf>
    <xf numFmtId="166" fontId="0" fillId="18" borderId="1" xfId="0" applyNumberFormat="1" applyFill="1" applyBorder="1" applyAlignment="1">
      <alignment horizontal="center" vertical="center"/>
    </xf>
    <xf numFmtId="0" fontId="4" fillId="0" borderId="3" xfId="0" applyFont="1" applyFill="1" applyBorder="1" applyAlignment="1">
      <alignment horizontal="center" vertical="center"/>
    </xf>
    <xf numFmtId="1" fontId="0" fillId="0" borderId="0" xfId="0" applyNumberFormat="1"/>
    <xf numFmtId="0" fontId="4" fillId="0" borderId="0" xfId="0" applyFont="1" applyBorder="1" applyAlignment="1">
      <alignment vertical="center" wrapText="1"/>
    </xf>
    <xf numFmtId="9" fontId="15" fillId="18" borderId="91" xfId="0" applyNumberFormat="1" applyFont="1" applyFill="1" applyBorder="1" applyAlignment="1">
      <alignment horizontal="center" vertical="center" wrapText="1"/>
    </xf>
    <xf numFmtId="9" fontId="15" fillId="18" borderId="109" xfId="0" applyNumberFormat="1" applyFont="1" applyFill="1" applyBorder="1" applyAlignment="1">
      <alignment horizontal="center" vertical="center" wrapText="1"/>
    </xf>
    <xf numFmtId="9" fontId="15" fillId="18" borderId="139" xfId="0" applyNumberFormat="1" applyFont="1" applyFill="1" applyBorder="1" applyAlignment="1">
      <alignment horizontal="center" vertical="center" wrapText="1"/>
    </xf>
    <xf numFmtId="9" fontId="15" fillId="18" borderId="89" xfId="0" applyNumberFormat="1" applyFont="1" applyFill="1" applyBorder="1" applyAlignment="1">
      <alignment horizontal="center" vertical="center" wrapText="1"/>
    </xf>
    <xf numFmtId="1" fontId="0" fillId="6" borderId="8" xfId="0" applyNumberFormat="1" applyFill="1" applyBorder="1" applyAlignment="1" applyProtection="1">
      <alignment horizontal="center" vertical="center"/>
      <protection locked="0"/>
    </xf>
    <xf numFmtId="9" fontId="0" fillId="6" borderId="10" xfId="1" applyFont="1" applyFill="1" applyBorder="1" applyAlignment="1" applyProtection="1">
      <alignment horizontal="center" vertical="center"/>
      <protection locked="0"/>
    </xf>
    <xf numFmtId="166" fontId="4" fillId="6" borderId="10" xfId="0" applyNumberFormat="1" applyFont="1" applyFill="1" applyBorder="1" applyAlignment="1" applyProtection="1">
      <alignment horizontal="center" vertical="center"/>
      <protection locked="0"/>
    </xf>
    <xf numFmtId="9" fontId="0" fillId="6" borderId="10" xfId="0" applyNumberFormat="1" applyFill="1" applyBorder="1" applyAlignment="1" applyProtection="1">
      <alignment horizontal="center" vertical="center"/>
      <protection locked="0"/>
    </xf>
    <xf numFmtId="166" fontId="0" fillId="6" borderId="93" xfId="0" applyNumberFormat="1" applyFill="1" applyBorder="1" applyAlignment="1" applyProtection="1">
      <alignment horizontal="center" vertical="center"/>
      <protection locked="0"/>
    </xf>
    <xf numFmtId="166" fontId="0" fillId="6" borderId="17" xfId="0" applyNumberFormat="1" applyFill="1" applyBorder="1" applyAlignment="1" applyProtection="1">
      <alignment horizontal="center" vertical="center"/>
      <protection locked="0"/>
    </xf>
    <xf numFmtId="1" fontId="0" fillId="6" borderId="4" xfId="0" applyNumberFormat="1" applyFill="1" applyBorder="1" applyAlignment="1" applyProtection="1">
      <alignment horizontal="center" vertical="center"/>
      <protection locked="0"/>
    </xf>
    <xf numFmtId="166" fontId="0" fillId="6" borderId="94" xfId="0" applyNumberFormat="1" applyFill="1" applyBorder="1" applyAlignment="1" applyProtection="1">
      <alignment horizontal="center" vertical="center"/>
      <protection locked="0"/>
    </xf>
    <xf numFmtId="9" fontId="0" fillId="6" borderId="1" xfId="0" applyNumberFormat="1" applyFill="1" applyBorder="1" applyAlignment="1" applyProtection="1">
      <alignment horizontal="center" vertical="center"/>
      <protection locked="0"/>
    </xf>
    <xf numFmtId="166" fontId="0" fillId="6" borderId="19" xfId="0" applyNumberFormat="1" applyFill="1" applyBorder="1" applyAlignment="1" applyProtection="1">
      <alignment horizontal="center" vertical="center"/>
      <protection locked="0"/>
    </xf>
    <xf numFmtId="166" fontId="4" fillId="6" borderId="1" xfId="0" applyNumberFormat="1" applyFont="1" applyFill="1" applyBorder="1" applyAlignment="1" applyProtection="1">
      <alignment horizontal="center" vertical="center"/>
      <protection locked="0"/>
    </xf>
    <xf numFmtId="1" fontId="0" fillId="6" borderId="4" xfId="0" applyNumberFormat="1" applyFill="1" applyBorder="1" applyAlignment="1" applyProtection="1">
      <alignment vertical="center"/>
      <protection locked="0"/>
    </xf>
    <xf numFmtId="9" fontId="0" fillId="6" borderId="1" xfId="1" applyFont="1" applyFill="1" applyBorder="1" applyAlignment="1" applyProtection="1">
      <alignment vertical="center"/>
      <protection locked="0"/>
    </xf>
    <xf numFmtId="166" fontId="0" fillId="6" borderId="1" xfId="0" applyNumberFormat="1" applyFill="1" applyBorder="1" applyAlignment="1" applyProtection="1">
      <alignment vertical="center"/>
      <protection locked="0"/>
    </xf>
    <xf numFmtId="9" fontId="0" fillId="6" borderId="1" xfId="0" applyNumberFormat="1" applyFill="1" applyBorder="1" applyAlignment="1" applyProtection="1">
      <alignment vertical="center"/>
      <protection locked="0"/>
    </xf>
    <xf numFmtId="166" fontId="0" fillId="6" borderId="94" xfId="0" applyNumberFormat="1" applyFill="1" applyBorder="1" applyAlignment="1" applyProtection="1">
      <alignment vertical="center"/>
      <protection locked="0"/>
    </xf>
    <xf numFmtId="1" fontId="0" fillId="6" borderId="73" xfId="0" applyNumberFormat="1" applyFill="1" applyBorder="1" applyAlignment="1" applyProtection="1">
      <alignment vertical="center"/>
      <protection locked="0"/>
    </xf>
    <xf numFmtId="9" fontId="0" fillId="6" borderId="21" xfId="1" applyFont="1" applyFill="1" applyBorder="1" applyAlignment="1" applyProtection="1">
      <alignment vertical="center"/>
      <protection locked="0"/>
    </xf>
    <xf numFmtId="166" fontId="0" fillId="6" borderId="21" xfId="0" applyNumberFormat="1" applyFill="1" applyBorder="1" applyAlignment="1" applyProtection="1">
      <alignment vertical="center"/>
      <protection locked="0"/>
    </xf>
    <xf numFmtId="9" fontId="0" fillId="6" borderId="21" xfId="0" applyNumberFormat="1" applyFill="1" applyBorder="1" applyAlignment="1" applyProtection="1">
      <alignment vertical="center"/>
      <protection locked="0"/>
    </xf>
    <xf numFmtId="166" fontId="0" fillId="6" borderId="95" xfId="0" applyNumberFormat="1" applyFill="1" applyBorder="1" applyAlignment="1" applyProtection="1">
      <alignment vertical="center"/>
      <protection locked="0"/>
    </xf>
    <xf numFmtId="9" fontId="0" fillId="6" borderId="21" xfId="0" applyNumberFormat="1" applyFill="1" applyBorder="1" applyAlignment="1" applyProtection="1">
      <alignment horizontal="center" vertical="center"/>
      <protection locked="0"/>
    </xf>
    <xf numFmtId="166" fontId="0" fillId="6" borderId="79" xfId="0" applyNumberFormat="1" applyFill="1" applyBorder="1" applyAlignment="1" applyProtection="1">
      <alignment horizontal="center" vertical="center"/>
      <protection locked="0"/>
    </xf>
    <xf numFmtId="166" fontId="0" fillId="6" borderId="90" xfId="0" applyNumberFormat="1" applyFill="1" applyBorder="1" applyAlignment="1" applyProtection="1">
      <alignment horizontal="center" vertical="center"/>
      <protection locked="0"/>
    </xf>
    <xf numFmtId="49" fontId="14" fillId="6" borderId="77" xfId="0" applyNumberFormat="1" applyFont="1" applyFill="1" applyBorder="1" applyAlignment="1" applyProtection="1">
      <alignment vertical="center" shrinkToFit="1"/>
      <protection locked="0"/>
    </xf>
    <xf numFmtId="49" fontId="14" fillId="6" borderId="18" xfId="0" applyNumberFormat="1" applyFont="1" applyFill="1" applyBorder="1" applyAlignment="1" applyProtection="1">
      <alignment vertical="center" shrinkToFit="1"/>
      <protection locked="0"/>
    </xf>
    <xf numFmtId="49" fontId="14" fillId="6" borderId="20" xfId="0" applyNumberFormat="1" applyFont="1" applyFill="1" applyBorder="1" applyAlignment="1" applyProtection="1">
      <alignment vertical="center" shrinkToFit="1"/>
      <protection locked="0"/>
    </xf>
    <xf numFmtId="0" fontId="14" fillId="6" borderId="96" xfId="0" applyFont="1" applyFill="1" applyBorder="1" applyAlignment="1" applyProtection="1">
      <alignment vertical="center" shrinkToFit="1"/>
      <protection locked="0"/>
    </xf>
    <xf numFmtId="0" fontId="14" fillId="6" borderId="97" xfId="0" applyFont="1" applyFill="1" applyBorder="1" applyAlignment="1" applyProtection="1">
      <alignment vertical="center" shrinkToFit="1"/>
      <protection locked="0"/>
    </xf>
    <xf numFmtId="0" fontId="14" fillId="6" borderId="98" xfId="0" applyFont="1" applyFill="1" applyBorder="1" applyAlignment="1" applyProtection="1">
      <alignment vertical="center" shrinkToFit="1"/>
      <protection locked="0"/>
    </xf>
    <xf numFmtId="49" fontId="14" fillId="17" borderId="1" xfId="0" applyNumberFormat="1" applyFont="1" applyFill="1" applyBorder="1" applyAlignment="1" applyProtection="1">
      <alignment horizontal="center" vertical="center" shrinkToFit="1"/>
      <protection locked="0"/>
    </xf>
    <xf numFmtId="49" fontId="14" fillId="17" borderId="21" xfId="0" applyNumberFormat="1" applyFont="1" applyFill="1" applyBorder="1" applyAlignment="1" applyProtection="1">
      <alignment horizontal="center" vertical="center" shrinkToFit="1"/>
      <protection locked="0"/>
    </xf>
    <xf numFmtId="164" fontId="0" fillId="6" borderId="79" xfId="0" applyNumberFormat="1" applyFill="1" applyBorder="1" applyAlignment="1" applyProtection="1">
      <alignment horizontal="center" vertical="center"/>
      <protection locked="0"/>
    </xf>
    <xf numFmtId="164" fontId="0" fillId="6" borderId="19" xfId="0" applyNumberFormat="1" applyFill="1" applyBorder="1" applyAlignment="1" applyProtection="1">
      <alignment horizontal="center" vertical="center"/>
      <protection locked="0"/>
    </xf>
    <xf numFmtId="164" fontId="0" fillId="6" borderId="90" xfId="0" applyNumberFormat="1" applyFill="1" applyBorder="1" applyAlignment="1" applyProtection="1">
      <alignment horizontal="center" vertical="center"/>
      <protection locked="0"/>
    </xf>
    <xf numFmtId="49" fontId="14" fillId="6" borderId="16" xfId="0" applyNumberFormat="1" applyFont="1" applyFill="1" applyBorder="1" applyAlignment="1" applyProtection="1">
      <alignment vertical="center" shrinkToFit="1"/>
      <protection locked="0"/>
    </xf>
    <xf numFmtId="1" fontId="4" fillId="6" borderId="78" xfId="0" applyNumberFormat="1" applyFont="1" applyFill="1" applyBorder="1" applyAlignment="1" applyProtection="1">
      <alignment horizontal="center" vertical="center"/>
      <protection locked="0"/>
    </xf>
    <xf numFmtId="1" fontId="4" fillId="6" borderId="1" xfId="0" applyNumberFormat="1" applyFont="1" applyFill="1" applyBorder="1" applyAlignment="1" applyProtection="1">
      <alignment horizontal="center" vertical="center"/>
      <protection locked="0"/>
    </xf>
    <xf numFmtId="1" fontId="4" fillId="6" borderId="21" xfId="0" applyNumberFormat="1" applyFont="1" applyFill="1" applyBorder="1" applyAlignment="1" applyProtection="1">
      <alignment horizontal="center" vertical="center"/>
      <protection locked="0"/>
    </xf>
    <xf numFmtId="0" fontId="0" fillId="18" borderId="106" xfId="0" applyNumberFormat="1" applyFill="1" applyBorder="1" applyAlignment="1">
      <alignment horizontal="center" vertical="center"/>
    </xf>
    <xf numFmtId="2" fontId="0" fillId="18" borderId="106" xfId="0" applyNumberFormat="1" applyFill="1" applyBorder="1" applyAlignment="1">
      <alignment horizontal="center" vertical="center"/>
    </xf>
    <xf numFmtId="0" fontId="0" fillId="18" borderId="107" xfId="0" applyNumberFormat="1" applyFill="1" applyBorder="1" applyAlignment="1">
      <alignment horizontal="center" vertical="center"/>
    </xf>
    <xf numFmtId="0" fontId="4" fillId="18" borderId="78" xfId="0" applyFont="1" applyFill="1" applyBorder="1" applyAlignment="1">
      <alignment horizontal="center" vertical="center"/>
    </xf>
    <xf numFmtId="0" fontId="4" fillId="18" borderId="1" xfId="0" applyFont="1" applyFill="1" applyBorder="1" applyAlignment="1">
      <alignment horizontal="center" vertical="center"/>
    </xf>
    <xf numFmtId="0" fontId="4" fillId="18" borderId="10" xfId="0" applyFont="1" applyFill="1" applyBorder="1" applyAlignment="1">
      <alignment horizontal="center" vertical="center"/>
    </xf>
    <xf numFmtId="0" fontId="4" fillId="18" borderId="9" xfId="0" applyFont="1" applyFill="1" applyBorder="1" applyAlignment="1">
      <alignment horizontal="center" vertical="center"/>
    </xf>
    <xf numFmtId="2" fontId="0" fillId="18" borderId="1" xfId="0" applyNumberFormat="1" applyFill="1" applyBorder="1" applyAlignment="1">
      <alignment horizontal="center" vertical="center"/>
    </xf>
    <xf numFmtId="0" fontId="4" fillId="18" borderId="19" xfId="0" applyFont="1" applyFill="1" applyBorder="1" applyAlignment="1">
      <alignment horizontal="center" vertical="center"/>
    </xf>
    <xf numFmtId="2" fontId="0" fillId="18" borderId="9" xfId="0" applyNumberFormat="1" applyFill="1" applyBorder="1" applyAlignment="1">
      <alignment horizontal="center" vertical="center"/>
    </xf>
    <xf numFmtId="0" fontId="4" fillId="18" borderId="29" xfId="0" applyFont="1" applyFill="1" applyBorder="1" applyAlignment="1">
      <alignment horizontal="center" vertical="center"/>
    </xf>
    <xf numFmtId="0" fontId="4" fillId="18" borderId="64" xfId="0" applyFont="1" applyFill="1" applyBorder="1" applyAlignment="1">
      <alignment horizontal="center" vertical="center"/>
    </xf>
    <xf numFmtId="0" fontId="3" fillId="18" borderId="88" xfId="0" applyFont="1" applyFill="1" applyBorder="1" applyAlignment="1">
      <alignment horizontal="center"/>
    </xf>
    <xf numFmtId="1" fontId="3" fillId="18" borderId="88" xfId="0" applyNumberFormat="1" applyFont="1" applyFill="1" applyBorder="1" applyAlignment="1">
      <alignment horizontal="center"/>
    </xf>
    <xf numFmtId="166" fontId="0" fillId="18" borderId="10" xfId="0" applyNumberFormat="1" applyFill="1" applyBorder="1" applyAlignment="1">
      <alignment horizontal="center"/>
    </xf>
    <xf numFmtId="166" fontId="0" fillId="18" borderId="1" xfId="0" applyNumberFormat="1" applyFill="1" applyBorder="1" applyAlignment="1">
      <alignment horizontal="center"/>
    </xf>
    <xf numFmtId="166" fontId="0" fillId="18" borderId="21" xfId="0" applyNumberFormat="1" applyFill="1" applyBorder="1" applyAlignment="1">
      <alignment horizontal="center"/>
    </xf>
    <xf numFmtId="0" fontId="0" fillId="18" borderId="10" xfId="0" applyFill="1" applyBorder="1" applyAlignment="1">
      <alignment horizontal="center"/>
    </xf>
    <xf numFmtId="0" fontId="0" fillId="18" borderId="1" xfId="0" applyFill="1" applyBorder="1" applyAlignment="1">
      <alignment horizontal="center"/>
    </xf>
    <xf numFmtId="0" fontId="4" fillId="18" borderId="1" xfId="0" applyFont="1" applyFill="1" applyBorder="1" applyAlignment="1">
      <alignment horizontal="center"/>
    </xf>
    <xf numFmtId="0" fontId="4" fillId="18" borderId="17" xfId="0" applyFont="1" applyFill="1" applyBorder="1" applyAlignment="1">
      <alignment horizontal="center"/>
    </xf>
    <xf numFmtId="2" fontId="0" fillId="18" borderId="1" xfId="0" applyNumberFormat="1" applyFill="1" applyBorder="1" applyAlignment="1">
      <alignment horizontal="center"/>
    </xf>
    <xf numFmtId="0" fontId="4" fillId="18" borderId="19" xfId="0" applyFont="1" applyFill="1" applyBorder="1" applyAlignment="1">
      <alignment horizontal="center"/>
    </xf>
    <xf numFmtId="2" fontId="0" fillId="18" borderId="10" xfId="0" applyNumberFormat="1" applyFill="1" applyBorder="1" applyAlignment="1">
      <alignment horizontal="center"/>
    </xf>
    <xf numFmtId="0" fontId="0" fillId="18" borderId="9" xfId="0" applyFill="1" applyBorder="1" applyAlignment="1">
      <alignment horizontal="center"/>
    </xf>
    <xf numFmtId="0" fontId="4" fillId="18" borderId="9" xfId="0" applyFont="1" applyFill="1" applyBorder="1" applyAlignment="1">
      <alignment horizontal="center"/>
    </xf>
    <xf numFmtId="166" fontId="0" fillId="16"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6" borderId="78" xfId="0" applyNumberFormat="1" applyFill="1" applyBorder="1" applyAlignment="1" applyProtection="1">
      <alignment horizontal="center"/>
    </xf>
    <xf numFmtId="0" fontId="0" fillId="18" borderId="78" xfId="0" applyFill="1" applyBorder="1" applyAlignment="1">
      <alignment horizontal="center"/>
    </xf>
    <xf numFmtId="0" fontId="4" fillId="18" borderId="79" xfId="0" applyFont="1" applyFill="1" applyBorder="1" applyAlignment="1">
      <alignment horizontal="center"/>
    </xf>
    <xf numFmtId="0" fontId="0" fillId="18" borderId="64" xfId="0" applyFill="1" applyBorder="1" applyAlignment="1">
      <alignment horizontal="center"/>
    </xf>
    <xf numFmtId="2" fontId="0" fillId="18" borderId="64" xfId="0" applyNumberFormat="1" applyFill="1" applyBorder="1" applyAlignment="1">
      <alignment horizontal="center"/>
    </xf>
    <xf numFmtId="0" fontId="4" fillId="18" borderId="65" xfId="0" applyFont="1" applyFill="1" applyBorder="1" applyAlignment="1">
      <alignment horizontal="center"/>
    </xf>
    <xf numFmtId="166" fontId="0" fillId="6" borderId="9" xfId="0" applyNumberFormat="1" applyFill="1" applyBorder="1" applyAlignment="1" applyProtection="1">
      <alignment horizontal="center" vertical="center"/>
      <protection locked="0"/>
    </xf>
    <xf numFmtId="0" fontId="4" fillId="0" borderId="103" xfId="0" applyFont="1" applyFill="1" applyBorder="1" applyAlignment="1">
      <alignment horizontal="center" vertical="center"/>
    </xf>
    <xf numFmtId="0" fontId="4" fillId="18" borderId="17" xfId="0" applyFont="1" applyFill="1" applyBorder="1" applyAlignment="1">
      <alignment horizontal="center" vertical="center"/>
    </xf>
    <xf numFmtId="2" fontId="0" fillId="18" borderId="2" xfId="0" applyNumberFormat="1" applyFill="1" applyBorder="1" applyAlignment="1">
      <alignment horizontal="center"/>
    </xf>
    <xf numFmtId="0" fontId="0" fillId="0" borderId="0" xfId="0" applyFill="1" applyAlignment="1">
      <alignment horizontal="right"/>
    </xf>
    <xf numFmtId="0" fontId="3" fillId="0" borderId="134" xfId="0" applyFont="1" applyFill="1" applyBorder="1" applyAlignment="1">
      <alignment horizontal="center" vertical="center"/>
    </xf>
    <xf numFmtId="0" fontId="4" fillId="0" borderId="21" xfId="0" applyFont="1" applyBorder="1" applyAlignment="1">
      <alignment horizontal="center" vertical="center"/>
    </xf>
    <xf numFmtId="0" fontId="4" fillId="18" borderId="76" xfId="0" applyFont="1" applyFill="1" applyBorder="1" applyAlignment="1">
      <alignment horizontal="center"/>
    </xf>
    <xf numFmtId="0" fontId="3" fillId="0" borderId="78" xfId="0" applyFont="1" applyFill="1" applyBorder="1" applyAlignment="1">
      <alignment horizontal="center" vertical="center"/>
    </xf>
    <xf numFmtId="0" fontId="4" fillId="18" borderId="21" xfId="0" applyFont="1" applyFill="1" applyBorder="1" applyAlignment="1">
      <alignment horizontal="center" vertical="center"/>
    </xf>
    <xf numFmtId="0" fontId="0" fillId="16" borderId="10" xfId="0" applyFill="1" applyBorder="1" applyAlignment="1" applyProtection="1">
      <alignment horizontal="center"/>
    </xf>
    <xf numFmtId="0" fontId="0" fillId="18" borderId="2" xfId="0" applyFill="1" applyBorder="1" applyAlignment="1">
      <alignment horizontal="center"/>
    </xf>
    <xf numFmtId="166" fontId="0" fillId="16" borderId="101" xfId="0" applyNumberFormat="1" applyFill="1" applyBorder="1" applyAlignment="1" applyProtection="1">
      <alignment horizontal="center"/>
    </xf>
    <xf numFmtId="0" fontId="0" fillId="18" borderId="66" xfId="0" applyFill="1" applyBorder="1" applyAlignment="1">
      <alignment horizontal="center"/>
    </xf>
    <xf numFmtId="2" fontId="0" fillId="18" borderId="66" xfId="0" applyNumberFormat="1" applyFill="1" applyBorder="1" applyAlignment="1">
      <alignment horizontal="center"/>
    </xf>
    <xf numFmtId="0" fontId="4" fillId="18" borderId="141" xfId="0" applyFont="1" applyFill="1" applyBorder="1" applyAlignment="1">
      <alignment horizontal="center"/>
    </xf>
    <xf numFmtId="0" fontId="4" fillId="18" borderId="130" xfId="0" applyFont="1" applyFill="1" applyBorder="1" applyAlignment="1">
      <alignment horizontal="center" vertical="center"/>
    </xf>
    <xf numFmtId="0" fontId="4" fillId="0" borderId="11" xfId="0" applyFont="1" applyBorder="1" applyAlignment="1">
      <alignment horizontal="center" vertical="center"/>
    </xf>
    <xf numFmtId="0" fontId="4" fillId="18" borderId="124" xfId="0" applyFont="1" applyFill="1" applyBorder="1" applyAlignment="1">
      <alignment horizontal="center" vertical="center"/>
    </xf>
    <xf numFmtId="166" fontId="0" fillId="18" borderId="15" xfId="0" applyNumberFormat="1" applyFill="1" applyBorder="1" applyAlignment="1">
      <alignment horizontal="center" vertical="center"/>
    </xf>
    <xf numFmtId="0" fontId="0" fillId="18" borderId="2" xfId="0" applyFill="1" applyBorder="1" applyAlignment="1">
      <alignment horizontal="center" vertical="center"/>
    </xf>
    <xf numFmtId="2" fontId="0" fillId="18" borderId="2" xfId="0" applyNumberFormat="1" applyFill="1" applyBorder="1" applyAlignment="1">
      <alignment horizontal="center" vertical="center"/>
    </xf>
    <xf numFmtId="0" fontId="4" fillId="18" borderId="76" xfId="0" applyFont="1" applyFill="1" applyBorder="1" applyAlignment="1">
      <alignment horizontal="center" vertical="center"/>
    </xf>
    <xf numFmtId="166" fontId="0" fillId="18" borderId="101" xfId="0" applyNumberFormat="1" applyFill="1" applyBorder="1" applyAlignment="1">
      <alignment horizontal="center" vertical="center"/>
    </xf>
    <xf numFmtId="0" fontId="0" fillId="18" borderId="66" xfId="0" applyFill="1" applyBorder="1" applyAlignment="1">
      <alignment horizontal="center" vertical="center"/>
    </xf>
    <xf numFmtId="2" fontId="0" fillId="18" borderId="66" xfId="0" applyNumberFormat="1" applyFill="1" applyBorder="1" applyAlignment="1">
      <alignment horizontal="center" vertical="center"/>
    </xf>
    <xf numFmtId="0" fontId="4" fillId="18" borderId="141" xfId="0" applyFont="1" applyFill="1" applyBorder="1" applyAlignment="1">
      <alignment horizontal="center" vertical="center"/>
    </xf>
    <xf numFmtId="166" fontId="0" fillId="18" borderId="10" xfId="0" applyNumberFormat="1" applyFill="1" applyBorder="1" applyAlignment="1">
      <alignment horizontal="center" vertical="center"/>
    </xf>
    <xf numFmtId="0" fontId="0" fillId="18" borderId="10" xfId="0" applyFill="1" applyBorder="1" applyAlignment="1">
      <alignment horizontal="center" vertical="center"/>
    </xf>
    <xf numFmtId="2" fontId="0" fillId="18" borderId="10" xfId="0" applyNumberFormat="1" applyFill="1" applyBorder="1" applyAlignment="1">
      <alignment horizontal="center" vertical="center"/>
    </xf>
    <xf numFmtId="166" fontId="0" fillId="18" borderId="66" xfId="0" applyNumberFormat="1" applyFill="1" applyBorder="1" applyAlignment="1">
      <alignment horizontal="center" vertical="center"/>
    </xf>
    <xf numFmtId="166" fontId="0" fillId="18" borderId="141" xfId="0" applyNumberFormat="1" applyFill="1" applyBorder="1" applyAlignment="1">
      <alignment horizontal="center" vertical="center"/>
    </xf>
    <xf numFmtId="0" fontId="0" fillId="18" borderId="1" xfId="0" applyFill="1" applyBorder="1" applyAlignment="1">
      <alignment horizontal="center" vertical="center"/>
    </xf>
    <xf numFmtId="0" fontId="4" fillId="18" borderId="129" xfId="0" applyFont="1" applyFill="1" applyBorder="1" applyAlignment="1">
      <alignment horizontal="center" vertical="center"/>
    </xf>
    <xf numFmtId="0" fontId="4" fillId="0" borderId="4" xfId="0" applyFont="1" applyFill="1" applyBorder="1" applyAlignment="1">
      <alignment horizontal="center" vertical="center"/>
    </xf>
    <xf numFmtId="166" fontId="0" fillId="18" borderId="1" xfId="1" applyNumberFormat="1" applyFont="1" applyFill="1" applyBorder="1" applyAlignment="1">
      <alignment horizontal="center" vertical="center"/>
    </xf>
    <xf numFmtId="2" fontId="4" fillId="18" borderId="129" xfId="0" applyNumberFormat="1" applyFont="1" applyFill="1" applyBorder="1" applyAlignment="1">
      <alignment horizontal="center" vertical="center"/>
    </xf>
    <xf numFmtId="166" fontId="0" fillId="18" borderId="9" xfId="0" applyNumberFormat="1" applyFill="1" applyBorder="1" applyAlignment="1">
      <alignment horizontal="center" vertical="center"/>
    </xf>
    <xf numFmtId="0" fontId="0" fillId="18" borderId="73" xfId="0" applyFill="1" applyBorder="1" applyAlignment="1">
      <alignment horizontal="center" vertical="center"/>
    </xf>
    <xf numFmtId="2" fontId="0" fillId="18" borderId="21" xfId="0" applyNumberFormat="1" applyFill="1" applyBorder="1" applyAlignment="1">
      <alignment horizontal="center" vertical="center"/>
    </xf>
    <xf numFmtId="0" fontId="4" fillId="18" borderId="90" xfId="0" applyFont="1" applyFill="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166" fontId="0" fillId="18" borderId="2" xfId="0" applyNumberFormat="1" applyFill="1" applyBorder="1" applyAlignment="1">
      <alignment horizontal="center" vertical="center"/>
    </xf>
    <xf numFmtId="0" fontId="4" fillId="18" borderId="4" xfId="0" applyFont="1" applyFill="1" applyBorder="1" applyAlignment="1">
      <alignment horizontal="center" vertical="center"/>
    </xf>
    <xf numFmtId="166" fontId="4" fillId="18" borderId="10" xfId="0" applyNumberFormat="1" applyFont="1" applyFill="1" applyBorder="1" applyAlignment="1">
      <alignment horizontal="center" vertical="center"/>
    </xf>
    <xf numFmtId="166" fontId="4" fillId="18" borderId="1" xfId="0" applyNumberFormat="1" applyFont="1" applyFill="1" applyBorder="1" applyAlignment="1">
      <alignment horizontal="center" vertical="center"/>
    </xf>
    <xf numFmtId="0" fontId="4" fillId="18" borderId="1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4" xfId="0" applyFont="1" applyBorder="1" applyAlignment="1">
      <alignment horizontal="center" vertical="center" wrapText="1"/>
    </xf>
    <xf numFmtId="0" fontId="4" fillId="0" borderId="4" xfId="0" applyFont="1" applyBorder="1" applyAlignment="1">
      <alignment horizontal="center" vertical="center"/>
    </xf>
    <xf numFmtId="0" fontId="4" fillId="0" borderId="125" xfId="0" applyFont="1" applyBorder="1" applyAlignment="1">
      <alignment horizontal="center" vertical="center" wrapText="1"/>
    </xf>
    <xf numFmtId="166" fontId="0" fillId="18" borderId="21" xfId="0" applyNumberFormat="1" applyFill="1" applyBorder="1" applyAlignment="1">
      <alignment horizontal="center" vertical="center"/>
    </xf>
    <xf numFmtId="164" fontId="14" fillId="18" borderId="1" xfId="0" applyNumberFormat="1" applyFont="1" applyFill="1" applyBorder="1" applyAlignment="1">
      <alignment horizontal="center" vertical="center"/>
    </xf>
    <xf numFmtId="166" fontId="3" fillId="18" borderId="87" xfId="0" applyNumberFormat="1" applyFont="1" applyFill="1" applyBorder="1" applyAlignment="1">
      <alignment horizontal="center"/>
    </xf>
    <xf numFmtId="166" fontId="3" fillId="18" borderId="88" xfId="0" applyNumberFormat="1" applyFont="1" applyFill="1" applyBorder="1" applyAlignment="1">
      <alignment horizontal="center"/>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0" fillId="0" borderId="0" xfId="0" applyAlignment="1">
      <alignment vertical="center"/>
    </xf>
    <xf numFmtId="2" fontId="14" fillId="18" borderId="10" xfId="0" applyNumberFormat="1" applyFont="1" applyFill="1" applyBorder="1" applyAlignment="1">
      <alignment horizontal="center" vertical="center"/>
    </xf>
    <xf numFmtId="167" fontId="14" fillId="18"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2" fontId="14" fillId="0" borderId="27" xfId="0" applyNumberFormat="1" applyFont="1" applyFill="1" applyBorder="1" applyAlignment="1">
      <alignment horizontal="center" vertical="center"/>
    </xf>
    <xf numFmtId="0" fontId="14" fillId="0" borderId="27" xfId="0" applyFont="1" applyBorder="1" applyAlignment="1">
      <alignment vertical="center"/>
    </xf>
    <xf numFmtId="0" fontId="14" fillId="18" borderId="7" xfId="0" applyFont="1" applyFill="1" applyBorder="1" applyAlignment="1">
      <alignment horizontal="center" vertical="center" shrinkToFit="1"/>
    </xf>
    <xf numFmtId="0" fontId="14" fillId="18" borderId="8" xfId="0" applyFont="1" applyFill="1" applyBorder="1" applyAlignment="1">
      <alignment horizontal="center"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6" borderId="125" xfId="0" applyNumberFormat="1" applyFill="1" applyBorder="1" applyAlignment="1">
      <alignment horizontal="center"/>
    </xf>
    <xf numFmtId="0" fontId="0" fillId="0" borderId="0" xfId="0" applyFill="1" applyAlignment="1">
      <alignment vertical="top" wrapText="1"/>
    </xf>
    <xf numFmtId="0" fontId="14" fillId="18" borderId="10" xfId="0" applyFont="1" applyFill="1" applyBorder="1" applyAlignment="1">
      <alignment horizontal="center" vertical="center"/>
    </xf>
    <xf numFmtId="167" fontId="0" fillId="18" borderId="1" xfId="1" applyNumberFormat="1" applyFont="1" applyFill="1" applyBorder="1" applyAlignment="1">
      <alignment horizontal="center"/>
    </xf>
    <xf numFmtId="1" fontId="0" fillId="18" borderId="1" xfId="1" applyNumberFormat="1" applyFont="1" applyFill="1" applyBorder="1" applyAlignment="1">
      <alignment horizontal="center"/>
    </xf>
    <xf numFmtId="164" fontId="0" fillId="18" borderId="1" xfId="0" applyNumberFormat="1" applyFill="1" applyBorder="1" applyAlignment="1">
      <alignment horizontal="center"/>
    </xf>
    <xf numFmtId="167" fontId="0" fillId="18" borderId="1" xfId="0" applyNumberFormat="1" applyFill="1" applyBorder="1" applyAlignment="1">
      <alignment horizontal="center"/>
    </xf>
    <xf numFmtId="166" fontId="4" fillId="18" borderId="10" xfId="0" applyNumberFormat="1" applyFont="1" applyFill="1" applyBorder="1" applyAlignment="1">
      <alignment horizontal="center"/>
    </xf>
    <xf numFmtId="2" fontId="4" fillId="18" borderId="10" xfId="0" applyNumberFormat="1" applyFont="1" applyFill="1" applyBorder="1" applyAlignment="1">
      <alignment horizontal="center"/>
    </xf>
    <xf numFmtId="164" fontId="0" fillId="18" borderId="10" xfId="0" applyNumberFormat="1" applyFill="1" applyBorder="1" applyAlignment="1">
      <alignment horizontal="center"/>
    </xf>
    <xf numFmtId="9" fontId="0" fillId="18" borderId="10" xfId="1" applyFont="1" applyFill="1" applyBorder="1" applyAlignment="1">
      <alignment horizontal="center"/>
    </xf>
    <xf numFmtId="0" fontId="25" fillId="10" borderId="0" xfId="0" applyFont="1" applyFill="1" applyBorder="1" applyAlignment="1">
      <alignment horizontal="left" vertical="top" wrapText="1"/>
    </xf>
    <xf numFmtId="0" fontId="4" fillId="10" borderId="0" xfId="0" applyFont="1" applyFill="1" applyBorder="1" applyAlignment="1" applyProtection="1">
      <alignment horizontal="center" vertical="center"/>
      <protection locked="0"/>
    </xf>
    <xf numFmtId="2" fontId="24" fillId="10" borderId="0" xfId="0" applyNumberFormat="1" applyFont="1" applyFill="1" applyBorder="1" applyAlignment="1">
      <alignment horizontal="center" vertical="center"/>
    </xf>
    <xf numFmtId="0" fontId="24" fillId="10" borderId="0" xfId="0" applyFont="1" applyFill="1" applyBorder="1" applyAlignment="1">
      <alignment horizontal="left" vertical="center"/>
    </xf>
    <xf numFmtId="0" fontId="25" fillId="10" borderId="0" xfId="3" applyFont="1" applyFill="1" applyBorder="1" applyAlignment="1">
      <alignment horizontal="left" vertical="top" wrapText="1"/>
    </xf>
    <xf numFmtId="0" fontId="4" fillId="10" borderId="0" xfId="3" applyFill="1" applyBorder="1" applyAlignment="1" applyProtection="1">
      <alignment horizontal="center" vertical="center"/>
      <protection locked="0"/>
    </xf>
    <xf numFmtId="2" fontId="24" fillId="10" borderId="0" xfId="3" applyNumberFormat="1" applyFont="1" applyFill="1" applyBorder="1" applyAlignment="1">
      <alignment horizontal="center" vertical="center"/>
    </xf>
    <xf numFmtId="0" fontId="24" fillId="10" borderId="0" xfId="3" applyFont="1" applyFill="1" applyBorder="1" applyAlignment="1">
      <alignment horizontal="left" vertical="center"/>
    </xf>
    <xf numFmtId="2" fontId="0" fillId="6" borderId="1" xfId="0" applyNumberFormat="1" applyFill="1" applyBorder="1" applyAlignment="1" applyProtection="1">
      <alignment horizontal="center" vertical="center"/>
      <protection locked="0"/>
    </xf>
    <xf numFmtId="2" fontId="0" fillId="6" borderId="1" xfId="0" applyNumberFormat="1" applyFill="1" applyBorder="1" applyAlignment="1" applyProtection="1">
      <alignment vertical="center"/>
      <protection locked="0"/>
    </xf>
    <xf numFmtId="2" fontId="0" fillId="6" borderId="21" xfId="0" applyNumberFormat="1" applyFill="1" applyBorder="1" applyAlignment="1" applyProtection="1">
      <alignment vertical="center"/>
      <protection locked="0"/>
    </xf>
    <xf numFmtId="0" fontId="14" fillId="0" borderId="0" xfId="0" applyFont="1" applyBorder="1" applyAlignment="1">
      <alignment vertical="center"/>
    </xf>
    <xf numFmtId="0" fontId="15" fillId="0" borderId="0" xfId="0" applyFont="1" applyFill="1" applyAlignment="1">
      <alignment horizontal="right" vertical="top" wrapText="1"/>
    </xf>
    <xf numFmtId="0" fontId="15" fillId="0" borderId="0" xfId="0" applyFont="1" applyAlignment="1">
      <alignment horizontal="right" vertical="center"/>
    </xf>
    <xf numFmtId="166" fontId="0" fillId="6" borderId="18" xfId="0" applyNumberFormat="1" applyFill="1" applyBorder="1" applyAlignment="1" applyProtection="1">
      <alignment horizontal="center" vertical="center"/>
      <protection locked="0"/>
    </xf>
    <xf numFmtId="166" fontId="0" fillId="17" borderId="18" xfId="0" applyNumberFormat="1" applyFill="1" applyBorder="1" applyAlignment="1" applyProtection="1">
      <alignment horizontal="center" vertical="center"/>
      <protection locked="0"/>
    </xf>
    <xf numFmtId="2" fontId="0" fillId="16" borderId="18" xfId="0" applyNumberFormat="1" applyFill="1" applyBorder="1" applyAlignment="1" applyProtection="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4" borderId="147" xfId="0" applyNumberFormat="1" applyFill="1" applyBorder="1" applyAlignment="1">
      <alignment horizontal="center" vertical="center"/>
    </xf>
    <xf numFmtId="166" fontId="0" fillId="5" borderId="18" xfId="0" applyNumberFormat="1" applyFill="1" applyBorder="1" applyAlignment="1">
      <alignment horizontal="center" vertical="center"/>
    </xf>
    <xf numFmtId="166" fontId="0" fillId="18" borderId="19" xfId="0" applyNumberFormat="1" applyFill="1" applyBorder="1" applyAlignment="1">
      <alignment horizontal="center" vertical="center"/>
    </xf>
    <xf numFmtId="0" fontId="0" fillId="18" borderId="19" xfId="0" applyFill="1" applyBorder="1" applyAlignment="1">
      <alignment horizontal="center"/>
    </xf>
    <xf numFmtId="0" fontId="4" fillId="18" borderId="90" xfId="0" applyFont="1" applyFill="1" applyBorder="1" applyAlignment="1">
      <alignment horizontal="center"/>
    </xf>
    <xf numFmtId="9" fontId="15" fillId="18" borderId="88" xfId="0" applyNumberFormat="1" applyFont="1" applyFill="1" applyBorder="1" applyAlignment="1">
      <alignment horizontal="center" vertical="center" wrapText="1"/>
    </xf>
    <xf numFmtId="166" fontId="0" fillId="15" borderId="18" xfId="0" applyNumberFormat="1" applyFill="1" applyBorder="1" applyAlignment="1">
      <alignment horizontal="center" vertical="center"/>
    </xf>
    <xf numFmtId="166" fontId="0" fillId="19" borderId="18" xfId="0" applyNumberFormat="1" applyFill="1" applyBorder="1" applyAlignment="1">
      <alignment horizontal="center" vertical="center"/>
    </xf>
    <xf numFmtId="0" fontId="21" fillId="0" borderId="8" xfId="0" applyFont="1" applyBorder="1" applyAlignment="1">
      <alignment horizontal="center" vertical="center" wrapText="1"/>
    </xf>
    <xf numFmtId="0" fontId="21" fillId="0" borderId="4" xfId="0" applyFont="1" applyBorder="1" applyAlignment="1">
      <alignment horizontal="center" vertical="center"/>
    </xf>
    <xf numFmtId="0" fontId="0" fillId="16" borderId="10" xfId="0" applyFill="1" applyBorder="1" applyAlignment="1" applyProtection="1">
      <alignment horizontal="center" vertical="center"/>
    </xf>
    <xf numFmtId="0" fontId="14" fillId="0" borderId="27" xfId="0" applyFont="1" applyBorder="1" applyAlignment="1">
      <alignment horizontal="center" vertical="center"/>
    </xf>
    <xf numFmtId="0" fontId="21" fillId="0" borderId="8" xfId="0" applyFont="1" applyBorder="1" applyAlignment="1">
      <alignment horizontal="center" vertical="center" wrapText="1"/>
    </xf>
    <xf numFmtId="0" fontId="14" fillId="0" borderId="1" xfId="0" applyFont="1" applyBorder="1" applyAlignment="1">
      <alignment horizontal="center" vertical="center"/>
    </xf>
    <xf numFmtId="0" fontId="21" fillId="0" borderId="8" xfId="0" applyFont="1" applyBorder="1" applyAlignment="1">
      <alignment horizontal="center" vertical="center"/>
    </xf>
    <xf numFmtId="0" fontId="4" fillId="0" borderId="4" xfId="0" applyFont="1" applyBorder="1" applyAlignment="1">
      <alignment horizontal="center" vertical="center"/>
    </xf>
    <xf numFmtId="0" fontId="4" fillId="18" borderId="4" xfId="0" applyFont="1" applyFill="1" applyBorder="1" applyAlignment="1">
      <alignment horizontal="center" vertical="center"/>
    </xf>
    <xf numFmtId="166" fontId="14" fillId="18" borderId="10" xfId="0" applyNumberFormat="1" applyFont="1" applyFill="1" applyBorder="1" applyAlignment="1">
      <alignment horizontal="center" vertical="center"/>
    </xf>
    <xf numFmtId="1" fontId="0" fillId="18" borderId="10" xfId="0" applyNumberFormat="1" applyFill="1" applyBorder="1" applyAlignment="1" applyProtection="1">
      <alignment horizontal="center" vertical="center"/>
    </xf>
    <xf numFmtId="166" fontId="21" fillId="18" borderId="1" xfId="0" applyNumberFormat="1" applyFont="1" applyFill="1" applyBorder="1" applyAlignment="1">
      <alignment horizontal="center" vertical="center"/>
    </xf>
    <xf numFmtId="0" fontId="21" fillId="0" borderId="162" xfId="0" applyFont="1" applyBorder="1" applyAlignment="1">
      <alignment horizontal="center" vertical="center"/>
    </xf>
    <xf numFmtId="0" fontId="21" fillId="0" borderId="10" xfId="0" applyFont="1" applyFill="1" applyBorder="1" applyAlignment="1">
      <alignment horizontal="center" vertical="center"/>
    </xf>
    <xf numFmtId="1" fontId="14" fillId="18" borderId="12" xfId="0" applyNumberFormat="1" applyFont="1" applyFill="1" applyBorder="1" applyAlignment="1">
      <alignment horizontal="center" vertical="center"/>
    </xf>
    <xf numFmtId="1" fontId="14" fillId="18" borderId="10" xfId="0" applyNumberFormat="1" applyFont="1" applyFill="1" applyBorder="1" applyAlignment="1">
      <alignment horizontal="center" vertical="center"/>
    </xf>
    <xf numFmtId="1" fontId="14" fillId="18" borderId="8" xfId="0" applyNumberFormat="1" applyFont="1" applyFill="1" applyBorder="1" applyAlignment="1">
      <alignment horizontal="center" vertical="center"/>
    </xf>
    <xf numFmtId="1" fontId="14" fillId="18" borderId="6" xfId="0" applyNumberFormat="1" applyFont="1" applyFill="1" applyBorder="1" applyAlignment="1">
      <alignment horizontal="center" vertical="center"/>
    </xf>
    <xf numFmtId="1" fontId="14" fillId="18" borderId="4" xfId="0" applyNumberFormat="1" applyFont="1" applyFill="1" applyBorder="1" applyAlignment="1">
      <alignment horizontal="center" vertical="center"/>
    </xf>
    <xf numFmtId="0" fontId="4" fillId="0" borderId="170" xfId="0" applyFont="1" applyBorder="1" applyAlignment="1">
      <alignment horizontal="center" vertical="center"/>
    </xf>
    <xf numFmtId="2" fontId="0" fillId="6" borderId="78" xfId="0" applyNumberFormat="1" applyFill="1" applyBorder="1" applyAlignment="1" applyProtection="1">
      <alignment horizontal="center" vertical="center"/>
      <protection locked="0"/>
    </xf>
    <xf numFmtId="0" fontId="4" fillId="0" borderId="109" xfId="0" applyFont="1" applyFill="1" applyBorder="1" applyAlignment="1">
      <alignment horizontal="center" vertical="center"/>
    </xf>
    <xf numFmtId="2" fontId="0" fillId="16" borderId="88" xfId="0" applyNumberFormat="1" applyFill="1" applyBorder="1" applyAlignment="1" applyProtection="1">
      <alignment horizontal="center"/>
    </xf>
    <xf numFmtId="0" fontId="4" fillId="5" borderId="88" xfId="0" applyFont="1" applyFill="1" applyBorder="1" applyAlignment="1">
      <alignment horizontal="center" vertical="center"/>
    </xf>
    <xf numFmtId="0" fontId="4" fillId="18" borderId="6" xfId="0" applyFont="1" applyFill="1" applyBorder="1" applyAlignment="1">
      <alignment horizontal="center" vertical="center"/>
    </xf>
    <xf numFmtId="0" fontId="0" fillId="0" borderId="62" xfId="0" applyBorder="1"/>
    <xf numFmtId="1" fontId="0" fillId="18" borderId="14" xfId="0" applyNumberFormat="1" applyFill="1" applyBorder="1" applyAlignment="1" applyProtection="1">
      <alignment horizontal="center" vertical="center"/>
    </xf>
    <xf numFmtId="167" fontId="14" fillId="18" borderId="1" xfId="1" applyNumberFormat="1" applyFont="1" applyFill="1" applyBorder="1" applyAlignment="1">
      <alignment horizontal="center" vertical="center"/>
    </xf>
    <xf numFmtId="0" fontId="4" fillId="0" borderId="7" xfId="0" applyFont="1" applyBorder="1" applyAlignment="1">
      <alignment horizontal="center"/>
    </xf>
    <xf numFmtId="166" fontId="4" fillId="18" borderId="30" xfId="0" applyNumberFormat="1" applyFont="1" applyFill="1" applyBorder="1" applyAlignment="1">
      <alignment horizontal="center" vertical="center"/>
    </xf>
    <xf numFmtId="166" fontId="14" fillId="18" borderId="9" xfId="0" applyNumberFormat="1" applyFont="1" applyFill="1" applyBorder="1" applyAlignment="1">
      <alignment horizontal="center" vertical="center"/>
    </xf>
    <xf numFmtId="0" fontId="14" fillId="18" borderId="1" xfId="0"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166" fontId="14" fillId="18" borderId="9" xfId="0" applyNumberFormat="1" applyFont="1" applyFill="1" applyBorder="1" applyAlignment="1">
      <alignment horizontal="center" vertical="center"/>
    </xf>
    <xf numFmtId="0" fontId="3" fillId="0" borderId="1" xfId="0" applyFont="1" applyBorder="1" applyAlignment="1">
      <alignment horizontal="center"/>
    </xf>
    <xf numFmtId="0" fontId="21" fillId="18" borderId="78" xfId="0" applyFont="1" applyFill="1" applyBorder="1" applyAlignment="1">
      <alignment horizontal="center" vertic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Border="1" applyAlignment="1">
      <alignment vertical="center" wrapText="1"/>
    </xf>
    <xf numFmtId="0" fontId="3" fillId="0" borderId="1" xfId="0" applyFont="1" applyBorder="1"/>
    <xf numFmtId="0" fontId="0" fillId="6" borderId="1" xfId="0" applyFill="1" applyBorder="1" applyProtection="1">
      <protection locked="0"/>
    </xf>
    <xf numFmtId="10" fontId="0" fillId="6" borderId="1" xfId="0" applyNumberFormat="1" applyFill="1" applyBorder="1" applyProtection="1">
      <protection locked="0"/>
    </xf>
    <xf numFmtId="9" fontId="0" fillId="6" borderId="1" xfId="0" applyNumberFormat="1" applyFill="1" applyBorder="1" applyProtection="1">
      <protection locked="0"/>
    </xf>
    <xf numFmtId="0" fontId="4" fillId="6" borderId="1" xfId="0" applyFont="1" applyFill="1" applyBorder="1" applyProtection="1">
      <protection locked="0"/>
    </xf>
    <xf numFmtId="0" fontId="3" fillId="0" borderId="1" xfId="0" applyFont="1" applyFill="1" applyBorder="1" applyAlignment="1">
      <alignment horizontal="center" vertical="center" wrapText="1"/>
    </xf>
    <xf numFmtId="0" fontId="0" fillId="0" borderId="0" xfId="0" applyFill="1"/>
    <xf numFmtId="167" fontId="14" fillId="18" borderId="1" xfId="1" applyNumberFormat="1" applyFont="1" applyFill="1" applyBorder="1" applyAlignment="1" applyProtection="1">
      <alignment horizontal="center" vertical="center" shrinkToFit="1"/>
    </xf>
    <xf numFmtId="167" fontId="14" fillId="18" borderId="1" xfId="0" applyNumberFormat="1" applyFont="1" applyFill="1" applyBorder="1" applyAlignment="1" applyProtection="1">
      <alignment horizontal="center" vertical="center" shrinkToFit="1"/>
    </xf>
    <xf numFmtId="164" fontId="14" fillId="18" borderId="8" xfId="0" applyNumberFormat="1" applyFont="1" applyFill="1" applyBorder="1" applyAlignment="1" applyProtection="1">
      <alignment horizontal="center" vertical="center" shrinkToFit="1"/>
    </xf>
    <xf numFmtId="166" fontId="14" fillId="18" borderId="1" xfId="0" applyNumberFormat="1" applyFont="1" applyFill="1" applyBorder="1" applyAlignment="1" applyProtection="1">
      <alignment horizontal="center" vertical="center" shrinkToFit="1"/>
    </xf>
    <xf numFmtId="1" fontId="14" fillId="18" borderId="1" xfId="0" applyNumberFormat="1" applyFont="1" applyFill="1" applyBorder="1" applyAlignment="1" applyProtection="1">
      <alignment horizontal="center" vertical="center" shrinkToFit="1"/>
    </xf>
    <xf numFmtId="166" fontId="14" fillId="18" borderId="1" xfId="1" applyNumberFormat="1" applyFont="1" applyFill="1" applyBorder="1" applyAlignment="1" applyProtection="1">
      <alignment horizontal="center" vertical="center" shrinkToFit="1"/>
    </xf>
    <xf numFmtId="1" fontId="14" fillId="18" borderId="14" xfId="0" applyNumberFormat="1" applyFont="1" applyFill="1" applyBorder="1" applyAlignment="1">
      <alignment horizontal="center" vertical="center"/>
    </xf>
    <xf numFmtId="1" fontId="14" fillId="18" borderId="9" xfId="0" applyNumberFormat="1" applyFont="1" applyFill="1" applyBorder="1" applyAlignment="1">
      <alignment horizontal="center" vertical="center"/>
    </xf>
    <xf numFmtId="1" fontId="14" fillId="18" borderId="5" xfId="0" applyNumberFormat="1" applyFont="1" applyFill="1" applyBorder="1" applyAlignment="1">
      <alignment horizontal="center" vertical="center"/>
    </xf>
    <xf numFmtId="0" fontId="15" fillId="0" borderId="78" xfId="0" applyFont="1" applyBorder="1" applyAlignment="1">
      <alignment horizontal="center" vertical="center"/>
    </xf>
    <xf numFmtId="1" fontId="14" fillId="18" borderId="6" xfId="1" applyNumberFormat="1" applyFont="1" applyFill="1" applyBorder="1" applyAlignment="1" applyProtection="1">
      <alignment horizontal="center" vertical="center" shrinkToFit="1"/>
    </xf>
    <xf numFmtId="166" fontId="14" fillId="18" borderId="9" xfId="0" applyNumberFormat="1" applyFont="1" applyFill="1" applyBorder="1" applyAlignment="1">
      <alignment horizontal="center" vertical="center" shrinkToFit="1"/>
    </xf>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1" fontId="0" fillId="6" borderId="129" xfId="0" applyNumberFormat="1" applyFill="1" applyBorder="1" applyAlignment="1" applyProtection="1">
      <alignment horizontal="center"/>
      <protection locked="0"/>
    </xf>
    <xf numFmtId="1" fontId="0" fillId="6" borderId="4" xfId="0" applyNumberFormat="1" applyFill="1" applyBorder="1" applyAlignment="1" applyProtection="1">
      <alignment horizontal="center"/>
      <protection locked="0"/>
    </xf>
    <xf numFmtId="1" fontId="0" fillId="6" borderId="1" xfId="0" applyNumberFormat="1" applyFill="1" applyBorder="1" applyAlignment="1" applyProtection="1">
      <alignment horizontal="center"/>
      <protection locked="0"/>
    </xf>
    <xf numFmtId="1" fontId="0" fillId="6" borderId="124" xfId="0" applyNumberFormat="1" applyFill="1" applyBorder="1" applyAlignment="1" applyProtection="1">
      <alignment horizontal="center"/>
      <protection locked="0"/>
    </xf>
    <xf numFmtId="1" fontId="0" fillId="6" borderId="5" xfId="0" applyNumberFormat="1" applyFill="1" applyBorder="1" applyAlignment="1" applyProtection="1">
      <alignment horizontal="center"/>
      <protection locked="0"/>
    </xf>
    <xf numFmtId="1" fontId="0" fillId="6" borderId="9" xfId="0" applyNumberFormat="1" applyFill="1" applyBorder="1" applyAlignment="1" applyProtection="1">
      <alignment horizontal="center"/>
      <protection locked="0"/>
    </xf>
    <xf numFmtId="1" fontId="0" fillId="6" borderId="131" xfId="0" applyNumberFormat="1" applyFill="1" applyBorder="1" applyAlignment="1" applyProtection="1">
      <alignment horizontal="center"/>
      <protection locked="0"/>
    </xf>
    <xf numFmtId="1" fontId="0" fillId="6" borderId="73" xfId="0" applyNumberFormat="1" applyFill="1" applyBorder="1" applyAlignment="1" applyProtection="1">
      <alignment horizontal="center"/>
      <protection locked="0"/>
    </xf>
    <xf numFmtId="1" fontId="0" fillId="6" borderId="21" xfId="0" applyNumberFormat="1" applyFill="1" applyBorder="1" applyAlignment="1" applyProtection="1">
      <alignment horizontal="center"/>
      <protection locked="0"/>
    </xf>
    <xf numFmtId="166" fontId="4" fillId="6" borderId="78" xfId="0" applyNumberFormat="1" applyFont="1" applyFill="1" applyBorder="1" applyAlignment="1" applyProtection="1">
      <alignment horizontal="center" vertical="center" shrinkToFit="1"/>
      <protection locked="0"/>
    </xf>
    <xf numFmtId="166" fontId="4" fillId="6" borderId="1" xfId="0" applyNumberFormat="1" applyFont="1" applyFill="1" applyBorder="1" applyAlignment="1" applyProtection="1">
      <alignment horizontal="center" vertical="center" shrinkToFit="1"/>
      <protection locked="0"/>
    </xf>
    <xf numFmtId="166" fontId="0" fillId="6" borderId="21" xfId="0" applyNumberFormat="1" applyFill="1" applyBorder="1" applyAlignment="1" applyProtection="1">
      <alignment horizontal="center" vertical="center" shrinkToFit="1"/>
      <protection locked="0"/>
    </xf>
    <xf numFmtId="1" fontId="0" fillId="18" borderId="8" xfId="0" applyNumberFormat="1" applyFill="1" applyBorder="1" applyAlignment="1">
      <alignment horizontal="center"/>
    </xf>
    <xf numFmtId="1" fontId="0" fillId="6" borderId="78" xfId="0" applyNumberFormat="1" applyFill="1" applyBorder="1" applyAlignment="1" applyProtection="1">
      <alignment horizontal="center"/>
      <protection locked="0"/>
    </xf>
    <xf numFmtId="1" fontId="4" fillId="18" borderId="1" xfId="0" applyNumberFormat="1" applyFont="1" applyFill="1" applyBorder="1" applyAlignment="1">
      <alignment horizontal="center"/>
    </xf>
    <xf numFmtId="166" fontId="0" fillId="18" borderId="171" xfId="0" applyNumberFormat="1" applyFill="1" applyBorder="1" applyAlignment="1">
      <alignment horizontal="center"/>
    </xf>
    <xf numFmtId="166" fontId="0" fillId="18" borderId="174" xfId="0" applyNumberFormat="1" applyFill="1" applyBorder="1" applyAlignment="1">
      <alignment horizontal="center"/>
    </xf>
    <xf numFmtId="1" fontId="4" fillId="18" borderId="134" xfId="0" applyNumberFormat="1" applyFont="1" applyFill="1" applyBorder="1" applyAlignment="1">
      <alignment horizontal="center"/>
    </xf>
    <xf numFmtId="0" fontId="21" fillId="0" borderId="0" xfId="0" applyFont="1" applyBorder="1" applyAlignment="1">
      <alignment vertical="center" wrapText="1"/>
    </xf>
    <xf numFmtId="0" fontId="21" fillId="0" borderId="4" xfId="0" applyFont="1" applyBorder="1" applyAlignment="1">
      <alignment vertical="center" wrapText="1"/>
    </xf>
    <xf numFmtId="0" fontId="14" fillId="0" borderId="1" xfId="0" applyFont="1" applyBorder="1" applyAlignment="1">
      <alignment horizontal="center" vertical="center"/>
    </xf>
    <xf numFmtId="0" fontId="3" fillId="0" borderId="175" xfId="0" applyFont="1" applyBorder="1" applyAlignment="1">
      <alignment horizontal="center"/>
    </xf>
    <xf numFmtId="2" fontId="0" fillId="18" borderId="34" xfId="0" applyNumberFormat="1" applyFill="1" applyBorder="1" applyAlignment="1">
      <alignment horizontal="center"/>
    </xf>
    <xf numFmtId="0" fontId="3" fillId="18" borderId="176" xfId="0" applyFont="1" applyFill="1" applyBorder="1" applyAlignment="1">
      <alignment horizontal="center"/>
    </xf>
    <xf numFmtId="166" fontId="0" fillId="18" borderId="177" xfId="0" applyNumberFormat="1" applyFill="1" applyBorder="1" applyAlignment="1">
      <alignment horizontal="center"/>
    </xf>
    <xf numFmtId="166" fontId="0" fillId="18" borderId="178" xfId="0" applyNumberFormat="1" applyFill="1" applyBorder="1" applyAlignment="1">
      <alignment horizontal="center"/>
    </xf>
    <xf numFmtId="2" fontId="0" fillId="18" borderId="179" xfId="0" applyNumberFormat="1" applyFill="1" applyBorder="1" applyAlignment="1">
      <alignment horizontal="center"/>
    </xf>
    <xf numFmtId="2" fontId="0" fillId="18" borderId="159" xfId="0" applyNumberFormat="1" applyFill="1" applyBorder="1" applyAlignment="1">
      <alignment horizontal="center"/>
    </xf>
    <xf numFmtId="0" fontId="0" fillId="0" borderId="0" xfId="0" quotePrefix="1" applyAlignment="1">
      <alignment wrapText="1"/>
    </xf>
    <xf numFmtId="9" fontId="15" fillId="18" borderId="122" xfId="0" applyNumberFormat="1" applyFont="1" applyFill="1" applyBorder="1" applyAlignment="1">
      <alignment horizontal="center" vertical="center" wrapText="1"/>
    </xf>
    <xf numFmtId="2" fontId="0" fillId="6" borderId="8" xfId="0" applyNumberFormat="1" applyFill="1" applyBorder="1" applyAlignment="1" applyProtection="1">
      <alignment horizontal="center" vertical="center"/>
      <protection locked="0"/>
    </xf>
    <xf numFmtId="2" fontId="0" fillId="6" borderId="4" xfId="0" applyNumberFormat="1" applyFill="1" applyBorder="1" applyAlignment="1" applyProtection="1">
      <alignment horizontal="center" vertical="center"/>
      <protection locked="0"/>
    </xf>
    <xf numFmtId="2" fontId="0" fillId="6" borderId="4" xfId="0" applyNumberFormat="1" applyFill="1" applyBorder="1" applyAlignment="1" applyProtection="1">
      <alignment vertical="center"/>
      <protection locked="0"/>
    </xf>
    <xf numFmtId="166" fontId="0" fillId="6" borderId="180" xfId="0" applyNumberFormat="1" applyFill="1" applyBorder="1" applyAlignment="1" applyProtection="1">
      <alignment horizontal="center" vertical="center"/>
      <protection locked="0"/>
    </xf>
    <xf numFmtId="2" fontId="0" fillId="6" borderId="181" xfId="0" applyNumberFormat="1" applyFill="1" applyBorder="1" applyAlignment="1" applyProtection="1">
      <alignment vertical="center"/>
      <protection locked="0"/>
    </xf>
    <xf numFmtId="2" fontId="4" fillId="6" borderId="4" xfId="0" applyNumberFormat="1" applyFont="1" applyFill="1" applyBorder="1" applyAlignment="1" applyProtection="1">
      <alignment horizontal="center" vertical="center"/>
      <protection locked="0"/>
    </xf>
    <xf numFmtId="9" fontId="15" fillId="18" borderId="140" xfId="0" applyNumberFormat="1" applyFont="1" applyFill="1" applyBorder="1" applyAlignment="1">
      <alignment horizontal="center" vertical="center" wrapText="1"/>
    </xf>
    <xf numFmtId="2" fontId="0" fillId="6" borderId="17" xfId="0" applyNumberFormat="1" applyFill="1" applyBorder="1" applyAlignment="1" applyProtection="1">
      <alignment horizontal="center" vertical="center"/>
      <protection locked="0"/>
    </xf>
    <xf numFmtId="2" fontId="0" fillId="6" borderId="19" xfId="0" applyNumberFormat="1" applyFill="1" applyBorder="1" applyAlignment="1" applyProtection="1">
      <alignment horizontal="center" vertical="center"/>
      <protection locked="0"/>
    </xf>
    <xf numFmtId="2" fontId="0" fillId="6" borderId="19" xfId="0" applyNumberFormat="1" applyFill="1" applyBorder="1" applyAlignment="1" applyProtection="1">
      <alignment vertical="center"/>
      <protection locked="0"/>
    </xf>
    <xf numFmtId="2" fontId="0" fillId="6" borderId="90" xfId="0" applyNumberFormat="1" applyFill="1" applyBorder="1" applyAlignment="1" applyProtection="1">
      <alignment vertical="center"/>
      <protection locked="0"/>
    </xf>
    <xf numFmtId="166" fontId="14" fillId="18" borderId="3" xfId="0" applyNumberFormat="1" applyFont="1" applyFill="1" applyBorder="1" applyAlignment="1">
      <alignment horizontal="center"/>
    </xf>
    <xf numFmtId="166" fontId="14" fillId="18" borderId="6" xfId="0" applyNumberFormat="1" applyFont="1" applyFill="1" applyBorder="1" applyAlignment="1">
      <alignment horizontal="center"/>
    </xf>
    <xf numFmtId="0" fontId="21" fillId="0" borderId="12" xfId="0" applyFont="1" applyFill="1" applyBorder="1" applyAlignment="1">
      <alignment horizontal="center" vertical="center"/>
    </xf>
    <xf numFmtId="0" fontId="21" fillId="0" borderId="8" xfId="0" applyFont="1" applyFill="1" applyBorder="1" applyAlignment="1">
      <alignment horizontal="center" vertical="center"/>
    </xf>
    <xf numFmtId="0" fontId="14" fillId="0" borderId="16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60" xfId="0" applyFont="1" applyBorder="1" applyAlignment="1">
      <alignment horizontal="center" vertical="center" shrinkToFit="1"/>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4" fillId="18" borderId="164" xfId="0" applyFont="1" applyFill="1" applyBorder="1" applyAlignment="1">
      <alignment horizontal="center" vertical="center" shrinkToFit="1"/>
    </xf>
    <xf numFmtId="0" fontId="14" fillId="18" borderId="0" xfId="0" applyFont="1" applyFill="1" applyBorder="1" applyAlignment="1">
      <alignment horizontal="center" vertical="center" shrinkToFit="1"/>
    </xf>
    <xf numFmtId="0" fontId="21" fillId="0" borderId="6" xfId="0" applyFont="1" applyBorder="1" applyAlignment="1" applyProtection="1">
      <alignment horizontal="right" vertical="center" shrinkToFit="1"/>
    </xf>
    <xf numFmtId="0" fontId="21" fillId="0" borderId="3" xfId="0" applyFont="1" applyBorder="1" applyAlignment="1" applyProtection="1">
      <alignment horizontal="right" vertical="center" shrinkToFit="1"/>
    </xf>
    <xf numFmtId="0" fontId="21" fillId="0" borderId="4" xfId="0" applyFont="1" applyBorder="1" applyAlignment="1" applyProtection="1">
      <alignment horizontal="right" vertical="center" shrinkToFit="1"/>
    </xf>
    <xf numFmtId="0" fontId="14" fillId="18" borderId="1" xfId="0" applyFont="1" applyFill="1" applyBorder="1" applyAlignment="1">
      <alignment horizontal="center" vertical="center" shrinkToFit="1"/>
    </xf>
    <xf numFmtId="2" fontId="21" fillId="0" borderId="0" xfId="0" applyNumberFormat="1" applyFont="1" applyBorder="1" applyAlignment="1">
      <alignment horizontal="center" vertical="center"/>
    </xf>
    <xf numFmtId="2" fontId="21" fillId="0" borderId="160" xfId="0" applyNumberFormat="1" applyFont="1" applyBorder="1" applyAlignment="1">
      <alignment horizontal="center" vertical="center"/>
    </xf>
    <xf numFmtId="2" fontId="21" fillId="0" borderId="7" xfId="0" applyNumberFormat="1" applyFont="1" applyBorder="1" applyAlignment="1">
      <alignment horizontal="center" vertical="center"/>
    </xf>
    <xf numFmtId="164" fontId="14" fillId="18" borderId="9" xfId="0" applyNumberFormat="1" applyFont="1" applyFill="1" applyBorder="1" applyAlignment="1">
      <alignment horizontal="center" vertical="center"/>
    </xf>
    <xf numFmtId="164" fontId="14" fillId="18" borderId="10" xfId="0" applyNumberFormat="1" applyFont="1" applyFill="1" applyBorder="1" applyAlignment="1">
      <alignment horizontal="center" vertical="center"/>
    </xf>
    <xf numFmtId="166" fontId="14" fillId="18" borderId="9" xfId="0" applyNumberFormat="1" applyFont="1" applyFill="1" applyBorder="1" applyAlignment="1">
      <alignment horizontal="center" vertical="center"/>
    </xf>
    <xf numFmtId="166" fontId="14" fillId="18" borderId="10" xfId="0" applyNumberFormat="1" applyFont="1" applyFill="1" applyBorder="1" applyAlignment="1">
      <alignment horizontal="center" vertical="center"/>
    </xf>
    <xf numFmtId="9" fontId="14" fillId="18" borderId="9" xfId="1" applyFont="1" applyFill="1" applyBorder="1" applyAlignment="1">
      <alignment horizontal="center" vertical="center"/>
    </xf>
    <xf numFmtId="9" fontId="14" fillId="18" borderId="10" xfId="1" applyFont="1" applyFill="1" applyBorder="1" applyAlignment="1">
      <alignment horizontal="center" vertical="center"/>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4" fillId="18" borderId="0" xfId="0" applyFont="1" applyFill="1" applyBorder="1" applyAlignment="1">
      <alignment horizontal="center" vertical="center"/>
    </xf>
    <xf numFmtId="0" fontId="14" fillId="18" borderId="11" xfId="0" applyFont="1" applyFill="1" applyBorder="1" applyAlignment="1">
      <alignment horizontal="center" vertical="center"/>
    </xf>
    <xf numFmtId="0" fontId="21" fillId="0" borderId="13" xfId="0" applyFont="1" applyBorder="1" applyAlignment="1">
      <alignment horizontal="center" vertical="center" textRotation="90" wrapText="1"/>
    </xf>
    <xf numFmtId="0" fontId="21" fillId="0" borderId="0" xfId="0" applyFont="1" applyBorder="1" applyAlignment="1">
      <alignment horizontal="center" vertical="center" textRotation="90" wrapText="1"/>
    </xf>
    <xf numFmtId="0" fontId="21" fillId="0" borderId="7" xfId="0" applyFont="1" applyBorder="1" applyAlignment="1">
      <alignment horizontal="center" vertical="center" textRotation="90" wrapText="1"/>
    </xf>
    <xf numFmtId="0" fontId="15" fillId="0" borderId="13" xfId="0" applyFont="1" applyBorder="1" applyAlignment="1">
      <alignment horizontal="center" vertical="center"/>
    </xf>
    <xf numFmtId="0" fontId="15" fillId="0" borderId="5" xfId="0" applyFont="1" applyBorder="1" applyAlignment="1">
      <alignment horizontal="center" vertical="center"/>
    </xf>
    <xf numFmtId="2" fontId="21" fillId="0" borderId="13" xfId="0" applyNumberFormat="1" applyFont="1" applyBorder="1" applyAlignment="1">
      <alignment horizontal="center" vertical="center"/>
    </xf>
    <xf numFmtId="2" fontId="21" fillId="0" borderId="5" xfId="0" applyNumberFormat="1" applyFont="1" applyBorder="1" applyAlignment="1">
      <alignment horizontal="center" vertical="center"/>
    </xf>
    <xf numFmtId="0" fontId="14" fillId="18" borderId="6" xfId="0" applyFont="1" applyFill="1" applyBorder="1" applyAlignment="1">
      <alignment horizontal="center" vertical="center" shrinkToFit="1"/>
    </xf>
    <xf numFmtId="0" fontId="14" fillId="18" borderId="4" xfId="0" applyFont="1" applyFill="1" applyBorder="1" applyAlignment="1">
      <alignment horizontal="center" vertical="center" shrinkToFit="1"/>
    </xf>
    <xf numFmtId="166" fontId="0" fillId="17" borderId="6" xfId="0" applyNumberFormat="1" applyFill="1" applyBorder="1" applyAlignment="1" applyProtection="1">
      <alignment horizontal="center" vertical="center"/>
      <protection locked="0"/>
    </xf>
    <xf numFmtId="166" fontId="0" fillId="17" borderId="3" xfId="0" applyNumberFormat="1" applyFill="1" applyBorder="1" applyAlignment="1" applyProtection="1">
      <alignment horizontal="center" vertical="center"/>
      <protection locked="0"/>
    </xf>
    <xf numFmtId="166" fontId="0" fillId="17" borderId="4" xfId="0" applyNumberFormat="1" applyFill="1" applyBorder="1" applyAlignment="1" applyProtection="1">
      <alignment horizontal="center" vertical="center"/>
      <protection locked="0"/>
    </xf>
    <xf numFmtId="0" fontId="21" fillId="0" borderId="1" xfId="0" applyFont="1" applyBorder="1" applyAlignment="1" applyProtection="1">
      <alignment horizontal="right" vertical="center"/>
    </xf>
    <xf numFmtId="166" fontId="14" fillId="18" borderId="67" xfId="0" applyNumberFormat="1" applyFont="1" applyFill="1" applyBorder="1" applyAlignment="1">
      <alignment horizontal="center" vertical="center" shrinkToFit="1"/>
    </xf>
    <xf numFmtId="166" fontId="14" fillId="18" borderId="68" xfId="0" applyNumberFormat="1" applyFont="1" applyFill="1" applyBorder="1" applyAlignment="1">
      <alignment horizontal="center" vertical="center" shrinkToFit="1"/>
    </xf>
    <xf numFmtId="166" fontId="14" fillId="18" borderId="69" xfId="0" applyNumberFormat="1" applyFont="1" applyFill="1" applyBorder="1" applyAlignment="1">
      <alignment horizontal="center" vertical="center" shrinkToFit="1"/>
    </xf>
    <xf numFmtId="166" fontId="14" fillId="18" borderId="70" xfId="0" applyNumberFormat="1" applyFont="1" applyFill="1" applyBorder="1" applyAlignment="1">
      <alignment horizontal="center" vertical="center" shrinkToFit="1"/>
    </xf>
    <xf numFmtId="166" fontId="14" fillId="18" borderId="71" xfId="0" applyNumberFormat="1" applyFont="1" applyFill="1" applyBorder="1" applyAlignment="1">
      <alignment horizontal="center" vertical="center" shrinkToFit="1"/>
    </xf>
    <xf numFmtId="166" fontId="14" fillId="18" borderId="72" xfId="0" applyNumberFormat="1" applyFont="1" applyFill="1" applyBorder="1" applyAlignment="1">
      <alignment horizontal="center" vertical="center" shrinkToFi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60" xfId="0" applyFont="1" applyBorder="1" applyAlignment="1">
      <alignment horizontal="center" vertical="center" wrapText="1"/>
    </xf>
    <xf numFmtId="0" fontId="14" fillId="18" borderId="3" xfId="0" applyFont="1" applyFill="1" applyBorder="1" applyAlignment="1">
      <alignment horizontal="center" vertical="center" shrinkToFit="1"/>
    </xf>
    <xf numFmtId="2" fontId="14" fillId="18" borderId="6" xfId="0" applyNumberFormat="1" applyFont="1" applyFill="1" applyBorder="1" applyAlignment="1">
      <alignment horizontal="center" vertical="center"/>
    </xf>
    <xf numFmtId="2" fontId="14" fillId="18" borderId="4" xfId="0" applyNumberFormat="1" applyFont="1" applyFill="1" applyBorder="1" applyAlignment="1">
      <alignment horizontal="center" vertical="center"/>
    </xf>
    <xf numFmtId="0" fontId="14" fillId="0" borderId="0" xfId="0" applyFont="1" applyBorder="1" applyAlignment="1">
      <alignment horizontal="center" vertical="center" wrapTex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4" fillId="18" borderId="12" xfId="0" applyFont="1" applyFill="1" applyBorder="1" applyAlignment="1">
      <alignment horizontal="center" vertical="center"/>
    </xf>
    <xf numFmtId="0" fontId="14" fillId="18" borderId="8" xfId="0" applyFont="1" applyFill="1" applyBorder="1" applyAlignment="1">
      <alignment horizontal="center" vertical="center"/>
    </xf>
    <xf numFmtId="0" fontId="14" fillId="6" borderId="6" xfId="0" applyFont="1" applyFill="1" applyBorder="1" applyAlignment="1" applyProtection="1">
      <alignment horizontal="center" vertical="center" shrinkToFit="1"/>
      <protection locked="0"/>
    </xf>
    <xf numFmtId="0" fontId="14" fillId="6" borderId="3" xfId="0" applyFont="1" applyFill="1" applyBorder="1" applyAlignment="1" applyProtection="1">
      <alignment horizontal="center" vertical="center" shrinkToFit="1"/>
      <protection locked="0"/>
    </xf>
    <xf numFmtId="0" fontId="14" fillId="6" borderId="4" xfId="0" applyFont="1" applyFill="1" applyBorder="1" applyAlignment="1" applyProtection="1">
      <alignment horizontal="center" vertical="center" shrinkToFit="1"/>
      <protection locked="0"/>
    </xf>
    <xf numFmtId="168" fontId="14" fillId="6" borderId="6" xfId="0" applyNumberFormat="1" applyFont="1" applyFill="1" applyBorder="1" applyAlignment="1" applyProtection="1">
      <alignment horizontal="center" vertical="center" shrinkToFit="1"/>
      <protection locked="0"/>
    </xf>
    <xf numFmtId="168" fontId="14" fillId="6" borderId="3" xfId="0" applyNumberFormat="1" applyFont="1" applyFill="1" applyBorder="1" applyAlignment="1" applyProtection="1">
      <alignment horizontal="center" vertical="center" shrinkToFit="1"/>
      <protection locked="0"/>
    </xf>
    <xf numFmtId="168" fontId="14" fillId="6" borderId="4" xfId="0" applyNumberFormat="1" applyFont="1" applyFill="1" applyBorder="1" applyAlignment="1" applyProtection="1">
      <alignment horizontal="center" vertical="center" shrinkToFit="1"/>
      <protection locked="0"/>
    </xf>
    <xf numFmtId="167" fontId="14" fillId="18" borderId="67" xfId="1" applyNumberFormat="1" applyFont="1" applyFill="1" applyBorder="1" applyAlignment="1">
      <alignment horizontal="center" vertical="center" shrinkToFit="1"/>
    </xf>
    <xf numFmtId="167" fontId="14" fillId="18" borderId="68" xfId="1" applyNumberFormat="1" applyFont="1" applyFill="1" applyBorder="1" applyAlignment="1">
      <alignment horizontal="center" vertical="center" shrinkToFit="1"/>
    </xf>
    <xf numFmtId="167" fontId="14" fillId="18" borderId="71" xfId="1" applyNumberFormat="1" applyFont="1" applyFill="1" applyBorder="1" applyAlignment="1">
      <alignment horizontal="center" vertical="center" shrinkToFit="1"/>
    </xf>
    <xf numFmtId="167" fontId="14" fillId="18"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9" xfId="0" applyFont="1" applyBorder="1" applyAlignment="1">
      <alignment horizontal="center" vertical="center"/>
    </xf>
    <xf numFmtId="0" fontId="14" fillId="6" borderId="2" xfId="0" applyFont="1" applyFill="1" applyBorder="1" applyAlignment="1" applyProtection="1">
      <alignment horizontal="center" vertical="center" wrapText="1"/>
      <protection locked="0"/>
    </xf>
    <xf numFmtId="0" fontId="21" fillId="0" borderId="6" xfId="0" applyFont="1" applyBorder="1" applyAlignment="1">
      <alignment horizontal="center" vertical="center"/>
    </xf>
    <xf numFmtId="49" fontId="14" fillId="6" borderId="6" xfId="0" applyNumberFormat="1" applyFont="1" applyFill="1" applyBorder="1" applyAlignment="1" applyProtection="1">
      <alignment horizontal="center" vertical="center" shrinkToFit="1"/>
      <protection locked="0"/>
    </xf>
    <xf numFmtId="49" fontId="14" fillId="6" borderId="4" xfId="0" applyNumberFormat="1" applyFont="1" applyFill="1" applyBorder="1" applyAlignment="1" applyProtection="1">
      <alignment horizontal="center" vertical="center" shrinkToFit="1"/>
      <protection locked="0"/>
    </xf>
    <xf numFmtId="49" fontId="14" fillId="6" borderId="3" xfId="0" applyNumberFormat="1" applyFont="1" applyFill="1" applyBorder="1" applyAlignment="1" applyProtection="1">
      <alignment horizontal="center" vertical="center" shrinkToFit="1"/>
      <protection locked="0"/>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Border="1" applyAlignment="1">
      <alignment horizontal="center" vertical="center" wrapText="1"/>
    </xf>
    <xf numFmtId="2" fontId="21" fillId="0" borderId="160" xfId="0" applyNumberFormat="1" applyFont="1" applyBorder="1" applyAlignment="1">
      <alignment horizontal="center" vertical="center" wrapText="1"/>
    </xf>
    <xf numFmtId="0" fontId="21" fillId="0" borderId="14" xfId="0" applyFont="1" applyBorder="1" applyAlignment="1">
      <alignment horizontal="center" vertical="center" textRotation="90" wrapText="1"/>
    </xf>
    <xf numFmtId="0" fontId="21" fillId="0" borderId="164" xfId="0" applyFont="1" applyBorder="1" applyAlignment="1">
      <alignment horizontal="center" vertical="center" textRotation="90" wrapText="1"/>
    </xf>
    <xf numFmtId="0" fontId="21" fillId="0" borderId="12" xfId="0" applyFont="1" applyBorder="1" applyAlignment="1">
      <alignment horizontal="center" vertical="center" textRotation="90" wrapText="1"/>
    </xf>
    <xf numFmtId="49" fontId="14" fillId="6" borderId="14" xfId="0" applyNumberFormat="1" applyFont="1" applyFill="1" applyBorder="1" applyAlignment="1" applyProtection="1">
      <alignment horizontal="center" vertical="center" shrinkToFit="1"/>
      <protection locked="0"/>
    </xf>
    <xf numFmtId="49" fontId="14" fillId="6" borderId="13" xfId="0" applyNumberFormat="1" applyFont="1" applyFill="1" applyBorder="1" applyAlignment="1" applyProtection="1">
      <alignment horizontal="center" vertical="center" shrinkToFit="1"/>
      <protection locked="0"/>
    </xf>
    <xf numFmtId="49" fontId="14" fillId="6" borderId="5" xfId="0" applyNumberFormat="1" applyFont="1" applyFill="1" applyBorder="1" applyAlignment="1" applyProtection="1">
      <alignment horizontal="center" vertical="center" shrinkToFit="1"/>
      <protection locked="0"/>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21" fillId="0" borderId="6" xfId="0" applyFont="1" applyBorder="1" applyAlignment="1" applyProtection="1">
      <alignment horizontal="right" vertical="center"/>
    </xf>
    <xf numFmtId="0" fontId="21" fillId="0" borderId="4" xfId="0" applyFont="1" applyBorder="1" applyAlignment="1" applyProtection="1">
      <alignment horizontal="right" vertical="center"/>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pplyProtection="1">
      <alignment horizontal="right" vertical="center" shrinkToFit="1"/>
    </xf>
    <xf numFmtId="0" fontId="21" fillId="0" borderId="6" xfId="0" applyFont="1" applyBorder="1" applyAlignment="1">
      <alignment horizontal="center" shrinkToFit="1"/>
    </xf>
    <xf numFmtId="0" fontId="21" fillId="0" borderId="3" xfId="0" applyFont="1" applyBorder="1" applyAlignment="1">
      <alignment horizontal="center" shrinkToFit="1"/>
    </xf>
    <xf numFmtId="0" fontId="14" fillId="18" borderId="3" xfId="0" applyFont="1" applyFill="1" applyBorder="1" applyAlignment="1">
      <alignment horizontal="left"/>
    </xf>
    <xf numFmtId="0" fontId="14" fillId="18" borderId="4" xfId="0" applyFont="1" applyFill="1" applyBorder="1" applyAlignment="1">
      <alignment horizontal="left"/>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0" fontId="21" fillId="0" borderId="14" xfId="0" applyFont="1" applyBorder="1" applyAlignment="1">
      <alignment horizontal="center" vertical="center" textRotation="90"/>
    </xf>
    <xf numFmtId="0" fontId="21" fillId="0" borderId="164" xfId="0" applyFont="1" applyBorder="1" applyAlignment="1">
      <alignment horizontal="center" vertical="center" textRotation="90"/>
    </xf>
    <xf numFmtId="0" fontId="21" fillId="0" borderId="12" xfId="0" applyFont="1" applyBorder="1" applyAlignment="1">
      <alignment horizontal="center" vertical="center" textRotation="90"/>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166" fontId="14" fillId="17" borderId="3" xfId="0" applyNumberFormat="1" applyFont="1" applyFill="1" applyBorder="1" applyAlignment="1" applyProtection="1">
      <alignment horizontal="center" vertical="center"/>
      <protection locked="0"/>
    </xf>
    <xf numFmtId="166" fontId="14" fillId="17" borderId="4" xfId="0" applyNumberFormat="1" applyFont="1" applyFill="1" applyBorder="1" applyAlignment="1" applyProtection="1">
      <alignment horizontal="center" vertical="center"/>
      <protection locked="0"/>
    </xf>
    <xf numFmtId="0" fontId="14" fillId="0" borderId="13"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18" borderId="14" xfId="0" applyFont="1" applyFill="1" applyBorder="1" applyAlignment="1">
      <alignment horizontal="center" vertical="center" textRotation="90" wrapText="1"/>
    </xf>
    <xf numFmtId="0" fontId="21" fillId="18" borderId="164" xfId="0" applyFont="1" applyFill="1" applyBorder="1" applyAlignment="1">
      <alignment horizontal="center" vertical="center" textRotation="90" wrapText="1"/>
    </xf>
    <xf numFmtId="0" fontId="21" fillId="18" borderId="12" xfId="0" applyFont="1" applyFill="1" applyBorder="1" applyAlignment="1">
      <alignment horizontal="center" vertical="center" textRotation="90" wrapText="1"/>
    </xf>
    <xf numFmtId="0" fontId="21" fillId="18" borderId="3" xfId="0" applyFont="1" applyFill="1" applyBorder="1" applyAlignment="1">
      <alignment horizontal="center" vertical="center"/>
    </xf>
    <xf numFmtId="0" fontId="21" fillId="18" borderId="4"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15" fillId="0" borderId="81" xfId="0" applyFont="1"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2" xfId="0" applyBorder="1" applyAlignment="1">
      <alignment horizontal="center" vertical="center" wrapText="1"/>
    </xf>
    <xf numFmtId="0" fontId="0" fillId="0" borderId="173" xfId="0" applyBorder="1" applyAlignment="1">
      <alignment horizontal="center" vertical="center" wrapText="1"/>
    </xf>
    <xf numFmtId="0" fontId="4" fillId="0" borderId="172" xfId="0" applyFont="1" applyBorder="1" applyAlignment="1">
      <alignment horizontal="center" vertical="center" wrapText="1"/>
    </xf>
    <xf numFmtId="0" fontId="4" fillId="0" borderId="173"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163"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2" fontId="0" fillId="0" borderId="138" xfId="0" applyNumberFormat="1" applyFill="1" applyBorder="1" applyAlignment="1">
      <alignment horizontal="center" vertical="center"/>
    </xf>
    <xf numFmtId="2" fontId="0" fillId="0" borderId="108" xfId="0" applyNumberFormat="1" applyFill="1" applyBorder="1" applyAlignment="1">
      <alignment horizontal="center" vertical="center"/>
    </xf>
    <xf numFmtId="2" fontId="0" fillId="0" borderId="26" xfId="0" applyNumberFormat="1" applyFill="1" applyBorder="1" applyAlignment="1">
      <alignment horizontal="center" vertical="center"/>
    </xf>
    <xf numFmtId="2" fontId="0" fillId="0" borderId="132" xfId="0" applyNumberFormat="1" applyFill="1" applyBorder="1" applyAlignment="1">
      <alignment horizontal="center" vertical="center"/>
    </xf>
    <xf numFmtId="0" fontId="4" fillId="0" borderId="124" xfId="0" applyFont="1" applyBorder="1" applyAlignment="1">
      <alignment horizontal="center" vertical="center"/>
    </xf>
    <xf numFmtId="0" fontId="4" fillId="0" borderId="110" xfId="0" applyFont="1" applyBorder="1" applyAlignment="1">
      <alignment horizontal="center" vertical="center"/>
    </xf>
    <xf numFmtId="0" fontId="4" fillId="0" borderId="129" xfId="0" applyFont="1"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0" borderId="18" xfId="0" applyFont="1" applyBorder="1" applyAlignment="1">
      <alignment horizontal="center" vertical="center" wrapText="1"/>
    </xf>
    <xf numFmtId="0" fontId="4" fillId="18" borderId="129" xfId="0" applyFont="1" applyFill="1" applyBorder="1" applyAlignment="1">
      <alignment horizontal="center" vertical="center"/>
    </xf>
    <xf numFmtId="0" fontId="4" fillId="18" borderId="4" xfId="0" applyFont="1" applyFill="1" applyBorder="1" applyAlignment="1">
      <alignment horizontal="center" vertical="center"/>
    </xf>
    <xf numFmtId="0" fontId="0" fillId="0" borderId="129" xfId="0" applyBorder="1" applyAlignment="1">
      <alignment horizontal="center" vertical="center"/>
    </xf>
    <xf numFmtId="0" fontId="4" fillId="18" borderId="131" xfId="0" applyFont="1" applyFill="1" applyBorder="1" applyAlignment="1">
      <alignment horizontal="center" vertical="center"/>
    </xf>
    <xf numFmtId="0" fontId="4" fillId="18" borderId="74" xfId="0" applyFont="1" applyFill="1" applyBorder="1" applyAlignment="1">
      <alignment horizontal="center" vertical="center"/>
    </xf>
    <xf numFmtId="0" fontId="3" fillId="0" borderId="15" xfId="0" applyFont="1" applyBorder="1" applyAlignment="1">
      <alignment horizontal="center"/>
    </xf>
    <xf numFmtId="0" fontId="3" fillId="0" borderId="11"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12" fillId="0" borderId="120"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4"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0" fillId="0" borderId="99" xfId="0" applyBorder="1" applyAlignment="1">
      <alignment horizontal="center" vertical="center"/>
    </xf>
    <xf numFmtId="0" fontId="0" fillId="0" borderId="108" xfId="0"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7" borderId="148" xfId="0" applyNumberFormat="1" applyFill="1" applyBorder="1" applyAlignment="1" applyProtection="1">
      <alignment horizontal="center" vertical="center"/>
      <protection locked="0"/>
    </xf>
    <xf numFmtId="166" fontId="0" fillId="17"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16" borderId="6" xfId="0" applyNumberFormat="1" applyFont="1" applyFill="1" applyBorder="1" applyAlignment="1" applyProtection="1">
      <alignment horizontal="center"/>
    </xf>
    <xf numFmtId="0" fontId="4" fillId="16" borderId="4" xfId="0" applyNumberFormat="1" applyFont="1" applyFill="1" applyBorder="1" applyAlignment="1" applyProtection="1">
      <alignment horizontal="center"/>
    </xf>
    <xf numFmtId="0" fontId="4" fillId="0" borderId="121" xfId="0" applyFont="1" applyBorder="1" applyAlignment="1">
      <alignment horizontal="center" vertical="center" wrapText="1"/>
    </xf>
    <xf numFmtId="0" fontId="4" fillId="0" borderId="122" xfId="0" applyFont="1" applyBorder="1" applyAlignment="1">
      <alignment horizontal="center" vertical="center" wrapText="1"/>
    </xf>
    <xf numFmtId="166" fontId="0" fillId="17" borderId="32" xfId="0" applyNumberFormat="1" applyFill="1" applyBorder="1" applyAlignment="1" applyProtection="1">
      <alignment horizontal="center" vertical="center"/>
      <protection locked="0"/>
    </xf>
    <xf numFmtId="166" fontId="0" fillId="17"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7" borderId="148" xfId="0" applyFill="1" applyBorder="1" applyAlignment="1" applyProtection="1">
      <alignment horizontal="center" vertical="center" shrinkToFit="1"/>
      <protection locked="0"/>
    </xf>
    <xf numFmtId="0" fontId="0" fillId="17" borderId="150" xfId="0" applyFill="1" applyBorder="1" applyAlignment="1" applyProtection="1">
      <alignment horizontal="center" vertical="center" shrinkToFit="1"/>
      <protection locked="0"/>
    </xf>
    <xf numFmtId="0" fontId="0" fillId="17" borderId="151" xfId="0" applyFill="1" applyBorder="1" applyAlignment="1" applyProtection="1">
      <alignment horizontal="center" vertical="center" shrinkToFit="1"/>
      <protection locked="0"/>
    </xf>
    <xf numFmtId="0" fontId="0" fillId="17" borderId="55" xfId="0" applyFill="1" applyBorder="1" applyAlignment="1" applyProtection="1">
      <alignment horizontal="center" vertical="center" shrinkToFit="1"/>
      <protection locked="0"/>
    </xf>
    <xf numFmtId="0" fontId="0" fillId="17" borderId="152" xfId="0" applyFill="1" applyBorder="1" applyAlignment="1" applyProtection="1">
      <alignment horizontal="center" vertical="center" shrinkToFit="1"/>
      <protection locked="0"/>
    </xf>
    <xf numFmtId="0" fontId="0" fillId="17" borderId="153" xfId="0" applyFill="1" applyBorder="1" applyAlignment="1" applyProtection="1">
      <alignment horizontal="center" vertical="center" shrinkToFit="1"/>
      <protection locked="0"/>
    </xf>
    <xf numFmtId="0" fontId="4" fillId="17" borderId="55" xfId="0" applyFont="1" applyFill="1" applyBorder="1" applyAlignment="1" applyProtection="1">
      <alignment horizontal="center" vertical="center" shrinkToFit="1"/>
      <protection locked="0"/>
    </xf>
    <xf numFmtId="0" fontId="4" fillId="17" borderId="152" xfId="0" applyFont="1" applyFill="1" applyBorder="1" applyAlignment="1" applyProtection="1">
      <alignment horizontal="center" vertical="center" shrinkToFit="1"/>
      <protection locked="0"/>
    </xf>
    <xf numFmtId="0" fontId="4" fillId="17" borderId="153" xfId="0" applyFont="1" applyFill="1" applyBorder="1" applyAlignment="1" applyProtection="1">
      <alignment horizontal="center" vertical="center" shrinkToFit="1"/>
      <protection locked="0"/>
    </xf>
    <xf numFmtId="0" fontId="0" fillId="17" borderId="154" xfId="0" applyFill="1" applyBorder="1" applyAlignment="1" applyProtection="1">
      <alignment horizontal="center" vertical="center" shrinkToFit="1"/>
      <protection locked="0"/>
    </xf>
    <xf numFmtId="0" fontId="0" fillId="17" borderId="155" xfId="0" applyFill="1" applyBorder="1" applyAlignment="1" applyProtection="1">
      <alignment horizontal="center" vertical="center" shrinkToFit="1"/>
      <protection locked="0"/>
    </xf>
    <xf numFmtId="0" fontId="0" fillId="17"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7" borderId="55" xfId="0" applyNumberFormat="1" applyFill="1" applyBorder="1" applyAlignment="1" applyProtection="1">
      <alignment horizontal="center" vertical="center"/>
      <protection locked="0"/>
    </xf>
    <xf numFmtId="0" fontId="4" fillId="18" borderId="124" xfId="0" applyFont="1" applyFill="1" applyBorder="1" applyAlignment="1">
      <alignment horizontal="center" vertical="center"/>
    </xf>
    <xf numFmtId="0" fontId="4" fillId="18" borderId="110" xfId="0" applyFont="1" applyFill="1" applyBorder="1" applyAlignment="1">
      <alignment horizontal="center" vertical="center"/>
    </xf>
    <xf numFmtId="0" fontId="4" fillId="18" borderId="125" xfId="0" applyFont="1" applyFill="1" applyBorder="1" applyAlignment="1">
      <alignment horizontal="center" vertical="center"/>
    </xf>
    <xf numFmtId="0" fontId="0" fillId="18" borderId="129" xfId="0" applyFill="1" applyBorder="1" applyAlignment="1">
      <alignment horizontal="center"/>
    </xf>
    <xf numFmtId="0" fontId="0" fillId="18" borderId="4" xfId="0" applyFill="1" applyBorder="1" applyAlignment="1">
      <alignment horizontal="center"/>
    </xf>
    <xf numFmtId="173" fontId="4" fillId="18" borderId="21" xfId="0" applyNumberFormat="1" applyFont="1" applyFill="1" applyBorder="1" applyAlignment="1">
      <alignment horizontal="center" vertical="center"/>
    </xf>
    <xf numFmtId="166" fontId="0" fillId="18" borderId="124" xfId="0" applyNumberFormat="1" applyFill="1" applyBorder="1" applyAlignment="1">
      <alignment horizontal="center" vertical="center"/>
    </xf>
    <xf numFmtId="166" fontId="0" fillId="18" borderId="110" xfId="0" applyNumberFormat="1" applyFill="1" applyBorder="1" applyAlignment="1">
      <alignment horizontal="center" vertical="center"/>
    </xf>
    <xf numFmtId="166" fontId="0" fillId="18"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18" borderId="90" xfId="0" applyNumberFormat="1" applyFont="1" applyFill="1" applyBorder="1" applyAlignment="1">
      <alignment horizontal="center" vertic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166" fontId="0" fillId="17" borderId="168" xfId="0" applyNumberFormat="1" applyFill="1" applyBorder="1" applyAlignment="1" applyProtection="1">
      <alignment horizontal="center" vertical="center"/>
      <protection locked="0"/>
    </xf>
    <xf numFmtId="166" fontId="0" fillId="17" borderId="169" xfId="0" applyNumberFormat="1" applyFill="1" applyBorder="1" applyAlignment="1" applyProtection="1">
      <alignment horizontal="center" vertical="center"/>
      <protection locked="0"/>
    </xf>
    <xf numFmtId="0" fontId="0" fillId="0" borderId="6" xfId="0" applyBorder="1" applyAlignment="1">
      <alignment horizontal="center"/>
    </xf>
    <xf numFmtId="0" fontId="0" fillId="0" borderId="25"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16" borderId="80" xfId="0" applyNumberFormat="1" applyFont="1" applyFill="1" applyBorder="1" applyAlignment="1" applyProtection="1">
      <alignment horizontal="center"/>
    </xf>
    <xf numFmtId="0" fontId="0" fillId="16" borderId="81" xfId="0" applyNumberFormat="1" applyFill="1" applyBorder="1" applyAlignment="1" applyProtection="1">
      <alignment horizontal="center"/>
    </xf>
    <xf numFmtId="0" fontId="0" fillId="0" borderId="14" xfId="0" applyFill="1" applyBorder="1" applyAlignment="1">
      <alignment horizontal="center"/>
    </xf>
    <xf numFmtId="0" fontId="0" fillId="0" borderId="86" xfId="0" applyFill="1" applyBorder="1" applyAlignment="1">
      <alignment horizontal="center"/>
    </xf>
    <xf numFmtId="0" fontId="0" fillId="0" borderId="15" xfId="0" applyFill="1" applyBorder="1" applyAlignment="1">
      <alignment horizontal="center"/>
    </xf>
    <xf numFmtId="0" fontId="0" fillId="0" borderId="84" xfId="0" applyFill="1" applyBorder="1" applyAlignment="1">
      <alignment horizontal="center"/>
    </xf>
    <xf numFmtId="0" fontId="0" fillId="0" borderId="100" xfId="0" applyFill="1" applyBorder="1" applyAlignment="1">
      <alignment horizontal="center"/>
    </xf>
    <xf numFmtId="0" fontId="0" fillId="0" borderId="140" xfId="0" applyFill="1" applyBorder="1" applyAlignment="1">
      <alignment horizontal="center"/>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114" xfId="0" applyFont="1" applyFill="1" applyBorder="1" applyAlignment="1">
      <alignment horizontal="center" vertical="center" wrapText="1"/>
    </xf>
    <xf numFmtId="0" fontId="50" fillId="0" borderId="75"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182"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0" fontId="15" fillId="0" borderId="115" xfId="0" applyFont="1" applyBorder="1" applyAlignment="1">
      <alignment horizontal="center" vertical="center" textRotation="90" wrapText="1"/>
    </xf>
    <xf numFmtId="0" fontId="15" fillId="0" borderId="89" xfId="0" applyFont="1" applyBorder="1" applyAlignment="1">
      <alignment horizontal="center" vertical="center" textRotation="90" wrapText="1"/>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119" xfId="0" applyFont="1" applyBorder="1" applyAlignment="1">
      <alignment horizontal="center" vertical="center" textRotation="90" wrapText="1"/>
    </xf>
    <xf numFmtId="0" fontId="15" fillId="0" borderId="183" xfId="0" applyFont="1" applyBorder="1" applyAlignment="1">
      <alignment horizontal="center"/>
    </xf>
    <xf numFmtId="0" fontId="15" fillId="0" borderId="182" xfId="0" applyFont="1" applyBorder="1" applyAlignment="1">
      <alignment horizontal="center"/>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3" xfId="0" applyFont="1" applyBorder="1" applyAlignment="1">
      <alignment horizontal="center"/>
    </xf>
    <xf numFmtId="10" fontId="15" fillId="0" borderId="2" xfId="0" applyNumberFormat="1" applyFont="1" applyBorder="1" applyAlignment="1">
      <alignment horizontal="center" vertical="center" textRotation="90" wrapText="1"/>
    </xf>
    <xf numFmtId="0" fontId="47" fillId="0" borderId="110" xfId="0" applyFont="1" applyBorder="1" applyAlignment="1">
      <alignment horizontal="center" vertical="center" textRotation="90" wrapText="1"/>
    </xf>
    <xf numFmtId="0" fontId="47" fillId="0" borderId="84" xfId="0" applyFont="1" applyBorder="1" applyAlignment="1">
      <alignment horizontal="center" vertical="center" textRotation="90"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1" xfId="0" applyFont="1" applyBorder="1" applyAlignment="1">
      <alignment horizontal="center"/>
    </xf>
    <xf numFmtId="0" fontId="4" fillId="0" borderId="9" xfId="0"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99">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ill>
        <patternFill>
          <bgColor rgb="FF92D050"/>
        </patternFill>
      </fill>
    </dxf>
    <dxf>
      <font>
        <b/>
        <i val="0"/>
      </font>
      <fill>
        <patternFill>
          <bgColor rgb="FFFF0000"/>
        </patternFill>
      </fill>
    </dxf>
    <dxf>
      <font>
        <b val="0"/>
        <i val="0"/>
      </font>
      <fill>
        <patternFill patternType="solid">
          <bgColor rgb="FFFFC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patternType="lightUp"/>
      </fill>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b/>
        <i val="0"/>
      </font>
    </dxf>
    <dxf>
      <fill>
        <patternFill patternType="lightUp"/>
      </fill>
    </dxf>
    <dxf>
      <font>
        <strike val="0"/>
      </font>
      <fill>
        <patternFill patternType="lightUp"/>
      </fill>
    </dxf>
    <dxf>
      <font>
        <b/>
        <i val="0"/>
      </font>
    </dxf>
    <dxf>
      <font>
        <b/>
        <i val="0"/>
      </font>
    </dxf>
    <dxf>
      <font>
        <b/>
        <i val="0"/>
      </font>
    </dxf>
    <dxf>
      <font>
        <b/>
        <i val="0"/>
      </font>
    </dxf>
    <dxf>
      <font>
        <b/>
        <i val="0"/>
      </font>
    </dxf>
    <dxf>
      <font>
        <b/>
        <i val="0"/>
      </font>
      <fill>
        <patternFill>
          <bgColor rgb="FF92D050"/>
        </patternFill>
      </fill>
    </dxf>
    <dxf>
      <font>
        <b/>
        <i val="0"/>
      </font>
      <fill>
        <patternFill>
          <bgColor rgb="FF92D050"/>
        </patternFill>
      </fill>
    </dxf>
  </dxfs>
  <tableStyles count="0" defaultTableStyle="TableStyleMedium9" defaultPivotStyle="PivotStyleLight16"/>
  <colors>
    <mruColors>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9"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0" val="0"/>
</file>

<file path=xl/ctrlProps/ctrlProp14.xml><?xml version="1.0" encoding="utf-8"?>
<formControlPr xmlns="http://schemas.microsoft.com/office/spreadsheetml/2009/9/main" objectType="Drop" dropLines="12" dropStyle="combo" dx="22" fmlaLink="D19" fmlaRange="$I$12:$I$22" noThreeD="1" sel="11" val="0"/>
</file>

<file path=xl/ctrlProps/ctrlProp15.xml><?xml version="1.0" encoding="utf-8"?>
<formControlPr xmlns="http://schemas.microsoft.com/office/spreadsheetml/2009/9/main" objectType="Drop" dropLines="12" dropStyle="combo" dx="22" fmlaLink="D20" fmlaRange="$I$12:$I$22" noThreeD="1" sel="1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1" val="0"/>
</file>

<file path=xl/ctrlProps/ctrlProp27.xml><?xml version="1.0" encoding="utf-8"?>
<formControlPr xmlns="http://schemas.microsoft.com/office/spreadsheetml/2009/9/main" objectType="Drop" dropLines="12" dropStyle="combo" dx="22" fmlaLink="D16" fmlaRange="$I$13:$I$23" noThreeD="1" sel="1"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checked="Checked"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5"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37</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37</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79</xdr:row>
          <xdr:rowOff>99060</xdr:rowOff>
        </xdr:from>
        <xdr:to>
          <xdr:col>3</xdr:col>
          <xdr:colOff>518160</xdr:colOff>
          <xdr:row>79</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175260</xdr:rowOff>
        </xdr:from>
        <xdr:to>
          <xdr:col>2</xdr:col>
          <xdr:colOff>1584960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693420</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693420</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693420</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693420</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693420</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693420</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58</xdr:row>
          <xdr:rowOff>182880</xdr:rowOff>
        </xdr:from>
        <xdr:to>
          <xdr:col>2</xdr:col>
          <xdr:colOff>1607820</xdr:colOff>
          <xdr:row>62</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23</xdr:row>
          <xdr:rowOff>7620</xdr:rowOff>
        </xdr:from>
        <xdr:to>
          <xdr:col>3</xdr:col>
          <xdr:colOff>975360</xdr:colOff>
          <xdr:row>23</xdr:row>
          <xdr:rowOff>213360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2" totalsRowShown="0" headerRowDxfId="25" dataDxfId="24">
  <autoFilter ref="A1:I242" xr:uid="{00000000-0009-0000-0100-000002000000}"/>
  <sortState xmlns:xlrd2="http://schemas.microsoft.com/office/spreadsheetml/2017/richdata2" ref="A2:I242">
    <sortCondition ref="A2:A242"/>
  </sortState>
  <tableColumns count="9">
    <tableColumn id="1" xr3:uid="{00000000-0010-0000-0000-000001000000}" name="Ingredient Name" dataDxfId="23"/>
    <tableColumn id="6" xr3:uid="{00000000-0010-0000-0000-000006000000}" name="Company" dataDxfId="22"/>
    <tableColumn id="2" xr3:uid="{00000000-0010-0000-0000-000002000000}" name="Grain or Sugar" dataDxfId="21" totalsRowDxfId="20"/>
    <tableColumn id="8" xr3:uid="{00000000-0010-0000-0000-000008000000}" name="Extract %" dataDxfId="19" totalsRowDxfId="18"/>
    <tableColumn id="5" xr3:uid="{00000000-0010-0000-0000-000005000000}" name="Moisture Content %" dataDxfId="17" totalsRowDxfId="16"/>
    <tableColumn id="3" xr3:uid="{00000000-0010-0000-0000-000003000000}" name="Max PPG" dataDxfId="15" totalsRowDxfId="14"/>
    <tableColumn id="4" xr3:uid="{00000000-0010-0000-0000-000004000000}" name="Color (° L)" dataDxfId="13"/>
    <tableColumn id="9" xr3:uid="{97017575-087E-4C28-BD18-5533BF1CEA0D}" name="Diastatic Power_x000a_(° Lintner)" dataDxfId="12"/>
    <tableColumn id="7" xr3:uid="{00000000-0010-0000-0000-000007000000}" name="Source"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10" dataDxfId="9">
  <autoFilter ref="A1:I311" xr:uid="{00000000-0009-0000-0100-000003000000}"/>
  <sortState xmlns:xlrd2="http://schemas.microsoft.com/office/spreadsheetml/2017/richdata2" ref="A2:I311">
    <sortCondition ref="A2:A311"/>
  </sortState>
  <tableColumns count="9">
    <tableColumn id="1" xr3:uid="{00000000-0010-0000-0100-000001000000}" name="Name &amp; Number" dataDxfId="8"/>
    <tableColumn id="2" xr3:uid="{00000000-0010-0000-0100-000002000000}" name="Type" dataDxfId="7"/>
    <tableColumn id="3" xr3:uid="{00000000-0010-0000-0100-000003000000}" name="Lab" dataDxfId="6"/>
    <tableColumn id="4" xr3:uid="{00000000-0010-0000-0100-000004000000}" name="Floc." dataDxfId="5"/>
    <tableColumn id="5" xr3:uid="{00000000-0010-0000-0100-000005000000}" name="Atten." dataDxfId="4"/>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engineeringtoolbox.com/water-density-specific-weight-d_595.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2.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3.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59"/>
  <sheetViews>
    <sheetView topLeftCell="A50" zoomScaleNormal="100" workbookViewId="0">
      <selection activeCell="B61" sqref="B61"/>
    </sheetView>
  </sheetViews>
  <sheetFormatPr defaultRowHeight="13.2" x14ac:dyDescent="0.25"/>
  <cols>
    <col min="1" max="1" width="10.109375" bestFit="1" customWidth="1"/>
    <col min="2" max="2" width="111.33203125" style="54" customWidth="1"/>
  </cols>
  <sheetData>
    <row r="2" spans="2:2" ht="21" x14ac:dyDescent="0.4">
      <c r="B2" s="573" t="s">
        <v>1117</v>
      </c>
    </row>
    <row r="3" spans="2:2" x14ac:dyDescent="0.25">
      <c r="B3" s="366" t="s">
        <v>2269</v>
      </c>
    </row>
    <row r="4" spans="2:2" x14ac:dyDescent="0.25">
      <c r="B4" s="571" t="s">
        <v>1234</v>
      </c>
    </row>
    <row r="5" spans="2:2" x14ac:dyDescent="0.25">
      <c r="B5" s="366" t="s">
        <v>2313</v>
      </c>
    </row>
    <row r="6" spans="2:2" x14ac:dyDescent="0.25">
      <c r="B6" s="366" t="s">
        <v>2035</v>
      </c>
    </row>
    <row r="7" spans="2:2" ht="26.4" x14ac:dyDescent="0.25">
      <c r="B7" s="366" t="s">
        <v>2036</v>
      </c>
    </row>
    <row r="8" spans="2:2" x14ac:dyDescent="0.25">
      <c r="B8" s="366" t="s">
        <v>1114</v>
      </c>
    </row>
    <row r="9" spans="2:2" x14ac:dyDescent="0.25">
      <c r="B9" s="366" t="s">
        <v>2333</v>
      </c>
    </row>
    <row r="10" spans="2:2" x14ac:dyDescent="0.25">
      <c r="B10" s="366" t="s">
        <v>2334</v>
      </c>
    </row>
    <row r="11" spans="2:2" x14ac:dyDescent="0.25">
      <c r="B11" s="366" t="s">
        <v>2335</v>
      </c>
    </row>
    <row r="12" spans="2:2" x14ac:dyDescent="0.25">
      <c r="B12" s="366" t="s">
        <v>2336</v>
      </c>
    </row>
    <row r="13" spans="2:2" x14ac:dyDescent="0.25">
      <c r="B13" s="366" t="s">
        <v>2337</v>
      </c>
    </row>
    <row r="14" spans="2:2" x14ac:dyDescent="0.25">
      <c r="B14" s="366" t="s">
        <v>2338</v>
      </c>
    </row>
    <row r="15" spans="2:2" x14ac:dyDescent="0.25">
      <c r="B15" s="366" t="s">
        <v>2339</v>
      </c>
    </row>
    <row r="16" spans="2:2" x14ac:dyDescent="0.25">
      <c r="B16" s="366" t="s">
        <v>2340</v>
      </c>
    </row>
    <row r="17" spans="1:2" x14ac:dyDescent="0.25">
      <c r="B17" s="571" t="s">
        <v>122</v>
      </c>
    </row>
    <row r="20" spans="1:2" x14ac:dyDescent="0.25">
      <c r="B20" s="570" t="s">
        <v>1115</v>
      </c>
    </row>
    <row r="21" spans="1:2" x14ac:dyDescent="0.25">
      <c r="B21" s="366" t="s">
        <v>1116</v>
      </c>
    </row>
    <row r="22" spans="1:2" ht="66" x14ac:dyDescent="0.25">
      <c r="A22" s="44">
        <v>42838</v>
      </c>
      <c r="B22" s="43" t="s">
        <v>1132</v>
      </c>
    </row>
    <row r="23" spans="1:2" x14ac:dyDescent="0.25">
      <c r="A23" s="53">
        <v>42840</v>
      </c>
      <c r="B23" s="366" t="s">
        <v>1133</v>
      </c>
    </row>
    <row r="24" spans="1:2" x14ac:dyDescent="0.25">
      <c r="A24" s="53">
        <v>42845</v>
      </c>
      <c r="B24" s="366" t="s">
        <v>1134</v>
      </c>
    </row>
    <row r="25" spans="1:2" x14ac:dyDescent="0.25">
      <c r="A25" s="53">
        <v>42850</v>
      </c>
      <c r="B25" s="366" t="s">
        <v>1208</v>
      </c>
    </row>
    <row r="26" spans="1:2" x14ac:dyDescent="0.25">
      <c r="A26" s="53">
        <v>42854</v>
      </c>
      <c r="B26" s="366" t="s">
        <v>1219</v>
      </c>
    </row>
    <row r="27" spans="1:2" ht="52.8" x14ac:dyDescent="0.25">
      <c r="A27" s="55">
        <v>42931</v>
      </c>
      <c r="B27" s="43" t="s">
        <v>1233</v>
      </c>
    </row>
    <row r="28" spans="1:2" ht="132" x14ac:dyDescent="0.25">
      <c r="A28" s="55">
        <v>42983</v>
      </c>
      <c r="B28" s="43" t="s">
        <v>1551</v>
      </c>
    </row>
    <row r="29" spans="1:2" ht="145.19999999999999" x14ac:dyDescent="0.25">
      <c r="A29" s="55">
        <v>43048</v>
      </c>
      <c r="B29" s="43" t="s">
        <v>1630</v>
      </c>
    </row>
    <row r="30" spans="1:2" ht="26.4" x14ac:dyDescent="0.25">
      <c r="A30" s="55">
        <v>43189</v>
      </c>
      <c r="B30" s="43" t="s">
        <v>1631</v>
      </c>
    </row>
    <row r="31" spans="1:2" ht="26.4" x14ac:dyDescent="0.25">
      <c r="A31" s="55">
        <v>43267</v>
      </c>
      <c r="B31" s="43" t="s">
        <v>1636</v>
      </c>
    </row>
    <row r="32" spans="1:2" x14ac:dyDescent="0.25">
      <c r="A32" s="53">
        <v>43386</v>
      </c>
      <c r="B32" s="43" t="s">
        <v>1644</v>
      </c>
    </row>
    <row r="33" spans="1:2" ht="52.8" x14ac:dyDescent="0.25">
      <c r="A33" s="55">
        <v>43435</v>
      </c>
      <c r="B33" s="43" t="s">
        <v>1645</v>
      </c>
    </row>
    <row r="34" spans="1:2" ht="316.8" x14ac:dyDescent="0.25">
      <c r="A34" s="55">
        <v>43478</v>
      </c>
      <c r="B34" s="366" t="s">
        <v>1915</v>
      </c>
    </row>
    <row r="35" spans="1:2" x14ac:dyDescent="0.25">
      <c r="A35" s="53">
        <v>43480</v>
      </c>
      <c r="B35" s="572" t="s">
        <v>1916</v>
      </c>
    </row>
    <row r="36" spans="1:2" x14ac:dyDescent="0.25">
      <c r="A36" s="53">
        <v>43481</v>
      </c>
      <c r="B36" s="43" t="s">
        <v>1917</v>
      </c>
    </row>
    <row r="37" spans="1:2" x14ac:dyDescent="0.25">
      <c r="A37" s="53">
        <v>43482</v>
      </c>
      <c r="B37" s="43" t="s">
        <v>1918</v>
      </c>
    </row>
    <row r="38" spans="1:2" x14ac:dyDescent="0.25">
      <c r="A38" s="53">
        <v>43494</v>
      </c>
      <c r="B38" s="43" t="s">
        <v>1920</v>
      </c>
    </row>
    <row r="39" spans="1:2" x14ac:dyDescent="0.25">
      <c r="A39" s="53">
        <v>43502</v>
      </c>
      <c r="B39" s="43" t="s">
        <v>1964</v>
      </c>
    </row>
    <row r="40" spans="1:2" x14ac:dyDescent="0.25">
      <c r="A40" s="53">
        <v>43522</v>
      </c>
      <c r="B40" s="43" t="s">
        <v>1983</v>
      </c>
    </row>
    <row r="41" spans="1:2" x14ac:dyDescent="0.25">
      <c r="A41" s="53">
        <v>43543</v>
      </c>
      <c r="B41" s="43" t="s">
        <v>1993</v>
      </c>
    </row>
    <row r="42" spans="1:2" ht="92.4" x14ac:dyDescent="0.25">
      <c r="A42" s="55">
        <v>43564</v>
      </c>
      <c r="B42" s="366" t="s">
        <v>1996</v>
      </c>
    </row>
    <row r="43" spans="1:2" ht="26.4" x14ac:dyDescent="0.25">
      <c r="A43" s="55">
        <v>43653</v>
      </c>
      <c r="B43" s="43" t="s">
        <v>1997</v>
      </c>
    </row>
    <row r="44" spans="1:2" x14ac:dyDescent="0.25">
      <c r="A44" s="53">
        <v>43799</v>
      </c>
      <c r="B44" s="54" t="s">
        <v>1998</v>
      </c>
    </row>
    <row r="45" spans="1:2" x14ac:dyDescent="0.25">
      <c r="A45" s="53">
        <v>43832</v>
      </c>
      <c r="B45" s="43" t="s">
        <v>1999</v>
      </c>
    </row>
    <row r="46" spans="1:2" x14ac:dyDescent="0.25">
      <c r="A46" s="53">
        <v>43836</v>
      </c>
      <c r="B46" s="43" t="s">
        <v>2021</v>
      </c>
    </row>
    <row r="47" spans="1:2" x14ac:dyDescent="0.25">
      <c r="A47" s="53">
        <v>43844</v>
      </c>
      <c r="B47" s="43" t="s">
        <v>2023</v>
      </c>
    </row>
    <row r="48" spans="1:2" x14ac:dyDescent="0.25">
      <c r="A48" s="53">
        <v>43849</v>
      </c>
      <c r="B48" s="43" t="s">
        <v>2136</v>
      </c>
    </row>
    <row r="49" spans="1:2" x14ac:dyDescent="0.25">
      <c r="A49" s="53">
        <v>43899</v>
      </c>
      <c r="B49" s="43" t="s">
        <v>2139</v>
      </c>
    </row>
    <row r="50" spans="1:2" ht="26.4" x14ac:dyDescent="0.25">
      <c r="A50" s="490">
        <v>43907</v>
      </c>
      <c r="B50" s="366" t="s">
        <v>2140</v>
      </c>
    </row>
    <row r="51" spans="1:2" ht="26.4" x14ac:dyDescent="0.25">
      <c r="A51" s="490">
        <v>43933</v>
      </c>
      <c r="B51" s="43" t="s">
        <v>2167</v>
      </c>
    </row>
    <row r="52" spans="1:2" ht="66" x14ac:dyDescent="0.25">
      <c r="A52" s="490">
        <v>44068</v>
      </c>
      <c r="B52" s="43" t="s">
        <v>2171</v>
      </c>
    </row>
    <row r="53" spans="1:2" ht="26.4" x14ac:dyDescent="0.25">
      <c r="A53" s="53">
        <v>44198</v>
      </c>
      <c r="B53" s="43" t="s">
        <v>2176</v>
      </c>
    </row>
    <row r="54" spans="1:2" ht="26.4" x14ac:dyDescent="0.25">
      <c r="A54" s="53">
        <v>44207</v>
      </c>
      <c r="B54" s="43" t="s">
        <v>2177</v>
      </c>
    </row>
    <row r="55" spans="1:2" ht="158.4" x14ac:dyDescent="0.25">
      <c r="A55" s="490">
        <v>44325</v>
      </c>
      <c r="B55" s="366" t="s">
        <v>2358</v>
      </c>
    </row>
    <row r="56" spans="1:2" x14ac:dyDescent="0.25">
      <c r="A56" s="53">
        <v>44328</v>
      </c>
      <c r="B56" s="872" t="s">
        <v>2367</v>
      </c>
    </row>
    <row r="57" spans="1:2" x14ac:dyDescent="0.25">
      <c r="A57" s="53">
        <v>44339</v>
      </c>
      <c r="B57" s="872" t="s">
        <v>2368</v>
      </c>
    </row>
    <row r="58" spans="1:2" x14ac:dyDescent="0.25">
      <c r="B58" s="54" t="s">
        <v>2366</v>
      </c>
    </row>
    <row r="59" spans="1:2" x14ac:dyDescent="0.25">
      <c r="B59" s="54" t="s">
        <v>2371</v>
      </c>
    </row>
  </sheetData>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topLeftCell="A13" workbookViewId="0">
      <selection activeCell="C17" sqref="C17"/>
    </sheetView>
  </sheetViews>
  <sheetFormatPr defaultRowHeight="13.2" x14ac:dyDescent="0.25"/>
  <cols>
    <col min="1" max="1" width="34.6640625" customWidth="1"/>
    <col min="2" max="2" width="12" bestFit="1" customWidth="1"/>
    <col min="3" max="3" width="48.33203125" bestFit="1" customWidth="1"/>
    <col min="4" max="4" width="218.109375" bestFit="1" customWidth="1"/>
  </cols>
  <sheetData>
    <row r="1" spans="1:4" x14ac:dyDescent="0.25">
      <c r="A1" s="811" t="s">
        <v>113</v>
      </c>
      <c r="B1" s="811" t="s">
        <v>707</v>
      </c>
      <c r="C1" s="811" t="s">
        <v>708</v>
      </c>
      <c r="D1" s="816" t="s">
        <v>127</v>
      </c>
    </row>
    <row r="2" spans="1:4" x14ac:dyDescent="0.25">
      <c r="A2" s="817" t="s">
        <v>128</v>
      </c>
      <c r="B2" s="817" t="s">
        <v>129</v>
      </c>
      <c r="C2" s="817" t="s">
        <v>130</v>
      </c>
      <c r="D2" s="817" t="s">
        <v>131</v>
      </c>
    </row>
    <row r="3" spans="1:4" x14ac:dyDescent="0.25">
      <c r="A3" s="817" t="s">
        <v>709</v>
      </c>
      <c r="B3" s="817" t="s">
        <v>132</v>
      </c>
      <c r="C3" s="817" t="s">
        <v>133</v>
      </c>
      <c r="D3" s="817" t="s">
        <v>134</v>
      </c>
    </row>
    <row r="4" spans="1:4" x14ac:dyDescent="0.25">
      <c r="A4" s="817" t="s">
        <v>710</v>
      </c>
      <c r="B4" s="817" t="s">
        <v>136</v>
      </c>
      <c r="C4" s="817" t="s">
        <v>137</v>
      </c>
      <c r="D4" s="817" t="s">
        <v>138</v>
      </c>
    </row>
    <row r="5" spans="1:4" x14ac:dyDescent="0.25">
      <c r="A5" s="817" t="s">
        <v>139</v>
      </c>
      <c r="B5" s="817" t="s">
        <v>140</v>
      </c>
      <c r="C5" s="817" t="s">
        <v>141</v>
      </c>
      <c r="D5" s="817" t="s">
        <v>142</v>
      </c>
    </row>
    <row r="6" spans="1:4" x14ac:dyDescent="0.25">
      <c r="A6" s="817" t="s">
        <v>846</v>
      </c>
      <c r="B6" s="817" t="s">
        <v>167</v>
      </c>
      <c r="C6" s="817" t="s">
        <v>256</v>
      </c>
      <c r="D6" s="817"/>
    </row>
    <row r="7" spans="1:4" x14ac:dyDescent="0.25">
      <c r="A7" s="817" t="s">
        <v>711</v>
      </c>
      <c r="B7" s="817" t="s">
        <v>712</v>
      </c>
      <c r="C7" s="817"/>
      <c r="D7" s="817" t="s">
        <v>713</v>
      </c>
    </row>
    <row r="8" spans="1:4" x14ac:dyDescent="0.25">
      <c r="A8" s="817" t="s">
        <v>813</v>
      </c>
      <c r="B8" s="818">
        <v>0.121</v>
      </c>
      <c r="C8" s="817"/>
      <c r="D8" s="817" t="s">
        <v>814</v>
      </c>
    </row>
    <row r="9" spans="1:4" x14ac:dyDescent="0.25">
      <c r="A9" s="817" t="s">
        <v>714</v>
      </c>
      <c r="B9" s="817" t="s">
        <v>136</v>
      </c>
      <c r="C9" s="817"/>
      <c r="D9" s="817" t="s">
        <v>715</v>
      </c>
    </row>
    <row r="10" spans="1:4" x14ac:dyDescent="0.25">
      <c r="A10" s="817" t="s">
        <v>822</v>
      </c>
      <c r="B10" s="817" t="s">
        <v>823</v>
      </c>
      <c r="C10" s="817" t="s">
        <v>766</v>
      </c>
      <c r="D10" s="817"/>
    </row>
    <row r="11" spans="1:4" x14ac:dyDescent="0.25">
      <c r="A11" s="817" t="s">
        <v>143</v>
      </c>
      <c r="B11" s="817" t="s">
        <v>144</v>
      </c>
      <c r="C11" s="817" t="s">
        <v>145</v>
      </c>
      <c r="D11" s="817" t="s">
        <v>146</v>
      </c>
    </row>
    <row r="12" spans="1:4" x14ac:dyDescent="0.25">
      <c r="A12" s="817" t="s">
        <v>147</v>
      </c>
      <c r="B12" s="817" t="s">
        <v>148</v>
      </c>
      <c r="C12" s="817" t="s">
        <v>149</v>
      </c>
      <c r="D12" s="817"/>
    </row>
    <row r="13" spans="1:4" x14ac:dyDescent="0.25">
      <c r="A13" s="817" t="s">
        <v>150</v>
      </c>
      <c r="B13" s="817" t="s">
        <v>151</v>
      </c>
      <c r="C13" s="817" t="s">
        <v>152</v>
      </c>
      <c r="D13" s="817" t="s">
        <v>153</v>
      </c>
    </row>
    <row r="14" spans="1:4" x14ac:dyDescent="0.25">
      <c r="A14" s="817" t="s">
        <v>154</v>
      </c>
      <c r="B14" s="817" t="s">
        <v>155</v>
      </c>
      <c r="C14" s="817" t="s">
        <v>156</v>
      </c>
      <c r="D14" s="817" t="s">
        <v>157</v>
      </c>
    </row>
    <row r="15" spans="1:4" x14ac:dyDescent="0.25">
      <c r="A15" s="817" t="s">
        <v>158</v>
      </c>
      <c r="B15" s="817" t="s">
        <v>159</v>
      </c>
      <c r="C15" s="817" t="s">
        <v>160</v>
      </c>
      <c r="D15" s="817" t="s">
        <v>161</v>
      </c>
    </row>
    <row r="16" spans="1:4" x14ac:dyDescent="0.25">
      <c r="A16" s="817" t="s">
        <v>815</v>
      </c>
      <c r="B16" s="817" t="s">
        <v>263</v>
      </c>
      <c r="C16" s="817"/>
      <c r="D16" s="817" t="s">
        <v>816</v>
      </c>
    </row>
    <row r="17" spans="1:4" x14ac:dyDescent="0.25">
      <c r="A17" s="817" t="s">
        <v>2369</v>
      </c>
      <c r="B17" s="817" t="s">
        <v>2370</v>
      </c>
      <c r="C17" s="817"/>
      <c r="D17" s="817"/>
    </row>
    <row r="18" spans="1:4" x14ac:dyDescent="0.25">
      <c r="A18" s="817" t="s">
        <v>162</v>
      </c>
      <c r="B18" s="817" t="s">
        <v>163</v>
      </c>
      <c r="C18" s="817" t="s">
        <v>164</v>
      </c>
      <c r="D18" s="817" t="s">
        <v>165</v>
      </c>
    </row>
    <row r="19" spans="1:4" x14ac:dyDescent="0.25">
      <c r="A19" s="817" t="s">
        <v>166</v>
      </c>
      <c r="B19" s="817" t="s">
        <v>167</v>
      </c>
      <c r="C19" s="817" t="s">
        <v>168</v>
      </c>
      <c r="D19" s="817" t="s">
        <v>169</v>
      </c>
    </row>
    <row r="20" spans="1:4" x14ac:dyDescent="0.25">
      <c r="A20" s="817" t="s">
        <v>170</v>
      </c>
      <c r="B20" s="817" t="s">
        <v>171</v>
      </c>
      <c r="C20" s="817" t="s">
        <v>172</v>
      </c>
      <c r="D20" s="817" t="s">
        <v>173</v>
      </c>
    </row>
    <row r="21" spans="1:4" x14ac:dyDescent="0.25">
      <c r="A21" s="817" t="s">
        <v>716</v>
      </c>
      <c r="B21" s="817" t="s">
        <v>717</v>
      </c>
      <c r="C21" s="817"/>
      <c r="D21" s="817" t="s">
        <v>718</v>
      </c>
    </row>
    <row r="22" spans="1:4" x14ac:dyDescent="0.25">
      <c r="A22" s="817" t="s">
        <v>791</v>
      </c>
      <c r="B22" s="817" t="s">
        <v>251</v>
      </c>
      <c r="C22" s="817" t="s">
        <v>750</v>
      </c>
      <c r="D22" s="817" t="s">
        <v>792</v>
      </c>
    </row>
    <row r="23" spans="1:4" x14ac:dyDescent="0.25">
      <c r="A23" s="817" t="s">
        <v>174</v>
      </c>
      <c r="B23" s="817" t="s">
        <v>175</v>
      </c>
      <c r="C23" s="817" t="s">
        <v>176</v>
      </c>
      <c r="D23" s="817" t="s">
        <v>177</v>
      </c>
    </row>
    <row r="24" spans="1:4" x14ac:dyDescent="0.25">
      <c r="A24" s="817" t="s">
        <v>178</v>
      </c>
      <c r="B24" s="817" t="s">
        <v>179</v>
      </c>
      <c r="C24" s="817" t="s">
        <v>180</v>
      </c>
      <c r="D24" s="817" t="s">
        <v>181</v>
      </c>
    </row>
    <row r="25" spans="1:4" x14ac:dyDescent="0.25">
      <c r="A25" s="817" t="s">
        <v>182</v>
      </c>
      <c r="B25" s="817" t="s">
        <v>183</v>
      </c>
      <c r="C25" s="817" t="s">
        <v>184</v>
      </c>
      <c r="D25" s="817" t="s">
        <v>185</v>
      </c>
    </row>
    <row r="26" spans="1:4" x14ac:dyDescent="0.25">
      <c r="A26" s="817" t="s">
        <v>719</v>
      </c>
      <c r="B26" s="817" t="s">
        <v>241</v>
      </c>
      <c r="C26" s="817"/>
      <c r="D26" s="817" t="s">
        <v>720</v>
      </c>
    </row>
    <row r="27" spans="1:4" x14ac:dyDescent="0.25">
      <c r="A27" s="817" t="s">
        <v>186</v>
      </c>
      <c r="B27" s="817" t="s">
        <v>187</v>
      </c>
      <c r="C27" s="817" t="s">
        <v>188</v>
      </c>
      <c r="D27" s="817" t="s">
        <v>189</v>
      </c>
    </row>
    <row r="28" spans="1:4" x14ac:dyDescent="0.25">
      <c r="A28" s="817" t="s">
        <v>190</v>
      </c>
      <c r="B28" s="817" t="s">
        <v>191</v>
      </c>
      <c r="C28" s="817" t="s">
        <v>192</v>
      </c>
      <c r="D28" s="817" t="s">
        <v>193</v>
      </c>
    </row>
    <row r="29" spans="1:4" x14ac:dyDescent="0.25">
      <c r="A29" s="817" t="s">
        <v>721</v>
      </c>
      <c r="B29" s="817" t="s">
        <v>722</v>
      </c>
      <c r="C29" s="817"/>
      <c r="D29" s="817" t="s">
        <v>723</v>
      </c>
    </row>
    <row r="30" spans="1:4" x14ac:dyDescent="0.25">
      <c r="A30" s="817" t="s">
        <v>793</v>
      </c>
      <c r="B30" s="817" t="s">
        <v>794</v>
      </c>
      <c r="C30" s="817" t="s">
        <v>795</v>
      </c>
      <c r="D30" s="817" t="s">
        <v>796</v>
      </c>
    </row>
    <row r="31" spans="1:4" x14ac:dyDescent="0.25">
      <c r="A31" s="817" t="s">
        <v>1872</v>
      </c>
      <c r="B31" s="817" t="s">
        <v>1873</v>
      </c>
      <c r="C31" s="817"/>
      <c r="D31" s="817" t="s">
        <v>1874</v>
      </c>
    </row>
    <row r="32" spans="1:4" x14ac:dyDescent="0.25">
      <c r="A32" s="817" t="s">
        <v>724</v>
      </c>
      <c r="B32" s="817" t="s">
        <v>712</v>
      </c>
      <c r="C32" s="817"/>
      <c r="D32" s="817" t="s">
        <v>725</v>
      </c>
    </row>
    <row r="33" spans="1:4" x14ac:dyDescent="0.25">
      <c r="A33" s="817" t="s">
        <v>797</v>
      </c>
      <c r="B33" s="817" t="s">
        <v>798</v>
      </c>
      <c r="C33" s="817"/>
      <c r="D33" s="817" t="s">
        <v>799</v>
      </c>
    </row>
    <row r="34" spans="1:4" x14ac:dyDescent="0.25">
      <c r="A34" s="817" t="s">
        <v>194</v>
      </c>
      <c r="B34" s="817" t="s">
        <v>195</v>
      </c>
      <c r="C34" s="817" t="s">
        <v>196</v>
      </c>
      <c r="D34" s="817" t="s">
        <v>197</v>
      </c>
    </row>
    <row r="35" spans="1:4" x14ac:dyDescent="0.25">
      <c r="A35" s="817" t="s">
        <v>726</v>
      </c>
      <c r="B35" s="817" t="s">
        <v>727</v>
      </c>
      <c r="C35" s="817" t="s">
        <v>338</v>
      </c>
      <c r="D35" s="817" t="s">
        <v>728</v>
      </c>
    </row>
    <row r="36" spans="1:4" x14ac:dyDescent="0.25">
      <c r="A36" s="817" t="s">
        <v>198</v>
      </c>
      <c r="B36" s="817" t="s">
        <v>179</v>
      </c>
      <c r="C36" s="817" t="s">
        <v>199</v>
      </c>
      <c r="D36" s="817" t="s">
        <v>200</v>
      </c>
    </row>
    <row r="37" spans="1:4" x14ac:dyDescent="0.25">
      <c r="A37" s="817" t="s">
        <v>201</v>
      </c>
      <c r="B37" s="817" t="s">
        <v>202</v>
      </c>
      <c r="C37" s="817" t="s">
        <v>203</v>
      </c>
      <c r="D37" s="817" t="s">
        <v>204</v>
      </c>
    </row>
    <row r="38" spans="1:4" x14ac:dyDescent="0.25">
      <c r="A38" s="817" t="s">
        <v>205</v>
      </c>
      <c r="B38" s="817" t="s">
        <v>202</v>
      </c>
      <c r="C38" s="817" t="s">
        <v>206</v>
      </c>
      <c r="D38" s="817" t="s">
        <v>207</v>
      </c>
    </row>
    <row r="39" spans="1:4" x14ac:dyDescent="0.25">
      <c r="A39" s="817" t="s">
        <v>729</v>
      </c>
      <c r="B39" s="817" t="s">
        <v>191</v>
      </c>
      <c r="C39" s="817"/>
      <c r="D39" s="817" t="s">
        <v>730</v>
      </c>
    </row>
    <row r="40" spans="1:4" x14ac:dyDescent="0.25">
      <c r="A40" s="817" t="s">
        <v>188</v>
      </c>
      <c r="B40" s="817" t="s">
        <v>183</v>
      </c>
      <c r="C40" s="817" t="s">
        <v>208</v>
      </c>
      <c r="D40" s="817" t="s">
        <v>209</v>
      </c>
    </row>
    <row r="41" spans="1:4" x14ac:dyDescent="0.25">
      <c r="A41" s="817" t="s">
        <v>210</v>
      </c>
      <c r="B41" s="817" t="s">
        <v>211</v>
      </c>
      <c r="C41" s="817" t="s">
        <v>212</v>
      </c>
      <c r="D41" s="817" t="s">
        <v>213</v>
      </c>
    </row>
    <row r="42" spans="1:4" x14ac:dyDescent="0.25">
      <c r="A42" s="817" t="s">
        <v>214</v>
      </c>
      <c r="B42" s="817" t="s">
        <v>215</v>
      </c>
      <c r="C42" s="817" t="s">
        <v>216</v>
      </c>
      <c r="D42" s="817" t="s">
        <v>217</v>
      </c>
    </row>
    <row r="43" spans="1:4" x14ac:dyDescent="0.25">
      <c r="A43" s="817" t="s">
        <v>218</v>
      </c>
      <c r="B43" s="817" t="s">
        <v>219</v>
      </c>
      <c r="C43" s="817" t="s">
        <v>220</v>
      </c>
      <c r="D43" s="817" t="s">
        <v>221</v>
      </c>
    </row>
    <row r="44" spans="1:4" x14ac:dyDescent="0.25">
      <c r="A44" s="817" t="s">
        <v>222</v>
      </c>
      <c r="B44" s="817" t="s">
        <v>179</v>
      </c>
      <c r="C44" s="817" t="s">
        <v>223</v>
      </c>
      <c r="D44" s="817" t="s">
        <v>224</v>
      </c>
    </row>
    <row r="45" spans="1:4" x14ac:dyDescent="0.25">
      <c r="A45" s="817" t="s">
        <v>817</v>
      </c>
      <c r="B45" s="817" t="s">
        <v>195</v>
      </c>
      <c r="C45" s="817"/>
      <c r="D45" s="817" t="s">
        <v>818</v>
      </c>
    </row>
    <row r="46" spans="1:4" x14ac:dyDescent="0.25">
      <c r="A46" s="817" t="s">
        <v>225</v>
      </c>
      <c r="B46" s="817" t="s">
        <v>226</v>
      </c>
      <c r="C46" s="817" t="s">
        <v>227</v>
      </c>
      <c r="D46" s="817" t="s">
        <v>228</v>
      </c>
    </row>
    <row r="47" spans="1:4" x14ac:dyDescent="0.25">
      <c r="A47" s="817" t="s">
        <v>229</v>
      </c>
      <c r="B47" s="817" t="s">
        <v>230</v>
      </c>
      <c r="C47" s="817" t="s">
        <v>231</v>
      </c>
      <c r="D47" s="817" t="s">
        <v>232</v>
      </c>
    </row>
    <row r="48" spans="1:4" x14ac:dyDescent="0.25">
      <c r="A48" s="817" t="s">
        <v>233</v>
      </c>
      <c r="B48" s="817" t="s">
        <v>234</v>
      </c>
      <c r="C48" s="817" t="s">
        <v>235</v>
      </c>
      <c r="D48" s="817" t="s">
        <v>236</v>
      </c>
    </row>
    <row r="49" spans="1:4" x14ac:dyDescent="0.25">
      <c r="A49" s="817" t="s">
        <v>237</v>
      </c>
      <c r="B49" s="817" t="s">
        <v>226</v>
      </c>
      <c r="C49" s="817" t="s">
        <v>238</v>
      </c>
      <c r="D49" s="817" t="s">
        <v>239</v>
      </c>
    </row>
    <row r="50" spans="1:4" x14ac:dyDescent="0.25">
      <c r="A50" s="817" t="s">
        <v>240</v>
      </c>
      <c r="B50" s="817" t="s">
        <v>241</v>
      </c>
      <c r="C50" s="817"/>
      <c r="D50" s="817" t="s">
        <v>242</v>
      </c>
    </row>
    <row r="51" spans="1:4" x14ac:dyDescent="0.25">
      <c r="A51" s="817" t="s">
        <v>800</v>
      </c>
      <c r="B51" s="817" t="s">
        <v>801</v>
      </c>
      <c r="C51" s="817"/>
      <c r="D51" s="817" t="s">
        <v>802</v>
      </c>
    </row>
    <row r="52" spans="1:4" x14ac:dyDescent="0.25">
      <c r="A52" s="817" t="s">
        <v>243</v>
      </c>
      <c r="B52" s="817" t="s">
        <v>234</v>
      </c>
      <c r="C52" s="817" t="s">
        <v>244</v>
      </c>
      <c r="D52" s="817" t="s">
        <v>245</v>
      </c>
    </row>
    <row r="53" spans="1:4" x14ac:dyDescent="0.25">
      <c r="A53" s="817" t="s">
        <v>246</v>
      </c>
      <c r="B53" s="817" t="s">
        <v>219</v>
      </c>
      <c r="C53" s="817" t="s">
        <v>254</v>
      </c>
      <c r="D53" s="817" t="s">
        <v>731</v>
      </c>
    </row>
    <row r="54" spans="1:4" x14ac:dyDescent="0.25">
      <c r="A54" s="817" t="s">
        <v>827</v>
      </c>
      <c r="B54" s="817" t="s">
        <v>828</v>
      </c>
      <c r="C54" s="817"/>
      <c r="D54" s="817" t="s">
        <v>829</v>
      </c>
    </row>
    <row r="55" spans="1:4" x14ac:dyDescent="0.25">
      <c r="A55" s="817" t="s">
        <v>732</v>
      </c>
      <c r="B55" s="817" t="s">
        <v>733</v>
      </c>
      <c r="C55" s="817"/>
      <c r="D55" s="817" t="s">
        <v>734</v>
      </c>
    </row>
    <row r="56" spans="1:4" x14ac:dyDescent="0.25">
      <c r="A56" s="817" t="s">
        <v>735</v>
      </c>
      <c r="B56" s="817" t="s">
        <v>390</v>
      </c>
      <c r="C56" s="817"/>
      <c r="D56" s="817" t="s">
        <v>736</v>
      </c>
    </row>
    <row r="57" spans="1:4" x14ac:dyDescent="0.25">
      <c r="A57" s="817" t="s">
        <v>247</v>
      </c>
      <c r="B57" s="817" t="s">
        <v>202</v>
      </c>
      <c r="C57" s="817" t="s">
        <v>248</v>
      </c>
      <c r="D57" s="817" t="s">
        <v>249</v>
      </c>
    </row>
    <row r="58" spans="1:4" x14ac:dyDescent="0.25">
      <c r="A58" s="817" t="s">
        <v>737</v>
      </c>
      <c r="B58" s="819">
        <v>0.03</v>
      </c>
      <c r="C58" s="817"/>
      <c r="D58" s="817" t="s">
        <v>738</v>
      </c>
    </row>
    <row r="59" spans="1:4" x14ac:dyDescent="0.25">
      <c r="A59" s="817" t="s">
        <v>739</v>
      </c>
      <c r="B59" s="817" t="s">
        <v>125</v>
      </c>
      <c r="C59" s="817"/>
      <c r="D59" s="817" t="s">
        <v>740</v>
      </c>
    </row>
    <row r="60" spans="1:4" x14ac:dyDescent="0.25">
      <c r="A60" s="817" t="s">
        <v>741</v>
      </c>
      <c r="B60" s="817" t="s">
        <v>144</v>
      </c>
      <c r="C60" s="817" t="s">
        <v>135</v>
      </c>
      <c r="D60" s="817" t="s">
        <v>742</v>
      </c>
    </row>
    <row r="61" spans="1:4" x14ac:dyDescent="0.25">
      <c r="A61" s="817" t="s">
        <v>250</v>
      </c>
      <c r="B61" s="817" t="s">
        <v>251</v>
      </c>
      <c r="C61" s="817" t="s">
        <v>252</v>
      </c>
      <c r="D61" s="817" t="s">
        <v>253</v>
      </c>
    </row>
    <row r="62" spans="1:4" x14ac:dyDescent="0.25">
      <c r="A62" s="817" t="s">
        <v>849</v>
      </c>
      <c r="B62" s="817" t="s">
        <v>322</v>
      </c>
      <c r="C62" s="817" t="s">
        <v>341</v>
      </c>
      <c r="D62" s="817" t="s">
        <v>850</v>
      </c>
    </row>
    <row r="63" spans="1:4" x14ac:dyDescent="0.25">
      <c r="A63" s="817" t="s">
        <v>743</v>
      </c>
      <c r="B63" s="817" t="s">
        <v>371</v>
      </c>
      <c r="C63" s="817" t="s">
        <v>744</v>
      </c>
      <c r="D63" s="817" t="s">
        <v>257</v>
      </c>
    </row>
    <row r="64" spans="1:4" x14ac:dyDescent="0.25">
      <c r="A64" s="817" t="s">
        <v>745</v>
      </c>
      <c r="B64" s="817" t="s">
        <v>183</v>
      </c>
      <c r="C64" s="817" t="s">
        <v>744</v>
      </c>
      <c r="D64" s="817" t="s">
        <v>746</v>
      </c>
    </row>
    <row r="65" spans="1:4" x14ac:dyDescent="0.25">
      <c r="A65" s="817" t="s">
        <v>819</v>
      </c>
      <c r="B65" s="817" t="s">
        <v>155</v>
      </c>
      <c r="C65" s="817" t="s">
        <v>820</v>
      </c>
      <c r="D65" s="817" t="s">
        <v>821</v>
      </c>
    </row>
    <row r="66" spans="1:4" x14ac:dyDescent="0.25">
      <c r="A66" s="817" t="s">
        <v>847</v>
      </c>
      <c r="B66" s="817" t="s">
        <v>195</v>
      </c>
      <c r="C66" s="817"/>
      <c r="D66" s="817" t="s">
        <v>848</v>
      </c>
    </row>
    <row r="67" spans="1:4" x14ac:dyDescent="0.25">
      <c r="A67" s="817" t="s">
        <v>803</v>
      </c>
      <c r="B67" s="817" t="s">
        <v>733</v>
      </c>
      <c r="C67" s="817" t="s">
        <v>254</v>
      </c>
      <c r="D67" s="817" t="s">
        <v>804</v>
      </c>
    </row>
    <row r="68" spans="1:4" x14ac:dyDescent="0.25">
      <c r="A68" s="817" t="s">
        <v>805</v>
      </c>
      <c r="B68" s="817" t="s">
        <v>733</v>
      </c>
      <c r="C68" s="817" t="s">
        <v>280</v>
      </c>
      <c r="D68" s="817" t="s">
        <v>806</v>
      </c>
    </row>
    <row r="69" spans="1:4" x14ac:dyDescent="0.25">
      <c r="A69" s="817" t="s">
        <v>856</v>
      </c>
      <c r="B69" s="817" t="s">
        <v>857</v>
      </c>
      <c r="C69" s="817" t="s">
        <v>858</v>
      </c>
      <c r="D69" s="817" t="s">
        <v>859</v>
      </c>
    </row>
    <row r="70" spans="1:4" x14ac:dyDescent="0.25">
      <c r="A70" s="817" t="s">
        <v>839</v>
      </c>
      <c r="B70" s="817" t="s">
        <v>840</v>
      </c>
      <c r="C70" s="817" t="s">
        <v>841</v>
      </c>
      <c r="D70" s="817" t="s">
        <v>842</v>
      </c>
    </row>
    <row r="71" spans="1:4" x14ac:dyDescent="0.25">
      <c r="A71" s="817" t="s">
        <v>258</v>
      </c>
      <c r="B71" s="817" t="s">
        <v>259</v>
      </c>
      <c r="C71" s="817" t="s">
        <v>260</v>
      </c>
      <c r="D71" s="817" t="s">
        <v>261</v>
      </c>
    </row>
    <row r="72" spans="1:4" x14ac:dyDescent="0.25">
      <c r="A72" s="817" t="s">
        <v>807</v>
      </c>
      <c r="B72" s="817" t="s">
        <v>808</v>
      </c>
      <c r="C72" s="817" t="s">
        <v>809</v>
      </c>
      <c r="D72" s="817" t="s">
        <v>810</v>
      </c>
    </row>
    <row r="73" spans="1:4" x14ac:dyDescent="0.25">
      <c r="A73" s="817" t="s">
        <v>262</v>
      </c>
      <c r="B73" s="817" t="s">
        <v>263</v>
      </c>
      <c r="C73" s="817"/>
      <c r="D73" s="817" t="s">
        <v>747</v>
      </c>
    </row>
    <row r="74" spans="1:4" x14ac:dyDescent="0.25">
      <c r="A74" s="817" t="s">
        <v>264</v>
      </c>
      <c r="B74" s="817" t="s">
        <v>265</v>
      </c>
      <c r="C74" s="817" t="s">
        <v>266</v>
      </c>
      <c r="D74" s="817" t="s">
        <v>267</v>
      </c>
    </row>
    <row r="75" spans="1:4" x14ac:dyDescent="0.25">
      <c r="A75" s="817" t="s">
        <v>268</v>
      </c>
      <c r="B75" s="817" t="s">
        <v>269</v>
      </c>
      <c r="C75" s="817"/>
      <c r="D75" s="817" t="s">
        <v>270</v>
      </c>
    </row>
    <row r="76" spans="1:4" x14ac:dyDescent="0.25">
      <c r="A76" s="817" t="s">
        <v>271</v>
      </c>
      <c r="B76" s="817" t="s">
        <v>155</v>
      </c>
      <c r="C76" s="817" t="s">
        <v>272</v>
      </c>
      <c r="D76" s="817" t="s">
        <v>273</v>
      </c>
    </row>
    <row r="77" spans="1:4" x14ac:dyDescent="0.25">
      <c r="A77" s="817" t="s">
        <v>274</v>
      </c>
      <c r="B77" s="817" t="s">
        <v>275</v>
      </c>
      <c r="C77" s="817" t="s">
        <v>276</v>
      </c>
      <c r="D77" s="817" t="s">
        <v>273</v>
      </c>
    </row>
    <row r="78" spans="1:4" x14ac:dyDescent="0.25">
      <c r="A78" s="817" t="s">
        <v>277</v>
      </c>
      <c r="B78" s="817" t="s">
        <v>278</v>
      </c>
      <c r="C78" s="817"/>
      <c r="D78" s="817" t="s">
        <v>279</v>
      </c>
    </row>
    <row r="79" spans="1:4" x14ac:dyDescent="0.25">
      <c r="A79" s="817" t="s">
        <v>280</v>
      </c>
      <c r="B79" s="817" t="s">
        <v>281</v>
      </c>
      <c r="C79" s="817" t="s">
        <v>282</v>
      </c>
      <c r="D79" s="817" t="s">
        <v>283</v>
      </c>
    </row>
    <row r="80" spans="1:4" x14ac:dyDescent="0.25">
      <c r="A80" s="817" t="s">
        <v>284</v>
      </c>
      <c r="B80" s="817" t="s">
        <v>241</v>
      </c>
      <c r="C80" s="817" t="s">
        <v>182</v>
      </c>
      <c r="D80" s="817" t="s">
        <v>285</v>
      </c>
    </row>
    <row r="81" spans="1:4" x14ac:dyDescent="0.25">
      <c r="A81" s="817" t="s">
        <v>748</v>
      </c>
      <c r="B81" s="817" t="s">
        <v>749</v>
      </c>
      <c r="C81" s="817" t="s">
        <v>750</v>
      </c>
      <c r="D81" s="817" t="s">
        <v>751</v>
      </c>
    </row>
    <row r="82" spans="1:4" x14ac:dyDescent="0.25">
      <c r="A82" s="817" t="s">
        <v>752</v>
      </c>
      <c r="B82" s="817" t="s">
        <v>125</v>
      </c>
      <c r="C82" s="817"/>
      <c r="D82" s="817" t="s">
        <v>753</v>
      </c>
    </row>
    <row r="83" spans="1:4" x14ac:dyDescent="0.25">
      <c r="A83" s="817" t="s">
        <v>286</v>
      </c>
      <c r="B83" s="817" t="s">
        <v>255</v>
      </c>
      <c r="C83" s="817" t="s">
        <v>188</v>
      </c>
      <c r="D83" s="817" t="s">
        <v>754</v>
      </c>
    </row>
    <row r="84" spans="1:4" x14ac:dyDescent="0.25">
      <c r="A84" s="817" t="s">
        <v>287</v>
      </c>
      <c r="B84" s="817" t="s">
        <v>263</v>
      </c>
      <c r="C84" s="817"/>
      <c r="D84" s="817" t="s">
        <v>288</v>
      </c>
    </row>
    <row r="85" spans="1:4" x14ac:dyDescent="0.25">
      <c r="A85" s="817" t="s">
        <v>289</v>
      </c>
      <c r="B85" s="817" t="s">
        <v>290</v>
      </c>
      <c r="C85" s="817" t="s">
        <v>291</v>
      </c>
      <c r="D85" s="817" t="s">
        <v>292</v>
      </c>
    </row>
    <row r="86" spans="1:4" x14ac:dyDescent="0.25">
      <c r="A86" s="817" t="s">
        <v>755</v>
      </c>
      <c r="B86" s="817" t="s">
        <v>293</v>
      </c>
      <c r="C86" s="817" t="s">
        <v>294</v>
      </c>
      <c r="D86" s="817" t="s">
        <v>295</v>
      </c>
    </row>
    <row r="87" spans="1:4" x14ac:dyDescent="0.25">
      <c r="A87" s="817" t="s">
        <v>756</v>
      </c>
      <c r="B87" s="817" t="s">
        <v>344</v>
      </c>
      <c r="C87" s="817" t="s">
        <v>359</v>
      </c>
      <c r="D87" s="817" t="s">
        <v>757</v>
      </c>
    </row>
    <row r="88" spans="1:4" x14ac:dyDescent="0.25">
      <c r="A88" s="817" t="s">
        <v>296</v>
      </c>
      <c r="B88" s="817" t="s">
        <v>297</v>
      </c>
      <c r="C88" s="817" t="s">
        <v>298</v>
      </c>
      <c r="D88" s="817" t="s">
        <v>299</v>
      </c>
    </row>
    <row r="89" spans="1:4" x14ac:dyDescent="0.25">
      <c r="A89" s="817" t="s">
        <v>300</v>
      </c>
      <c r="B89" s="817" t="s">
        <v>301</v>
      </c>
      <c r="C89" s="817" t="s">
        <v>302</v>
      </c>
      <c r="D89" s="817" t="s">
        <v>303</v>
      </c>
    </row>
    <row r="90" spans="1:4" x14ac:dyDescent="0.25">
      <c r="A90" s="817" t="s">
        <v>304</v>
      </c>
      <c r="B90" s="817" t="s">
        <v>759</v>
      </c>
      <c r="C90" s="817" t="s">
        <v>305</v>
      </c>
      <c r="D90" s="817" t="s">
        <v>824</v>
      </c>
    </row>
    <row r="91" spans="1:4" x14ac:dyDescent="0.25">
      <c r="A91" s="817" t="s">
        <v>758</v>
      </c>
      <c r="B91" s="817" t="s">
        <v>759</v>
      </c>
      <c r="C91" s="817" t="s">
        <v>760</v>
      </c>
      <c r="D91" s="817" t="s">
        <v>761</v>
      </c>
    </row>
    <row r="92" spans="1:4" x14ac:dyDescent="0.25">
      <c r="A92" s="817" t="s">
        <v>306</v>
      </c>
      <c r="B92" s="817" t="s">
        <v>307</v>
      </c>
      <c r="C92" s="817" t="s">
        <v>308</v>
      </c>
      <c r="D92" s="817" t="s">
        <v>309</v>
      </c>
    </row>
    <row r="93" spans="1:4" x14ac:dyDescent="0.25">
      <c r="A93" s="817" t="s">
        <v>830</v>
      </c>
      <c r="B93" s="817" t="s">
        <v>831</v>
      </c>
      <c r="C93" s="817"/>
      <c r="D93" s="817" t="s">
        <v>832</v>
      </c>
    </row>
    <row r="94" spans="1:4" x14ac:dyDescent="0.25">
      <c r="A94" s="817" t="s">
        <v>851</v>
      </c>
      <c r="B94" s="817" t="s">
        <v>852</v>
      </c>
      <c r="C94" s="817"/>
      <c r="D94" s="817" t="s">
        <v>853</v>
      </c>
    </row>
    <row r="95" spans="1:4" x14ac:dyDescent="0.25">
      <c r="A95" s="817" t="s">
        <v>310</v>
      </c>
      <c r="B95" s="817" t="s">
        <v>155</v>
      </c>
      <c r="C95" s="817" t="s">
        <v>311</v>
      </c>
      <c r="D95" s="817" t="s">
        <v>312</v>
      </c>
    </row>
    <row r="96" spans="1:4" x14ac:dyDescent="0.25">
      <c r="A96" s="817" t="s">
        <v>313</v>
      </c>
      <c r="B96" s="817" t="s">
        <v>314</v>
      </c>
      <c r="C96" s="817" t="s">
        <v>315</v>
      </c>
      <c r="D96" s="817" t="s">
        <v>316</v>
      </c>
    </row>
    <row r="97" spans="1:4" x14ac:dyDescent="0.25">
      <c r="A97" s="817" t="s">
        <v>762</v>
      </c>
      <c r="B97" s="817" t="s">
        <v>722</v>
      </c>
      <c r="C97" s="817"/>
      <c r="D97" s="817" t="s">
        <v>763</v>
      </c>
    </row>
    <row r="98" spans="1:4" x14ac:dyDescent="0.25">
      <c r="A98" s="817" t="s">
        <v>317</v>
      </c>
      <c r="B98" s="817" t="s">
        <v>318</v>
      </c>
      <c r="C98" s="817" t="s">
        <v>319</v>
      </c>
      <c r="D98" s="817" t="s">
        <v>320</v>
      </c>
    </row>
    <row r="99" spans="1:4" x14ac:dyDescent="0.25">
      <c r="A99" s="817" t="s">
        <v>321</v>
      </c>
      <c r="B99" s="817" t="s">
        <v>322</v>
      </c>
      <c r="C99" s="817" t="s">
        <v>323</v>
      </c>
      <c r="D99" s="817" t="s">
        <v>324</v>
      </c>
    </row>
    <row r="100" spans="1:4" x14ac:dyDescent="0.25">
      <c r="A100" s="817" t="s">
        <v>325</v>
      </c>
      <c r="B100" s="817" t="s">
        <v>163</v>
      </c>
      <c r="C100" s="817" t="s">
        <v>326</v>
      </c>
      <c r="D100" s="817" t="s">
        <v>327</v>
      </c>
    </row>
    <row r="101" spans="1:4" x14ac:dyDescent="0.25">
      <c r="A101" s="817" t="s">
        <v>2004</v>
      </c>
      <c r="B101" s="819">
        <v>0.12</v>
      </c>
      <c r="C101" s="817"/>
      <c r="D101" s="817" t="s">
        <v>2005</v>
      </c>
    </row>
    <row r="102" spans="1:4" x14ac:dyDescent="0.25">
      <c r="A102" s="817" t="s">
        <v>2006</v>
      </c>
      <c r="B102" s="817" t="s">
        <v>2008</v>
      </c>
      <c r="C102" s="817"/>
      <c r="D102" s="817" t="s">
        <v>2007</v>
      </c>
    </row>
    <row r="103" spans="1:4" x14ac:dyDescent="0.25">
      <c r="A103" s="817" t="s">
        <v>328</v>
      </c>
      <c r="B103" s="817" t="s">
        <v>329</v>
      </c>
      <c r="C103" s="817" t="s">
        <v>330</v>
      </c>
      <c r="D103" s="817" t="s">
        <v>331</v>
      </c>
    </row>
    <row r="104" spans="1:4" x14ac:dyDescent="0.25">
      <c r="A104" s="817" t="s">
        <v>332</v>
      </c>
      <c r="B104" s="817" t="s">
        <v>333</v>
      </c>
      <c r="C104" s="817" t="s">
        <v>164</v>
      </c>
      <c r="D104" s="817" t="s">
        <v>334</v>
      </c>
    </row>
    <row r="105" spans="1:4" x14ac:dyDescent="0.25">
      <c r="A105" s="817" t="s">
        <v>335</v>
      </c>
      <c r="B105" s="817" t="s">
        <v>336</v>
      </c>
      <c r="C105" s="817" t="s">
        <v>188</v>
      </c>
      <c r="D105" s="817" t="s">
        <v>337</v>
      </c>
    </row>
    <row r="106" spans="1:4" x14ac:dyDescent="0.25">
      <c r="A106" s="817" t="s">
        <v>843</v>
      </c>
      <c r="B106" s="817" t="s">
        <v>215</v>
      </c>
      <c r="C106" s="817" t="s">
        <v>844</v>
      </c>
      <c r="D106" s="817" t="s">
        <v>845</v>
      </c>
    </row>
    <row r="107" spans="1:4" x14ac:dyDescent="0.25">
      <c r="A107" s="817" t="s">
        <v>764</v>
      </c>
      <c r="B107" s="817" t="s">
        <v>263</v>
      </c>
      <c r="C107" s="817"/>
      <c r="D107" s="817" t="s">
        <v>339</v>
      </c>
    </row>
    <row r="108" spans="1:4" x14ac:dyDescent="0.25">
      <c r="A108" s="817" t="s">
        <v>340</v>
      </c>
      <c r="B108" s="817" t="s">
        <v>290</v>
      </c>
      <c r="C108" s="817" t="s">
        <v>341</v>
      </c>
      <c r="D108" s="817" t="s">
        <v>342</v>
      </c>
    </row>
    <row r="109" spans="1:4" x14ac:dyDescent="0.25">
      <c r="A109" s="817" t="s">
        <v>854</v>
      </c>
      <c r="B109" s="817" t="s">
        <v>215</v>
      </c>
      <c r="C109" s="817"/>
      <c r="D109" s="817" t="s">
        <v>855</v>
      </c>
    </row>
    <row r="110" spans="1:4" x14ac:dyDescent="0.25">
      <c r="A110" s="817" t="s">
        <v>343</v>
      </c>
      <c r="B110" s="817" t="s">
        <v>344</v>
      </c>
      <c r="C110" s="817"/>
      <c r="D110" s="817" t="s">
        <v>345</v>
      </c>
    </row>
    <row r="111" spans="1:4" x14ac:dyDescent="0.25">
      <c r="A111" s="817" t="s">
        <v>2009</v>
      </c>
      <c r="B111" s="817" t="s">
        <v>2010</v>
      </c>
      <c r="C111" s="817"/>
      <c r="D111" s="817" t="s">
        <v>2011</v>
      </c>
    </row>
    <row r="112" spans="1:4" x14ac:dyDescent="0.25">
      <c r="A112" s="817" t="s">
        <v>346</v>
      </c>
      <c r="B112" s="817" t="s">
        <v>219</v>
      </c>
      <c r="C112" s="817"/>
      <c r="D112" s="817" t="s">
        <v>347</v>
      </c>
    </row>
    <row r="113" spans="1:4" x14ac:dyDescent="0.25">
      <c r="A113" s="817" t="s">
        <v>2012</v>
      </c>
      <c r="B113" s="817" t="s">
        <v>374</v>
      </c>
      <c r="C113" s="817"/>
      <c r="D113" s="817" t="s">
        <v>2013</v>
      </c>
    </row>
    <row r="114" spans="1:4" x14ac:dyDescent="0.25">
      <c r="A114" s="817" t="s">
        <v>2014</v>
      </c>
      <c r="B114" s="817" t="s">
        <v>374</v>
      </c>
      <c r="C114" s="817"/>
      <c r="D114" s="817" t="s">
        <v>2015</v>
      </c>
    </row>
    <row r="115" spans="1:4" x14ac:dyDescent="0.25">
      <c r="A115" s="817" t="s">
        <v>2016</v>
      </c>
      <c r="B115" s="817" t="s">
        <v>2017</v>
      </c>
      <c r="C115" s="817"/>
      <c r="D115" s="817" t="s">
        <v>2018</v>
      </c>
    </row>
    <row r="116" spans="1:4" x14ac:dyDescent="0.25">
      <c r="A116" s="817" t="s">
        <v>2019</v>
      </c>
      <c r="B116" s="817" t="s">
        <v>219</v>
      </c>
      <c r="C116" s="817"/>
      <c r="D116" s="817" t="s">
        <v>2020</v>
      </c>
    </row>
    <row r="117" spans="1:4" x14ac:dyDescent="0.25">
      <c r="A117" s="817" t="s">
        <v>765</v>
      </c>
      <c r="B117" s="817" t="s">
        <v>290</v>
      </c>
      <c r="C117" s="817" t="s">
        <v>766</v>
      </c>
      <c r="D117" s="817" t="s">
        <v>767</v>
      </c>
    </row>
    <row r="118" spans="1:4" x14ac:dyDescent="0.25">
      <c r="A118" s="817" t="s">
        <v>348</v>
      </c>
      <c r="B118" s="817" t="s">
        <v>202</v>
      </c>
      <c r="C118" s="817" t="s">
        <v>349</v>
      </c>
      <c r="D118" s="817" t="s">
        <v>350</v>
      </c>
    </row>
    <row r="119" spans="1:4" x14ac:dyDescent="0.25">
      <c r="A119" s="817" t="s">
        <v>351</v>
      </c>
      <c r="B119" s="817" t="s">
        <v>215</v>
      </c>
      <c r="C119" s="817" t="s">
        <v>352</v>
      </c>
      <c r="D119" s="817" t="s">
        <v>353</v>
      </c>
    </row>
    <row r="120" spans="1:4" x14ac:dyDescent="0.25">
      <c r="A120" s="817" t="s">
        <v>354</v>
      </c>
      <c r="B120" s="817" t="s">
        <v>163</v>
      </c>
      <c r="C120" s="817" t="s">
        <v>355</v>
      </c>
      <c r="D120" s="817" t="s">
        <v>356</v>
      </c>
    </row>
    <row r="121" spans="1:4" x14ac:dyDescent="0.25">
      <c r="A121" s="817" t="s">
        <v>357</v>
      </c>
      <c r="B121" s="817" t="s">
        <v>358</v>
      </c>
      <c r="C121" s="817" t="s">
        <v>359</v>
      </c>
      <c r="D121" s="817" t="s">
        <v>360</v>
      </c>
    </row>
    <row r="122" spans="1:4" x14ac:dyDescent="0.25">
      <c r="A122" s="817" t="s">
        <v>361</v>
      </c>
      <c r="B122" s="817" t="s">
        <v>163</v>
      </c>
      <c r="C122" s="817" t="s">
        <v>362</v>
      </c>
      <c r="D122" s="817" t="s">
        <v>363</v>
      </c>
    </row>
    <row r="123" spans="1:4" x14ac:dyDescent="0.25">
      <c r="A123" s="817" t="s">
        <v>768</v>
      </c>
      <c r="B123" s="817" t="s">
        <v>769</v>
      </c>
      <c r="C123" s="817" t="s">
        <v>770</v>
      </c>
      <c r="D123" s="817" t="s">
        <v>771</v>
      </c>
    </row>
    <row r="124" spans="1:4" x14ac:dyDescent="0.25">
      <c r="A124" s="817" t="s">
        <v>833</v>
      </c>
      <c r="B124" s="817" t="s">
        <v>823</v>
      </c>
      <c r="C124" s="817" t="s">
        <v>834</v>
      </c>
      <c r="D124" s="817" t="s">
        <v>835</v>
      </c>
    </row>
    <row r="125" spans="1:4" x14ac:dyDescent="0.25">
      <c r="A125" s="817" t="s">
        <v>836</v>
      </c>
      <c r="B125" s="817" t="s">
        <v>251</v>
      </c>
      <c r="C125" s="817" t="s">
        <v>837</v>
      </c>
      <c r="D125" s="817" t="s">
        <v>838</v>
      </c>
    </row>
    <row r="126" spans="1:4" x14ac:dyDescent="0.25">
      <c r="A126" s="817" t="s">
        <v>364</v>
      </c>
      <c r="B126" s="817" t="s">
        <v>365</v>
      </c>
      <c r="C126" s="817" t="s">
        <v>366</v>
      </c>
      <c r="D126" s="817" t="s">
        <v>367</v>
      </c>
    </row>
    <row r="127" spans="1:4" x14ac:dyDescent="0.25">
      <c r="A127" s="817" t="s">
        <v>772</v>
      </c>
      <c r="B127" s="817" t="s">
        <v>773</v>
      </c>
      <c r="C127" s="817"/>
      <c r="D127" s="817" t="s">
        <v>774</v>
      </c>
    </row>
    <row r="128" spans="1:4" x14ac:dyDescent="0.25">
      <c r="A128" s="817" t="s">
        <v>775</v>
      </c>
      <c r="B128" s="817" t="s">
        <v>368</v>
      </c>
      <c r="C128" s="817" t="s">
        <v>338</v>
      </c>
      <c r="D128" s="817" t="s">
        <v>369</v>
      </c>
    </row>
    <row r="129" spans="1:4" x14ac:dyDescent="0.25">
      <c r="A129" s="817" t="s">
        <v>370</v>
      </c>
      <c r="B129" s="817" t="s">
        <v>371</v>
      </c>
      <c r="C129" s="817" t="s">
        <v>254</v>
      </c>
      <c r="D129" s="817" t="s">
        <v>372</v>
      </c>
    </row>
    <row r="130" spans="1:4" x14ac:dyDescent="0.25">
      <c r="A130" s="817" t="s">
        <v>373</v>
      </c>
      <c r="B130" s="817" t="s">
        <v>374</v>
      </c>
      <c r="C130" s="817"/>
      <c r="D130" s="817" t="s">
        <v>375</v>
      </c>
    </row>
    <row r="131" spans="1:4" x14ac:dyDescent="0.25">
      <c r="A131" s="817" t="s">
        <v>376</v>
      </c>
      <c r="B131" s="819">
        <v>0.14000000000000001</v>
      </c>
      <c r="C131" s="817" t="s">
        <v>377</v>
      </c>
      <c r="D131" s="817" t="s">
        <v>378</v>
      </c>
    </row>
    <row r="132" spans="1:4" x14ac:dyDescent="0.25">
      <c r="A132" s="817" t="s">
        <v>379</v>
      </c>
      <c r="B132" s="817" t="s">
        <v>380</v>
      </c>
      <c r="C132" s="817" t="s">
        <v>381</v>
      </c>
      <c r="D132" s="817" t="s">
        <v>382</v>
      </c>
    </row>
    <row r="133" spans="1:4" x14ac:dyDescent="0.25">
      <c r="A133" s="817" t="s">
        <v>811</v>
      </c>
      <c r="B133" s="817" t="s">
        <v>801</v>
      </c>
      <c r="C133" s="817" t="s">
        <v>254</v>
      </c>
      <c r="D133" s="817" t="s">
        <v>812</v>
      </c>
    </row>
    <row r="134" spans="1:4" x14ac:dyDescent="0.25">
      <c r="A134" s="817" t="s">
        <v>383</v>
      </c>
      <c r="B134" s="817" t="s">
        <v>226</v>
      </c>
      <c r="C134" s="817" t="s">
        <v>384</v>
      </c>
      <c r="D134" s="817" t="s">
        <v>385</v>
      </c>
    </row>
    <row r="135" spans="1:4" x14ac:dyDescent="0.25">
      <c r="A135" s="817" t="s">
        <v>386</v>
      </c>
      <c r="B135" s="817" t="s">
        <v>387</v>
      </c>
      <c r="C135" s="817" t="s">
        <v>388</v>
      </c>
      <c r="D135" s="817" t="s">
        <v>389</v>
      </c>
    </row>
    <row r="136" spans="1:4" x14ac:dyDescent="0.25">
      <c r="A136" s="817" t="s">
        <v>776</v>
      </c>
      <c r="B136" s="817" t="s">
        <v>390</v>
      </c>
      <c r="C136" s="817" t="s">
        <v>190</v>
      </c>
      <c r="D136" s="817" t="s">
        <v>391</v>
      </c>
    </row>
    <row r="137" spans="1:4" x14ac:dyDescent="0.25">
      <c r="A137" s="817" t="s">
        <v>777</v>
      </c>
      <c r="B137" s="817" t="s">
        <v>778</v>
      </c>
      <c r="C137" s="817"/>
      <c r="D137" s="817" t="s">
        <v>779</v>
      </c>
    </row>
    <row r="138" spans="1:4" x14ac:dyDescent="0.25">
      <c r="A138" s="817" t="s">
        <v>392</v>
      </c>
      <c r="B138" s="817" t="s">
        <v>144</v>
      </c>
      <c r="C138" s="817" t="s">
        <v>393</v>
      </c>
      <c r="D138" s="817" t="s">
        <v>394</v>
      </c>
    </row>
    <row r="139" spans="1:4" x14ac:dyDescent="0.25">
      <c r="A139" s="817" t="s">
        <v>395</v>
      </c>
      <c r="B139" s="817" t="s">
        <v>396</v>
      </c>
      <c r="C139" s="817" t="s">
        <v>397</v>
      </c>
      <c r="D139" s="817" t="s">
        <v>398</v>
      </c>
    </row>
    <row r="140" spans="1:4" x14ac:dyDescent="0.25">
      <c r="A140" s="817" t="s">
        <v>399</v>
      </c>
      <c r="B140" s="817" t="s">
        <v>400</v>
      </c>
      <c r="C140" s="817" t="s">
        <v>401</v>
      </c>
      <c r="D140" s="817" t="s">
        <v>402</v>
      </c>
    </row>
    <row r="141" spans="1:4" x14ac:dyDescent="0.25">
      <c r="A141" s="817" t="s">
        <v>780</v>
      </c>
      <c r="B141" s="817" t="s">
        <v>148</v>
      </c>
      <c r="C141" s="817"/>
      <c r="D141" s="817" t="s">
        <v>781</v>
      </c>
    </row>
    <row r="142" spans="1:4" x14ac:dyDescent="0.25">
      <c r="A142" s="817" t="s">
        <v>782</v>
      </c>
      <c r="B142" s="818">
        <v>3.4000000000000002E-2</v>
      </c>
      <c r="C142" s="817" t="s">
        <v>359</v>
      </c>
      <c r="D142" s="817" t="s">
        <v>783</v>
      </c>
    </row>
    <row r="143" spans="1:4" x14ac:dyDescent="0.25">
      <c r="A143" s="817" t="s">
        <v>784</v>
      </c>
      <c r="B143" s="817" t="s">
        <v>785</v>
      </c>
      <c r="C143" s="817"/>
      <c r="D143" s="817" t="s">
        <v>786</v>
      </c>
    </row>
    <row r="144" spans="1:4" x14ac:dyDescent="0.25">
      <c r="A144" s="817" t="s">
        <v>787</v>
      </c>
      <c r="B144" s="817" t="s">
        <v>125</v>
      </c>
      <c r="C144" s="817" t="s">
        <v>788</v>
      </c>
      <c r="D144" s="817" t="s">
        <v>789</v>
      </c>
    </row>
    <row r="145" spans="1:4" x14ac:dyDescent="0.25">
      <c r="A145" s="817" t="s">
        <v>790</v>
      </c>
      <c r="B145" s="817" t="s">
        <v>390</v>
      </c>
      <c r="C145" s="817" t="s">
        <v>280</v>
      </c>
      <c r="D145" s="817" t="s">
        <v>339</v>
      </c>
    </row>
    <row r="146" spans="1:4" x14ac:dyDescent="0.25">
      <c r="A146" s="820" t="s">
        <v>1476</v>
      </c>
      <c r="B146" s="817" t="s">
        <v>144</v>
      </c>
      <c r="C146" s="817" t="s">
        <v>825</v>
      </c>
      <c r="D146" s="817" t="s">
        <v>826</v>
      </c>
    </row>
    <row r="147" spans="1:4" x14ac:dyDescent="0.25">
      <c r="A147" s="817" t="s">
        <v>403</v>
      </c>
      <c r="B147" s="817" t="s">
        <v>404</v>
      </c>
      <c r="C147" s="817" t="s">
        <v>405</v>
      </c>
      <c r="D147" s="817" t="s">
        <v>406</v>
      </c>
    </row>
    <row r="148" spans="1:4" x14ac:dyDescent="0.25">
      <c r="A148" s="817" t="s">
        <v>407</v>
      </c>
      <c r="B148" s="817" t="s">
        <v>297</v>
      </c>
      <c r="C148" s="817"/>
      <c r="D148" s="817" t="s">
        <v>408</v>
      </c>
    </row>
    <row r="149" spans="1:4" x14ac:dyDescent="0.25">
      <c r="A149" s="817" t="s">
        <v>141</v>
      </c>
      <c r="B149" s="817" t="s">
        <v>265</v>
      </c>
      <c r="C149" s="817" t="s">
        <v>190</v>
      </c>
      <c r="D149" s="817" t="s">
        <v>409</v>
      </c>
    </row>
    <row r="150" spans="1:4" x14ac:dyDescent="0.25">
      <c r="A150" s="479"/>
      <c r="B150" s="479"/>
      <c r="C150" s="479"/>
      <c r="D150" s="479"/>
    </row>
    <row r="151" spans="1:4" x14ac:dyDescent="0.25">
      <c r="A151" s="479"/>
      <c r="B151" s="479"/>
      <c r="C151" s="479"/>
      <c r="D151" s="479"/>
    </row>
    <row r="152" spans="1:4" x14ac:dyDescent="0.25">
      <c r="A152" s="479"/>
      <c r="B152" s="479"/>
      <c r="C152" s="479"/>
      <c r="D152" s="479"/>
    </row>
    <row r="153" spans="1:4" x14ac:dyDescent="0.25">
      <c r="A153" s="479"/>
      <c r="B153" s="479"/>
      <c r="C153" s="479"/>
      <c r="D153" s="479"/>
    </row>
    <row r="154" spans="1:4" x14ac:dyDescent="0.25">
      <c r="A154" s="479"/>
      <c r="B154" s="479"/>
      <c r="C154" s="479"/>
      <c r="D154" s="479"/>
    </row>
    <row r="155" spans="1:4" x14ac:dyDescent="0.25">
      <c r="A155" s="479"/>
      <c r="B155" s="479"/>
      <c r="C155" s="479"/>
      <c r="D155" s="479"/>
    </row>
    <row r="156" spans="1:4" x14ac:dyDescent="0.25">
      <c r="A156" s="479"/>
      <c r="B156" s="479"/>
      <c r="C156" s="479"/>
      <c r="D156" s="479"/>
    </row>
    <row r="157" spans="1:4" x14ac:dyDescent="0.25">
      <c r="A157" s="479"/>
      <c r="B157" s="479"/>
      <c r="C157" s="479"/>
      <c r="D157" s="479"/>
    </row>
    <row r="158" spans="1:4" x14ac:dyDescent="0.25">
      <c r="A158" s="479"/>
      <c r="B158" s="479"/>
      <c r="C158" s="479"/>
      <c r="D158" s="479"/>
    </row>
    <row r="159" spans="1:4" x14ac:dyDescent="0.25">
      <c r="A159" s="479"/>
      <c r="B159" s="479"/>
      <c r="C159" s="479"/>
      <c r="D159" s="479"/>
    </row>
    <row r="160" spans="1:4" x14ac:dyDescent="0.25">
      <c r="A160" s="479"/>
      <c r="B160" s="479"/>
      <c r="C160" s="479"/>
      <c r="D160" s="479"/>
    </row>
    <row r="161" spans="1:4" x14ac:dyDescent="0.25">
      <c r="A161" s="479"/>
      <c r="B161" s="479"/>
      <c r="C161" s="479"/>
      <c r="D161" s="479"/>
    </row>
    <row r="162" spans="1:4" x14ac:dyDescent="0.25">
      <c r="A162" s="479"/>
      <c r="B162" s="479"/>
      <c r="C162" s="479"/>
      <c r="D162" s="479"/>
    </row>
    <row r="163" spans="1:4" x14ac:dyDescent="0.25">
      <c r="A163" s="479"/>
      <c r="B163" s="479"/>
      <c r="C163" s="479"/>
      <c r="D163" s="479"/>
    </row>
    <row r="164" spans="1:4" x14ac:dyDescent="0.25">
      <c r="A164" s="479"/>
      <c r="B164" s="479"/>
      <c r="C164" s="479"/>
      <c r="D164" s="479"/>
    </row>
    <row r="165" spans="1:4" x14ac:dyDescent="0.25">
      <c r="A165" s="479"/>
      <c r="B165" s="479"/>
      <c r="C165" s="479"/>
      <c r="D165" s="479"/>
    </row>
    <row r="166" spans="1:4" x14ac:dyDescent="0.25">
      <c r="A166" s="479"/>
      <c r="B166" s="479"/>
      <c r="C166" s="479"/>
      <c r="D166" s="479"/>
    </row>
    <row r="167" spans="1:4" x14ac:dyDescent="0.25">
      <c r="A167" s="479"/>
      <c r="B167" s="479"/>
      <c r="C167" s="479"/>
      <c r="D167" s="479"/>
    </row>
    <row r="168" spans="1:4" x14ac:dyDescent="0.25">
      <c r="A168" s="479"/>
      <c r="B168" s="479"/>
      <c r="C168" s="479"/>
      <c r="D168" s="479"/>
    </row>
    <row r="169" spans="1:4" x14ac:dyDescent="0.25">
      <c r="A169" s="479"/>
      <c r="B169" s="479"/>
      <c r="C169" s="479"/>
      <c r="D169" s="479"/>
    </row>
    <row r="170" spans="1:4" x14ac:dyDescent="0.25">
      <c r="A170" s="479"/>
      <c r="B170" s="479"/>
      <c r="C170" s="479"/>
      <c r="D170" s="479"/>
    </row>
    <row r="171" spans="1:4" x14ac:dyDescent="0.25">
      <c r="A171" s="479"/>
      <c r="B171" s="479"/>
      <c r="C171" s="479"/>
      <c r="D171" s="479"/>
    </row>
    <row r="172" spans="1:4" x14ac:dyDescent="0.25">
      <c r="A172" s="479"/>
      <c r="B172" s="479"/>
      <c r="C172" s="479"/>
      <c r="D172" s="479"/>
    </row>
    <row r="173" spans="1:4" x14ac:dyDescent="0.25">
      <c r="A173" s="479"/>
      <c r="B173" s="479"/>
      <c r="C173" s="479"/>
      <c r="D173" s="479"/>
    </row>
    <row r="174" spans="1:4" x14ac:dyDescent="0.25">
      <c r="A174" s="479"/>
      <c r="B174" s="479"/>
      <c r="C174" s="479"/>
      <c r="D174" s="479"/>
    </row>
    <row r="175" spans="1:4" x14ac:dyDescent="0.25">
      <c r="A175" s="479"/>
      <c r="B175" s="479"/>
      <c r="C175" s="479"/>
      <c r="D175" s="479"/>
    </row>
    <row r="176" spans="1:4" x14ac:dyDescent="0.25">
      <c r="A176" s="479"/>
      <c r="B176" s="479"/>
      <c r="C176" s="479"/>
      <c r="D176" s="479"/>
    </row>
    <row r="177" spans="1:4" x14ac:dyDescent="0.25">
      <c r="A177" s="479"/>
      <c r="B177" s="479"/>
      <c r="C177" s="479"/>
      <c r="D177" s="479"/>
    </row>
    <row r="178" spans="1:4" x14ac:dyDescent="0.25">
      <c r="A178" s="479"/>
      <c r="B178" s="479"/>
      <c r="C178" s="479"/>
      <c r="D178" s="479"/>
    </row>
    <row r="179" spans="1:4" x14ac:dyDescent="0.25">
      <c r="A179" s="479"/>
      <c r="B179" s="479"/>
      <c r="C179" s="479"/>
      <c r="D179" s="479"/>
    </row>
    <row r="180" spans="1:4" x14ac:dyDescent="0.25">
      <c r="A180" s="479"/>
      <c r="B180" s="479"/>
      <c r="C180" s="479"/>
      <c r="D180" s="479"/>
    </row>
    <row r="181" spans="1:4" x14ac:dyDescent="0.25">
      <c r="A181" s="479"/>
      <c r="B181" s="479"/>
      <c r="C181" s="479"/>
      <c r="D181" s="479"/>
    </row>
    <row r="182" spans="1:4" x14ac:dyDescent="0.25">
      <c r="A182" s="479"/>
      <c r="B182" s="479"/>
      <c r="C182" s="479"/>
      <c r="D182" s="479"/>
    </row>
    <row r="183" spans="1:4" x14ac:dyDescent="0.25">
      <c r="A183" s="479"/>
      <c r="B183" s="479"/>
      <c r="C183" s="479"/>
      <c r="D183" s="479"/>
    </row>
    <row r="184" spans="1:4" x14ac:dyDescent="0.25">
      <c r="A184" s="479"/>
      <c r="B184" s="479"/>
      <c r="C184" s="479"/>
      <c r="D184" s="479"/>
    </row>
    <row r="185" spans="1:4" x14ac:dyDescent="0.25">
      <c r="A185" s="479"/>
      <c r="B185" s="479"/>
      <c r="C185" s="479"/>
      <c r="D185" s="479"/>
    </row>
    <row r="186" spans="1:4" x14ac:dyDescent="0.25">
      <c r="A186" s="479"/>
      <c r="B186" s="479"/>
      <c r="C186" s="479"/>
      <c r="D186" s="479"/>
    </row>
    <row r="187" spans="1:4" x14ac:dyDescent="0.25">
      <c r="A187" s="479"/>
      <c r="B187" s="479"/>
      <c r="C187" s="479"/>
      <c r="D187" s="479"/>
    </row>
    <row r="188" spans="1:4" x14ac:dyDescent="0.25">
      <c r="A188" s="479"/>
      <c r="B188" s="479"/>
      <c r="C188" s="479"/>
      <c r="D188" s="479"/>
    </row>
    <row r="189" spans="1:4" x14ac:dyDescent="0.25">
      <c r="A189" s="479"/>
      <c r="B189" s="479"/>
      <c r="C189" s="479"/>
      <c r="D189" s="479"/>
    </row>
    <row r="190" spans="1:4" x14ac:dyDescent="0.25">
      <c r="A190" s="479"/>
      <c r="B190" s="479"/>
      <c r="C190" s="479"/>
      <c r="D190" s="479"/>
    </row>
    <row r="191" spans="1:4" x14ac:dyDescent="0.25">
      <c r="A191" s="479"/>
      <c r="B191" s="479"/>
      <c r="C191" s="479"/>
      <c r="D191" s="479"/>
    </row>
    <row r="192" spans="1:4" x14ac:dyDescent="0.25">
      <c r="A192" s="479"/>
      <c r="B192" s="479"/>
      <c r="C192" s="479"/>
      <c r="D192" s="479"/>
    </row>
    <row r="193" spans="1:4" x14ac:dyDescent="0.25">
      <c r="A193" s="479"/>
      <c r="B193" s="479"/>
      <c r="C193" s="479"/>
      <c r="D193" s="479"/>
    </row>
    <row r="194" spans="1:4" x14ac:dyDescent="0.25">
      <c r="A194" s="479"/>
      <c r="B194" s="479"/>
      <c r="C194" s="479"/>
      <c r="D194" s="479"/>
    </row>
    <row r="195" spans="1:4" x14ac:dyDescent="0.25">
      <c r="A195" s="479"/>
      <c r="B195" s="479"/>
      <c r="C195" s="479"/>
      <c r="D195" s="479"/>
    </row>
    <row r="196" spans="1:4" x14ac:dyDescent="0.25">
      <c r="A196" s="479"/>
      <c r="B196" s="479"/>
      <c r="C196" s="479"/>
      <c r="D196" s="479"/>
    </row>
    <row r="197" spans="1:4" x14ac:dyDescent="0.25">
      <c r="A197" s="479"/>
      <c r="B197" s="479"/>
      <c r="C197" s="479"/>
      <c r="D197" s="479"/>
    </row>
    <row r="198" spans="1:4" x14ac:dyDescent="0.25">
      <c r="A198" s="479"/>
      <c r="B198" s="479"/>
      <c r="C198" s="479"/>
      <c r="D198" s="479"/>
    </row>
    <row r="199" spans="1:4" x14ac:dyDescent="0.25">
      <c r="A199" s="479"/>
      <c r="B199" s="479"/>
      <c r="C199" s="479"/>
      <c r="D199" s="479"/>
    </row>
    <row r="200" spans="1:4" x14ac:dyDescent="0.25">
      <c r="A200" s="479"/>
      <c r="B200" s="479"/>
      <c r="C200" s="479"/>
      <c r="D200" s="479"/>
    </row>
    <row r="201" spans="1:4" x14ac:dyDescent="0.25">
      <c r="A201" s="479"/>
      <c r="B201" s="479"/>
      <c r="C201" s="479"/>
      <c r="D201" s="479"/>
    </row>
    <row r="202" spans="1:4" x14ac:dyDescent="0.25">
      <c r="A202" s="479"/>
      <c r="B202" s="479"/>
      <c r="C202" s="479"/>
      <c r="D202" s="479"/>
    </row>
    <row r="203" spans="1:4" x14ac:dyDescent="0.25">
      <c r="A203" s="479"/>
      <c r="B203" s="479"/>
      <c r="C203" s="479"/>
      <c r="D203" s="479"/>
    </row>
    <row r="204" spans="1:4" x14ac:dyDescent="0.25">
      <c r="A204" s="479"/>
      <c r="B204" s="479"/>
      <c r="C204" s="479"/>
      <c r="D204" s="479"/>
    </row>
    <row r="205" spans="1:4" x14ac:dyDescent="0.25">
      <c r="A205" s="479"/>
      <c r="B205" s="479"/>
      <c r="C205" s="479"/>
      <c r="D205" s="479"/>
    </row>
    <row r="206" spans="1:4" x14ac:dyDescent="0.25">
      <c r="A206" s="479"/>
      <c r="B206" s="479"/>
      <c r="C206" s="479"/>
      <c r="D206" s="479"/>
    </row>
    <row r="207" spans="1:4" x14ac:dyDescent="0.25">
      <c r="A207" s="479"/>
      <c r="B207" s="479"/>
      <c r="C207" s="479"/>
      <c r="D207" s="479"/>
    </row>
    <row r="208" spans="1:4" x14ac:dyDescent="0.25">
      <c r="A208" s="479"/>
      <c r="B208" s="479"/>
      <c r="C208" s="479"/>
      <c r="D208" s="479"/>
    </row>
    <row r="209" spans="1:4" x14ac:dyDescent="0.25">
      <c r="A209" s="479"/>
      <c r="B209" s="479"/>
      <c r="C209" s="479"/>
      <c r="D209" s="479"/>
    </row>
    <row r="210" spans="1:4" x14ac:dyDescent="0.25">
      <c r="A210" s="479"/>
      <c r="B210" s="479"/>
      <c r="C210" s="479"/>
      <c r="D210" s="479"/>
    </row>
    <row r="211" spans="1:4" x14ac:dyDescent="0.25">
      <c r="A211" s="479"/>
      <c r="B211" s="479"/>
      <c r="C211" s="479"/>
      <c r="D211" s="479"/>
    </row>
    <row r="212" spans="1:4" x14ac:dyDescent="0.25">
      <c r="A212" s="479"/>
      <c r="B212" s="479"/>
      <c r="C212" s="479"/>
      <c r="D212" s="479"/>
    </row>
    <row r="213" spans="1:4" x14ac:dyDescent="0.25">
      <c r="A213" s="479"/>
      <c r="B213" s="479"/>
      <c r="C213" s="479"/>
      <c r="D213" s="479"/>
    </row>
    <row r="214" spans="1:4" x14ac:dyDescent="0.25">
      <c r="A214" s="479"/>
      <c r="B214" s="479"/>
      <c r="C214" s="479"/>
      <c r="D214" s="479"/>
    </row>
    <row r="215" spans="1:4" x14ac:dyDescent="0.25">
      <c r="A215" s="479"/>
      <c r="B215" s="479"/>
      <c r="C215" s="479"/>
      <c r="D215" s="479"/>
    </row>
    <row r="216" spans="1:4" x14ac:dyDescent="0.25">
      <c r="A216" s="479"/>
      <c r="B216" s="479"/>
      <c r="C216" s="479"/>
      <c r="D216" s="479"/>
    </row>
    <row r="217" spans="1:4" x14ac:dyDescent="0.25">
      <c r="A217" s="479"/>
      <c r="B217" s="479"/>
      <c r="C217" s="479"/>
      <c r="D217" s="479"/>
    </row>
    <row r="218" spans="1:4" x14ac:dyDescent="0.25">
      <c r="A218" s="479"/>
      <c r="B218" s="479"/>
      <c r="C218" s="479"/>
      <c r="D218" s="479"/>
    </row>
    <row r="219" spans="1:4" x14ac:dyDescent="0.25">
      <c r="A219" s="479"/>
      <c r="B219" s="479"/>
      <c r="C219" s="479"/>
      <c r="D219" s="479"/>
    </row>
    <row r="220" spans="1:4" x14ac:dyDescent="0.25">
      <c r="A220" s="479"/>
      <c r="B220" s="479"/>
      <c r="C220" s="479"/>
      <c r="D220" s="479"/>
    </row>
    <row r="221" spans="1:4" x14ac:dyDescent="0.25">
      <c r="A221" s="479"/>
      <c r="B221" s="479"/>
      <c r="C221" s="479"/>
      <c r="D221" s="479"/>
    </row>
    <row r="222" spans="1:4" x14ac:dyDescent="0.25">
      <c r="A222" s="479"/>
      <c r="B222" s="479"/>
      <c r="C222" s="479"/>
      <c r="D222" s="479"/>
    </row>
    <row r="223" spans="1:4" x14ac:dyDescent="0.25">
      <c r="A223" s="479"/>
      <c r="B223" s="479"/>
      <c r="C223" s="479"/>
      <c r="D223" s="479"/>
    </row>
    <row r="224" spans="1:4" x14ac:dyDescent="0.25">
      <c r="A224" s="479"/>
      <c r="B224" s="479"/>
      <c r="C224" s="479"/>
      <c r="D224" s="479"/>
    </row>
    <row r="225" spans="1:4" x14ac:dyDescent="0.25">
      <c r="A225" s="479"/>
      <c r="B225" s="479"/>
      <c r="C225" s="479"/>
      <c r="D225" s="479"/>
    </row>
    <row r="226" spans="1:4" x14ac:dyDescent="0.25">
      <c r="A226" s="479"/>
      <c r="B226" s="479"/>
      <c r="C226" s="479"/>
      <c r="D226" s="479"/>
    </row>
    <row r="227" spans="1:4" x14ac:dyDescent="0.25">
      <c r="A227" s="479"/>
      <c r="B227" s="479"/>
      <c r="C227" s="479"/>
      <c r="D227" s="479"/>
    </row>
    <row r="228" spans="1:4" x14ac:dyDescent="0.25">
      <c r="A228" s="479"/>
      <c r="B228" s="479"/>
      <c r="C228" s="479"/>
      <c r="D228" s="479"/>
    </row>
    <row r="229" spans="1:4" x14ac:dyDescent="0.25">
      <c r="A229" s="479"/>
      <c r="B229" s="479"/>
      <c r="C229" s="479"/>
      <c r="D229" s="479"/>
    </row>
    <row r="230" spans="1:4" x14ac:dyDescent="0.25">
      <c r="A230" s="479"/>
      <c r="B230" s="479"/>
      <c r="C230" s="479"/>
      <c r="D230" s="479"/>
    </row>
    <row r="231" spans="1:4" x14ac:dyDescent="0.25">
      <c r="A231" s="479"/>
      <c r="B231" s="479"/>
      <c r="C231" s="479"/>
      <c r="D231" s="479"/>
    </row>
    <row r="232" spans="1:4" x14ac:dyDescent="0.25">
      <c r="A232" s="479"/>
      <c r="B232" s="479"/>
      <c r="C232" s="479"/>
      <c r="D232" s="479"/>
    </row>
    <row r="233" spans="1:4" x14ac:dyDescent="0.25">
      <c r="A233" s="479"/>
      <c r="B233" s="479"/>
      <c r="C233" s="479"/>
      <c r="D233" s="479"/>
    </row>
    <row r="234" spans="1:4" x14ac:dyDescent="0.25">
      <c r="A234" s="479"/>
      <c r="B234" s="479"/>
      <c r="C234" s="479"/>
      <c r="D234" s="479"/>
    </row>
    <row r="235" spans="1:4" x14ac:dyDescent="0.25">
      <c r="A235" s="479"/>
      <c r="B235" s="479"/>
      <c r="C235" s="479"/>
      <c r="D235" s="479"/>
    </row>
    <row r="236" spans="1:4" x14ac:dyDescent="0.25">
      <c r="A236" s="479"/>
      <c r="B236" s="479"/>
      <c r="C236" s="479"/>
      <c r="D236" s="479"/>
    </row>
    <row r="237" spans="1:4" x14ac:dyDescent="0.25">
      <c r="A237" s="479"/>
      <c r="B237" s="479"/>
      <c r="C237" s="479"/>
      <c r="D237" s="479"/>
    </row>
    <row r="238" spans="1:4" x14ac:dyDescent="0.25">
      <c r="A238" s="479"/>
      <c r="B238" s="479"/>
      <c r="C238" s="479"/>
      <c r="D238" s="479"/>
    </row>
    <row r="239" spans="1:4" x14ac:dyDescent="0.25">
      <c r="A239" s="479"/>
      <c r="B239" s="479"/>
      <c r="C239" s="479"/>
      <c r="D239" s="479"/>
    </row>
    <row r="240" spans="1:4" x14ac:dyDescent="0.25">
      <c r="A240" s="479"/>
      <c r="B240" s="479"/>
      <c r="C240" s="479"/>
      <c r="D240" s="479"/>
    </row>
    <row r="241" spans="1:4" x14ac:dyDescent="0.25">
      <c r="A241" s="479"/>
      <c r="B241" s="479"/>
      <c r="C241" s="479"/>
      <c r="D241" s="479"/>
    </row>
    <row r="242" spans="1:4" x14ac:dyDescent="0.25">
      <c r="A242" s="479"/>
      <c r="B242" s="479"/>
      <c r="C242" s="479"/>
      <c r="D242" s="479"/>
    </row>
    <row r="243" spans="1:4" x14ac:dyDescent="0.25">
      <c r="A243" s="479"/>
      <c r="B243" s="479"/>
      <c r="C243" s="479"/>
      <c r="D243" s="479"/>
    </row>
    <row r="244" spans="1:4" x14ac:dyDescent="0.25">
      <c r="A244" s="479"/>
      <c r="B244" s="479"/>
      <c r="C244" s="479"/>
      <c r="D244" s="479"/>
    </row>
    <row r="245" spans="1:4" x14ac:dyDescent="0.25">
      <c r="A245" s="479"/>
      <c r="B245" s="479"/>
      <c r="C245" s="479"/>
      <c r="D245" s="479"/>
    </row>
    <row r="246" spans="1:4" x14ac:dyDescent="0.25">
      <c r="A246" s="479"/>
      <c r="B246" s="479"/>
      <c r="C246" s="479"/>
      <c r="D246" s="479"/>
    </row>
    <row r="247" spans="1:4" x14ac:dyDescent="0.25">
      <c r="A247" s="479"/>
      <c r="B247" s="479"/>
      <c r="C247" s="479"/>
      <c r="D247" s="479"/>
    </row>
    <row r="248" spans="1:4" x14ac:dyDescent="0.25">
      <c r="A248" s="479"/>
      <c r="B248" s="479"/>
      <c r="C248" s="479"/>
      <c r="D248" s="479"/>
    </row>
    <row r="249" spans="1:4" x14ac:dyDescent="0.25">
      <c r="A249" s="479"/>
      <c r="B249" s="479"/>
      <c r="C249" s="479"/>
      <c r="D249" s="479"/>
    </row>
    <row r="250" spans="1:4" x14ac:dyDescent="0.25">
      <c r="A250" s="479"/>
      <c r="B250" s="479"/>
      <c r="C250" s="479"/>
      <c r="D250" s="479"/>
    </row>
    <row r="251" spans="1:4" x14ac:dyDescent="0.25">
      <c r="A251" s="479"/>
      <c r="B251" s="479"/>
      <c r="C251" s="479"/>
      <c r="D251" s="479"/>
    </row>
    <row r="252" spans="1:4" x14ac:dyDescent="0.25">
      <c r="A252" s="479"/>
      <c r="B252" s="479"/>
      <c r="C252" s="479"/>
      <c r="D252" s="479"/>
    </row>
    <row r="253" spans="1:4" x14ac:dyDescent="0.25">
      <c r="A253" s="479"/>
      <c r="B253" s="479"/>
      <c r="C253" s="479"/>
      <c r="D253" s="479"/>
    </row>
    <row r="254" spans="1:4" x14ac:dyDescent="0.25">
      <c r="A254" s="479"/>
      <c r="B254" s="479"/>
      <c r="C254" s="479"/>
      <c r="D254" s="479"/>
    </row>
    <row r="255" spans="1:4" x14ac:dyDescent="0.25">
      <c r="A255" s="479"/>
      <c r="B255" s="479"/>
      <c r="C255" s="479"/>
      <c r="D255" s="479"/>
    </row>
    <row r="256" spans="1:4" x14ac:dyDescent="0.25">
      <c r="A256" s="479"/>
      <c r="B256" s="479"/>
      <c r="C256" s="479"/>
      <c r="D256" s="479"/>
    </row>
    <row r="257" spans="1:4" x14ac:dyDescent="0.25">
      <c r="A257" s="479"/>
      <c r="B257" s="479"/>
      <c r="C257" s="479"/>
      <c r="D257" s="479"/>
    </row>
    <row r="258" spans="1:4" x14ac:dyDescent="0.25">
      <c r="A258" s="479"/>
      <c r="B258" s="479"/>
      <c r="C258" s="479"/>
      <c r="D258" s="479"/>
    </row>
    <row r="259" spans="1:4" x14ac:dyDescent="0.25">
      <c r="A259" s="479"/>
      <c r="B259" s="479"/>
      <c r="C259" s="479"/>
      <c r="D259" s="479"/>
    </row>
    <row r="260" spans="1:4" x14ac:dyDescent="0.25">
      <c r="A260" s="479"/>
      <c r="B260" s="479"/>
      <c r="C260" s="479"/>
      <c r="D260" s="479"/>
    </row>
    <row r="261" spans="1:4" x14ac:dyDescent="0.25">
      <c r="A261" s="479"/>
      <c r="B261" s="479"/>
      <c r="C261" s="479"/>
      <c r="D261" s="479"/>
    </row>
    <row r="262" spans="1:4" x14ac:dyDescent="0.25">
      <c r="A262" s="479"/>
      <c r="B262" s="479"/>
      <c r="C262" s="479"/>
      <c r="D262" s="479"/>
    </row>
    <row r="263" spans="1:4" x14ac:dyDescent="0.25">
      <c r="A263" s="479"/>
      <c r="B263" s="479"/>
      <c r="C263" s="479"/>
      <c r="D263" s="479"/>
    </row>
    <row r="264" spans="1:4" x14ac:dyDescent="0.25">
      <c r="A264" s="479"/>
      <c r="B264" s="479"/>
      <c r="C264" s="479"/>
      <c r="D264" s="479"/>
    </row>
    <row r="265" spans="1:4" x14ac:dyDescent="0.25">
      <c r="A265" s="479"/>
      <c r="B265" s="479"/>
      <c r="C265" s="479"/>
      <c r="D265" s="479"/>
    </row>
    <row r="266" spans="1:4" x14ac:dyDescent="0.25">
      <c r="A266" s="479"/>
      <c r="B266" s="479"/>
      <c r="C266" s="479"/>
      <c r="D266" s="479"/>
    </row>
    <row r="267" spans="1:4" x14ac:dyDescent="0.25">
      <c r="A267" s="479"/>
      <c r="B267" s="479"/>
      <c r="C267" s="479"/>
      <c r="D267" s="479"/>
    </row>
    <row r="268" spans="1:4" x14ac:dyDescent="0.25">
      <c r="A268" s="479"/>
      <c r="B268" s="479"/>
      <c r="C268" s="479"/>
      <c r="D268" s="479"/>
    </row>
    <row r="269" spans="1:4" x14ac:dyDescent="0.25">
      <c r="A269" s="479"/>
      <c r="B269" s="479"/>
      <c r="C269" s="479"/>
      <c r="D269" s="479"/>
    </row>
    <row r="270" spans="1:4" x14ac:dyDescent="0.25">
      <c r="A270" s="479"/>
      <c r="B270" s="479"/>
      <c r="C270" s="479"/>
      <c r="D270" s="479"/>
    </row>
    <row r="271" spans="1:4" x14ac:dyDescent="0.25">
      <c r="A271" s="479"/>
      <c r="B271" s="479"/>
      <c r="C271" s="479"/>
      <c r="D271" s="479"/>
    </row>
    <row r="272" spans="1:4" x14ac:dyDescent="0.25">
      <c r="A272" s="479"/>
      <c r="B272" s="479"/>
      <c r="C272" s="479"/>
      <c r="D272" s="479"/>
    </row>
    <row r="273" spans="1:4" x14ac:dyDescent="0.25">
      <c r="A273" s="479"/>
      <c r="B273" s="479"/>
      <c r="C273" s="479"/>
      <c r="D273" s="479"/>
    </row>
    <row r="274" spans="1:4" x14ac:dyDescent="0.25">
      <c r="A274" s="479"/>
      <c r="B274" s="479"/>
      <c r="C274" s="479"/>
      <c r="D274" s="479"/>
    </row>
    <row r="275" spans="1:4" x14ac:dyDescent="0.25">
      <c r="A275" s="479"/>
      <c r="B275" s="479"/>
      <c r="C275" s="479"/>
      <c r="D275" s="479"/>
    </row>
    <row r="276" spans="1:4" x14ac:dyDescent="0.25">
      <c r="A276" s="479"/>
      <c r="B276" s="479"/>
      <c r="C276" s="479"/>
      <c r="D276" s="479"/>
    </row>
    <row r="277" spans="1:4" x14ac:dyDescent="0.25">
      <c r="A277" s="479"/>
      <c r="B277" s="479"/>
      <c r="C277" s="479"/>
      <c r="D277" s="479"/>
    </row>
    <row r="278" spans="1:4" x14ac:dyDescent="0.25">
      <c r="A278" s="479"/>
      <c r="B278" s="479"/>
      <c r="C278" s="479"/>
      <c r="D278" s="479"/>
    </row>
    <row r="279" spans="1:4" x14ac:dyDescent="0.25">
      <c r="A279" s="479"/>
      <c r="B279" s="479"/>
      <c r="C279" s="479"/>
      <c r="D279" s="479"/>
    </row>
    <row r="280" spans="1:4" x14ac:dyDescent="0.25">
      <c r="A280" s="479"/>
      <c r="B280" s="479"/>
      <c r="C280" s="479"/>
      <c r="D280" s="479"/>
    </row>
    <row r="281" spans="1:4" x14ac:dyDescent="0.25">
      <c r="A281" s="479"/>
      <c r="B281" s="479"/>
      <c r="C281" s="479"/>
      <c r="D281" s="479"/>
    </row>
    <row r="282" spans="1:4" x14ac:dyDescent="0.25">
      <c r="A282" s="479"/>
      <c r="B282" s="479"/>
      <c r="C282" s="479"/>
      <c r="D282" s="479"/>
    </row>
    <row r="283" spans="1:4" x14ac:dyDescent="0.25">
      <c r="A283" s="479"/>
      <c r="B283" s="479"/>
      <c r="C283" s="479"/>
      <c r="D283" s="479"/>
    </row>
    <row r="284" spans="1:4" x14ac:dyDescent="0.25">
      <c r="A284" s="479"/>
      <c r="B284" s="479"/>
      <c r="C284" s="479"/>
      <c r="D284" s="479"/>
    </row>
    <row r="285" spans="1:4" x14ac:dyDescent="0.25">
      <c r="A285" s="479"/>
      <c r="B285" s="479"/>
      <c r="C285" s="479"/>
      <c r="D285" s="479"/>
    </row>
    <row r="286" spans="1:4" x14ac:dyDescent="0.25">
      <c r="A286" s="479"/>
      <c r="B286" s="479"/>
      <c r="C286" s="479"/>
      <c r="D286" s="479"/>
    </row>
    <row r="287" spans="1:4" x14ac:dyDescent="0.25">
      <c r="A287" s="479"/>
      <c r="B287" s="479"/>
      <c r="C287" s="479"/>
      <c r="D287" s="479"/>
    </row>
    <row r="288" spans="1:4" x14ac:dyDescent="0.25">
      <c r="A288" s="479"/>
      <c r="B288" s="479"/>
      <c r="C288" s="479"/>
      <c r="D288" s="479"/>
    </row>
    <row r="289" spans="1:4" x14ac:dyDescent="0.25">
      <c r="A289" s="479"/>
      <c r="B289" s="479"/>
      <c r="C289" s="479"/>
      <c r="D289" s="479"/>
    </row>
    <row r="290" spans="1:4" x14ac:dyDescent="0.25">
      <c r="A290" s="479"/>
      <c r="B290" s="479"/>
      <c r="C290" s="479"/>
      <c r="D290" s="479"/>
    </row>
    <row r="291" spans="1:4" x14ac:dyDescent="0.25">
      <c r="A291" s="479"/>
      <c r="B291" s="479"/>
      <c r="C291" s="479"/>
      <c r="D291" s="479"/>
    </row>
    <row r="292" spans="1:4" x14ac:dyDescent="0.25">
      <c r="A292" s="479"/>
      <c r="B292" s="479"/>
      <c r="C292" s="479"/>
      <c r="D292" s="479"/>
    </row>
    <row r="293" spans="1:4" x14ac:dyDescent="0.25">
      <c r="A293" s="479"/>
      <c r="B293" s="479"/>
      <c r="C293" s="479"/>
      <c r="D293" s="479"/>
    </row>
    <row r="294" spans="1:4" x14ac:dyDescent="0.25">
      <c r="A294" s="479"/>
      <c r="B294" s="479"/>
      <c r="C294" s="479"/>
      <c r="D294" s="479"/>
    </row>
    <row r="295" spans="1:4" x14ac:dyDescent="0.25">
      <c r="A295" s="479"/>
      <c r="B295" s="479"/>
      <c r="C295" s="479"/>
      <c r="D295" s="479"/>
    </row>
    <row r="296" spans="1:4" x14ac:dyDescent="0.25">
      <c r="A296" s="479"/>
      <c r="B296" s="479"/>
      <c r="C296" s="479"/>
      <c r="D296" s="479"/>
    </row>
    <row r="297" spans="1:4" x14ac:dyDescent="0.25">
      <c r="A297" s="479"/>
      <c r="B297" s="479"/>
      <c r="C297" s="479"/>
      <c r="D297" s="479"/>
    </row>
    <row r="298" spans="1:4" x14ac:dyDescent="0.25">
      <c r="A298" s="479"/>
      <c r="B298" s="479"/>
      <c r="C298" s="479"/>
      <c r="D298" s="479"/>
    </row>
    <row r="299" spans="1:4" x14ac:dyDescent="0.25">
      <c r="A299" s="479"/>
      <c r="B299" s="479"/>
      <c r="C299" s="479"/>
      <c r="D299" s="479"/>
    </row>
    <row r="300" spans="1:4" x14ac:dyDescent="0.25">
      <c r="A300" s="479"/>
      <c r="B300" s="479"/>
      <c r="C300" s="479"/>
      <c r="D300" s="479"/>
    </row>
    <row r="301" spans="1:4" x14ac:dyDescent="0.25">
      <c r="A301" s="479"/>
      <c r="B301" s="479"/>
      <c r="C301" s="479"/>
      <c r="D301" s="479"/>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0"/>
  <sheetViews>
    <sheetView workbookViewId="0">
      <pane ySplit="1" topLeftCell="A2" activePane="bottomLeft" state="frozen"/>
      <selection pane="bottomLeft" activeCell="I16" sqref="I16"/>
    </sheetView>
  </sheetViews>
  <sheetFormatPr defaultRowHeight="13.2" x14ac:dyDescent="0.25"/>
  <cols>
    <col min="1" max="1" width="40.109375" bestFit="1" customWidth="1"/>
    <col min="2" max="2" width="7.44140625" bestFit="1" customWidth="1"/>
    <col min="3" max="3" width="17" bestFit="1" customWidth="1"/>
    <col min="4" max="4" width="9.109375" bestFit="1" customWidth="1"/>
    <col min="5" max="5" width="11.109375" customWidth="1"/>
    <col min="6" max="6" width="11.6640625" bestFit="1" customWidth="1"/>
    <col min="7" max="7" width="7.33203125" style="4" customWidth="1"/>
    <col min="8" max="8" width="7.88671875" style="4" customWidth="1"/>
    <col min="9" max="9" width="136.33203125" bestFit="1" customWidth="1"/>
  </cols>
  <sheetData>
    <row r="1" spans="1:9" ht="34.200000000000003" customHeight="1" x14ac:dyDescent="0.25">
      <c r="A1" s="36" t="s">
        <v>1095</v>
      </c>
      <c r="B1" s="36" t="s">
        <v>66</v>
      </c>
      <c r="C1" s="36" t="s">
        <v>410</v>
      </c>
      <c r="D1" s="36" t="s">
        <v>411</v>
      </c>
      <c r="E1" s="36" t="s">
        <v>1096</v>
      </c>
      <c r="F1" s="36" t="s">
        <v>1111</v>
      </c>
      <c r="G1" s="56" t="s">
        <v>1220</v>
      </c>
      <c r="H1" s="56" t="s">
        <v>1221</v>
      </c>
      <c r="I1" s="36" t="s">
        <v>67</v>
      </c>
    </row>
    <row r="2" spans="1:9" x14ac:dyDescent="0.25">
      <c r="A2" s="472" t="s">
        <v>1565</v>
      </c>
      <c r="B2" s="472" t="s">
        <v>412</v>
      </c>
      <c r="C2" s="472" t="s">
        <v>1566</v>
      </c>
      <c r="D2" s="472" t="s">
        <v>421</v>
      </c>
      <c r="E2" s="472" t="s">
        <v>1567</v>
      </c>
      <c r="F2" s="485">
        <v>0.74</v>
      </c>
      <c r="G2" s="475">
        <v>62</v>
      </c>
      <c r="H2" s="486">
        <v>70</v>
      </c>
      <c r="I2" s="472" t="s">
        <v>1568</v>
      </c>
    </row>
    <row r="3" spans="1:9" x14ac:dyDescent="0.25">
      <c r="A3" s="472" t="s">
        <v>1569</v>
      </c>
      <c r="B3" s="472" t="s">
        <v>412</v>
      </c>
      <c r="C3" s="472" t="s">
        <v>1566</v>
      </c>
      <c r="D3" s="472" t="s">
        <v>414</v>
      </c>
      <c r="E3" s="472" t="s">
        <v>1570</v>
      </c>
      <c r="F3" s="485">
        <v>0.73499999999999999</v>
      </c>
      <c r="G3" s="475">
        <v>62</v>
      </c>
      <c r="H3" s="486">
        <v>70</v>
      </c>
      <c r="I3" s="472" t="s">
        <v>1571</v>
      </c>
    </row>
    <row r="4" spans="1:9" x14ac:dyDescent="0.25">
      <c r="A4" s="472" t="s">
        <v>1572</v>
      </c>
      <c r="B4" s="472" t="s">
        <v>412</v>
      </c>
      <c r="C4" s="472" t="s">
        <v>1566</v>
      </c>
      <c r="D4" s="479" t="s">
        <v>428</v>
      </c>
      <c r="E4" s="472" t="s">
        <v>1159</v>
      </c>
      <c r="F4" s="485">
        <v>0.75</v>
      </c>
      <c r="G4" s="475">
        <v>60</v>
      </c>
      <c r="H4" s="486">
        <v>72</v>
      </c>
      <c r="I4" s="472" t="s">
        <v>1573</v>
      </c>
    </row>
    <row r="5" spans="1:9" x14ac:dyDescent="0.25">
      <c r="A5" s="472" t="s">
        <v>1574</v>
      </c>
      <c r="B5" s="472" t="s">
        <v>412</v>
      </c>
      <c r="C5" s="472" t="s">
        <v>1566</v>
      </c>
      <c r="D5" s="472" t="s">
        <v>535</v>
      </c>
      <c r="E5" s="472" t="s">
        <v>1575</v>
      </c>
      <c r="F5" s="485">
        <v>0.71499999999999997</v>
      </c>
      <c r="G5" s="475">
        <v>64</v>
      </c>
      <c r="H5" s="486">
        <v>70</v>
      </c>
      <c r="I5" s="472" t="s">
        <v>1576</v>
      </c>
    </row>
    <row r="6" spans="1:9" x14ac:dyDescent="0.25">
      <c r="A6" s="472" t="s">
        <v>1577</v>
      </c>
      <c r="B6" s="472" t="s">
        <v>412</v>
      </c>
      <c r="C6" s="472" t="s">
        <v>1566</v>
      </c>
      <c r="D6" s="472" t="s">
        <v>414</v>
      </c>
      <c r="E6" s="472" t="s">
        <v>554</v>
      </c>
      <c r="F6" s="485">
        <v>0.73</v>
      </c>
      <c r="G6" s="475">
        <v>62</v>
      </c>
      <c r="H6" s="486">
        <v>72</v>
      </c>
      <c r="I6" s="472" t="s">
        <v>1578</v>
      </c>
    </row>
    <row r="7" spans="1:9" x14ac:dyDescent="0.25">
      <c r="A7" s="472" t="s">
        <v>1579</v>
      </c>
      <c r="B7" s="472" t="s">
        <v>412</v>
      </c>
      <c r="C7" s="472" t="s">
        <v>1566</v>
      </c>
      <c r="D7" s="472" t="s">
        <v>414</v>
      </c>
      <c r="E7" s="472" t="s">
        <v>434</v>
      </c>
      <c r="F7" s="485">
        <v>0.74</v>
      </c>
      <c r="G7" s="475">
        <v>60</v>
      </c>
      <c r="H7" s="486">
        <v>72</v>
      </c>
      <c r="I7" s="472" t="s">
        <v>1580</v>
      </c>
    </row>
    <row r="8" spans="1:9" x14ac:dyDescent="0.25">
      <c r="A8" s="472" t="s">
        <v>1581</v>
      </c>
      <c r="B8" s="472" t="s">
        <v>412</v>
      </c>
      <c r="C8" s="472" t="s">
        <v>1566</v>
      </c>
      <c r="D8" s="472" t="s">
        <v>417</v>
      </c>
      <c r="E8" s="472" t="s">
        <v>429</v>
      </c>
      <c r="F8" s="485">
        <v>0.75</v>
      </c>
      <c r="G8" s="475">
        <v>60</v>
      </c>
      <c r="H8" s="486">
        <v>70</v>
      </c>
      <c r="I8" s="472" t="s">
        <v>1582</v>
      </c>
    </row>
    <row r="9" spans="1:9" x14ac:dyDescent="0.25">
      <c r="A9" s="472" t="s">
        <v>1583</v>
      </c>
      <c r="B9" s="472" t="s">
        <v>412</v>
      </c>
      <c r="C9" s="472" t="s">
        <v>1566</v>
      </c>
      <c r="D9" s="472" t="s">
        <v>423</v>
      </c>
      <c r="E9" s="472" t="s">
        <v>440</v>
      </c>
      <c r="F9" s="485">
        <v>0.76</v>
      </c>
      <c r="G9" s="475">
        <v>67</v>
      </c>
      <c r="H9" s="486">
        <v>80</v>
      </c>
      <c r="I9" s="472" t="s">
        <v>1584</v>
      </c>
    </row>
    <row r="10" spans="1:9" x14ac:dyDescent="0.25">
      <c r="A10" s="472" t="s">
        <v>1585</v>
      </c>
      <c r="B10" s="472" t="s">
        <v>412</v>
      </c>
      <c r="C10" s="472" t="s">
        <v>1566</v>
      </c>
      <c r="D10" s="472" t="s">
        <v>414</v>
      </c>
      <c r="E10" s="472" t="s">
        <v>440</v>
      </c>
      <c r="F10" s="485">
        <v>0.76</v>
      </c>
      <c r="G10" s="475">
        <v>64</v>
      </c>
      <c r="H10" s="486">
        <v>74</v>
      </c>
      <c r="I10" s="472" t="s">
        <v>1586</v>
      </c>
    </row>
    <row r="11" spans="1:9" x14ac:dyDescent="0.25">
      <c r="A11" s="472" t="s">
        <v>1587</v>
      </c>
      <c r="B11" s="472" t="s">
        <v>412</v>
      </c>
      <c r="C11" s="472" t="s">
        <v>1566</v>
      </c>
      <c r="D11" s="472" t="s">
        <v>414</v>
      </c>
      <c r="E11" s="472" t="s">
        <v>424</v>
      </c>
      <c r="F11" s="485">
        <v>0.72499999999999998</v>
      </c>
      <c r="G11" s="475">
        <v>65</v>
      </c>
      <c r="H11" s="486">
        <v>70</v>
      </c>
      <c r="I11" s="472" t="s">
        <v>1588</v>
      </c>
    </row>
    <row r="12" spans="1:9" x14ac:dyDescent="0.25">
      <c r="A12" s="472" t="s">
        <v>1589</v>
      </c>
      <c r="B12" s="472" t="s">
        <v>412</v>
      </c>
      <c r="C12" s="472" t="s">
        <v>1566</v>
      </c>
      <c r="D12" s="472" t="s">
        <v>414</v>
      </c>
      <c r="E12" s="472" t="s">
        <v>1590</v>
      </c>
      <c r="F12" s="485">
        <v>0.74</v>
      </c>
      <c r="G12" s="475">
        <v>64</v>
      </c>
      <c r="H12" s="486">
        <v>74</v>
      </c>
      <c r="I12" s="472" t="s">
        <v>1591</v>
      </c>
    </row>
    <row r="13" spans="1:9" x14ac:dyDescent="0.25">
      <c r="A13" s="479" t="s">
        <v>925</v>
      </c>
      <c r="B13" s="479" t="s">
        <v>487</v>
      </c>
      <c r="C13" s="479" t="s">
        <v>863</v>
      </c>
      <c r="D13" s="479" t="s">
        <v>423</v>
      </c>
      <c r="E13" s="479" t="s">
        <v>421</v>
      </c>
      <c r="F13" s="487"/>
      <c r="G13" s="399">
        <v>63</v>
      </c>
      <c r="H13" s="486">
        <v>77</v>
      </c>
      <c r="I13" s="479" t="s">
        <v>926</v>
      </c>
    </row>
    <row r="14" spans="1:9" x14ac:dyDescent="0.25">
      <c r="A14" s="479" t="s">
        <v>416</v>
      </c>
      <c r="B14" s="479" t="s">
        <v>412</v>
      </c>
      <c r="C14" s="479" t="s">
        <v>413</v>
      </c>
      <c r="D14" s="479" t="s">
        <v>417</v>
      </c>
      <c r="E14" s="479" t="s">
        <v>415</v>
      </c>
      <c r="F14" s="487">
        <v>0.77500000000000002</v>
      </c>
      <c r="G14" s="475">
        <v>66</v>
      </c>
      <c r="H14" s="486">
        <v>72</v>
      </c>
      <c r="I14" s="479" t="s">
        <v>418</v>
      </c>
    </row>
    <row r="15" spans="1:9" x14ac:dyDescent="0.25">
      <c r="A15" s="479" t="s">
        <v>927</v>
      </c>
      <c r="B15" s="479" t="s">
        <v>412</v>
      </c>
      <c r="C15" s="479" t="s">
        <v>413</v>
      </c>
      <c r="D15" s="479" t="s">
        <v>414</v>
      </c>
      <c r="E15" s="479" t="s">
        <v>414</v>
      </c>
      <c r="F15" s="487">
        <v>0.78</v>
      </c>
      <c r="G15" s="475">
        <v>66</v>
      </c>
      <c r="H15" s="486">
        <v>72</v>
      </c>
      <c r="I15" s="479" t="s">
        <v>928</v>
      </c>
    </row>
    <row r="16" spans="1:9" x14ac:dyDescent="0.25">
      <c r="A16" s="472" t="s">
        <v>1981</v>
      </c>
      <c r="B16" s="479" t="s">
        <v>412</v>
      </c>
      <c r="C16" s="479" t="s">
        <v>1925</v>
      </c>
      <c r="D16" s="479" t="s">
        <v>423</v>
      </c>
      <c r="E16" s="472" t="s">
        <v>1944</v>
      </c>
      <c r="F16" s="485">
        <v>0.92500000000000004</v>
      </c>
      <c r="G16" s="475">
        <v>68</v>
      </c>
      <c r="H16" s="486">
        <v>85</v>
      </c>
      <c r="I16" s="472" t="s">
        <v>1982</v>
      </c>
    </row>
    <row r="17" spans="1:9" x14ac:dyDescent="0.25">
      <c r="A17" s="479" t="s">
        <v>419</v>
      </c>
      <c r="B17" s="479" t="s">
        <v>412</v>
      </c>
      <c r="C17" s="479" t="s">
        <v>420</v>
      </c>
      <c r="D17" s="479" t="s">
        <v>414</v>
      </c>
      <c r="E17" s="479" t="s">
        <v>421</v>
      </c>
      <c r="F17" s="487"/>
      <c r="G17" s="475">
        <v>59</v>
      </c>
      <c r="H17" s="486">
        <v>68</v>
      </c>
      <c r="I17" s="479" t="s">
        <v>1085</v>
      </c>
    </row>
    <row r="18" spans="1:9" x14ac:dyDescent="0.25">
      <c r="A18" s="479" t="s">
        <v>422</v>
      </c>
      <c r="B18" s="479" t="s">
        <v>412</v>
      </c>
      <c r="C18" s="479" t="s">
        <v>413</v>
      </c>
      <c r="D18" s="479" t="s">
        <v>423</v>
      </c>
      <c r="E18" s="479" t="s">
        <v>424</v>
      </c>
      <c r="F18" s="487">
        <v>0.72499999999999998</v>
      </c>
      <c r="G18" s="475">
        <v>65</v>
      </c>
      <c r="H18" s="486">
        <v>69</v>
      </c>
      <c r="I18" s="479" t="s">
        <v>425</v>
      </c>
    </row>
    <row r="19" spans="1:9" x14ac:dyDescent="0.25">
      <c r="A19" s="479" t="s">
        <v>426</v>
      </c>
      <c r="B19" s="479" t="s">
        <v>412</v>
      </c>
      <c r="C19" s="479" t="s">
        <v>427</v>
      </c>
      <c r="D19" s="479" t="s">
        <v>428</v>
      </c>
      <c r="E19" s="479" t="s">
        <v>429</v>
      </c>
      <c r="F19" s="487">
        <v>0.75</v>
      </c>
      <c r="G19" s="475">
        <v>60</v>
      </c>
      <c r="H19" s="486">
        <v>72</v>
      </c>
      <c r="I19" s="479" t="s">
        <v>430</v>
      </c>
    </row>
    <row r="20" spans="1:9" x14ac:dyDescent="0.25">
      <c r="A20" s="479" t="s">
        <v>431</v>
      </c>
      <c r="B20" s="479" t="s">
        <v>412</v>
      </c>
      <c r="C20" s="479" t="s">
        <v>420</v>
      </c>
      <c r="D20" s="479" t="s">
        <v>414</v>
      </c>
      <c r="E20" s="479" t="s">
        <v>421</v>
      </c>
      <c r="F20" s="487"/>
      <c r="G20" s="475">
        <v>64</v>
      </c>
      <c r="H20" s="486">
        <v>72</v>
      </c>
      <c r="I20" s="479" t="s">
        <v>861</v>
      </c>
    </row>
    <row r="21" spans="1:9" x14ac:dyDescent="0.25">
      <c r="A21" s="479" t="s">
        <v>433</v>
      </c>
      <c r="B21" s="479" t="s">
        <v>412</v>
      </c>
      <c r="C21" s="479" t="s">
        <v>427</v>
      </c>
      <c r="D21" s="479" t="s">
        <v>414</v>
      </c>
      <c r="E21" s="479" t="s">
        <v>434</v>
      </c>
      <c r="F21" s="487">
        <v>0.74</v>
      </c>
      <c r="G21" s="475">
        <v>60</v>
      </c>
      <c r="H21" s="486">
        <v>72</v>
      </c>
      <c r="I21" s="479" t="s">
        <v>435</v>
      </c>
    </row>
    <row r="22" spans="1:9" x14ac:dyDescent="0.25">
      <c r="A22" s="479" t="s">
        <v>436</v>
      </c>
      <c r="B22" s="479" t="s">
        <v>412</v>
      </c>
      <c r="C22" s="479" t="s">
        <v>413</v>
      </c>
      <c r="D22" s="479" t="s">
        <v>414</v>
      </c>
      <c r="E22" s="479" t="s">
        <v>437</v>
      </c>
      <c r="F22" s="487">
        <v>0.75</v>
      </c>
      <c r="G22" s="475">
        <v>68</v>
      </c>
      <c r="H22" s="486">
        <v>72</v>
      </c>
      <c r="I22" s="479" t="s">
        <v>438</v>
      </c>
    </row>
    <row r="23" spans="1:9" x14ac:dyDescent="0.25">
      <c r="A23" s="479" t="s">
        <v>929</v>
      </c>
      <c r="B23" s="479" t="s">
        <v>412</v>
      </c>
      <c r="C23" s="479" t="s">
        <v>413</v>
      </c>
      <c r="D23" s="479" t="s">
        <v>414</v>
      </c>
      <c r="E23" s="479" t="s">
        <v>414</v>
      </c>
      <c r="F23" s="487">
        <v>0.78500000000000003</v>
      </c>
      <c r="G23" s="475">
        <v>68</v>
      </c>
      <c r="H23" s="486">
        <v>72</v>
      </c>
      <c r="I23" s="479" t="s">
        <v>930</v>
      </c>
    </row>
    <row r="24" spans="1:9" x14ac:dyDescent="0.25">
      <c r="A24" s="479" t="s">
        <v>2072</v>
      </c>
      <c r="B24" s="479" t="s">
        <v>412</v>
      </c>
      <c r="C24" s="479" t="s">
        <v>413</v>
      </c>
      <c r="D24" s="479" t="s">
        <v>423</v>
      </c>
      <c r="E24" s="479" t="s">
        <v>2073</v>
      </c>
      <c r="F24" s="487">
        <v>0.72499999999999998</v>
      </c>
      <c r="G24" s="475">
        <v>65</v>
      </c>
      <c r="H24" s="486">
        <v>69</v>
      </c>
      <c r="I24" s="479" t="s">
        <v>2074</v>
      </c>
    </row>
    <row r="25" spans="1:9" x14ac:dyDescent="0.25">
      <c r="A25" s="479" t="s">
        <v>894</v>
      </c>
      <c r="B25" s="479" t="s">
        <v>412</v>
      </c>
      <c r="C25" s="479" t="s">
        <v>420</v>
      </c>
      <c r="D25" s="479" t="s">
        <v>421</v>
      </c>
      <c r="E25" s="479" t="s">
        <v>414</v>
      </c>
      <c r="F25" s="487"/>
      <c r="G25" s="475">
        <v>68</v>
      </c>
      <c r="H25" s="486">
        <v>72</v>
      </c>
      <c r="I25" s="479" t="s">
        <v>895</v>
      </c>
    </row>
    <row r="26" spans="1:9" x14ac:dyDescent="0.25">
      <c r="A26" s="479" t="s">
        <v>896</v>
      </c>
      <c r="B26" s="479" t="s">
        <v>412</v>
      </c>
      <c r="C26" s="479" t="s">
        <v>427</v>
      </c>
      <c r="D26" s="479" t="s">
        <v>414</v>
      </c>
      <c r="E26" s="479" t="s">
        <v>415</v>
      </c>
      <c r="F26" s="487">
        <v>0.77500000000000002</v>
      </c>
      <c r="G26" s="475">
        <v>48</v>
      </c>
      <c r="H26" s="486">
        <v>58</v>
      </c>
      <c r="I26" s="479" t="s">
        <v>897</v>
      </c>
    </row>
    <row r="27" spans="1:9" x14ac:dyDescent="0.25">
      <c r="A27" s="479" t="s">
        <v>898</v>
      </c>
      <c r="B27" s="479" t="s">
        <v>412</v>
      </c>
      <c r="C27" s="479" t="s">
        <v>413</v>
      </c>
      <c r="D27" s="479" t="s">
        <v>414</v>
      </c>
      <c r="E27" s="479" t="s">
        <v>415</v>
      </c>
      <c r="F27" s="487">
        <v>0.77500000000000002</v>
      </c>
      <c r="G27" s="475">
        <v>50</v>
      </c>
      <c r="H27" s="486">
        <v>55</v>
      </c>
      <c r="I27" s="479" t="s">
        <v>899</v>
      </c>
    </row>
    <row r="28" spans="1:9" x14ac:dyDescent="0.25">
      <c r="A28" s="479" t="s">
        <v>862</v>
      </c>
      <c r="B28" s="479" t="s">
        <v>487</v>
      </c>
      <c r="C28" s="479" t="s">
        <v>863</v>
      </c>
      <c r="D28" s="479" t="s">
        <v>414</v>
      </c>
      <c r="E28" s="479" t="s">
        <v>414</v>
      </c>
      <c r="F28" s="487"/>
      <c r="G28" s="475">
        <v>59</v>
      </c>
      <c r="H28" s="486">
        <v>72</v>
      </c>
      <c r="I28" s="479" t="s">
        <v>432</v>
      </c>
    </row>
    <row r="29" spans="1:9" x14ac:dyDescent="0.25">
      <c r="A29" s="479" t="s">
        <v>439</v>
      </c>
      <c r="B29" s="479" t="s">
        <v>412</v>
      </c>
      <c r="C29" s="479" t="s">
        <v>427</v>
      </c>
      <c r="D29" s="479" t="s">
        <v>423</v>
      </c>
      <c r="E29" s="479" t="s">
        <v>440</v>
      </c>
      <c r="F29" s="487">
        <v>0.76</v>
      </c>
      <c r="G29" s="475">
        <v>58</v>
      </c>
      <c r="H29" s="486">
        <v>74</v>
      </c>
      <c r="I29" s="479" t="s">
        <v>441</v>
      </c>
    </row>
    <row r="30" spans="1:9" x14ac:dyDescent="0.25">
      <c r="A30" s="479" t="s">
        <v>1038</v>
      </c>
      <c r="B30" s="479" t="s">
        <v>412</v>
      </c>
      <c r="C30" s="479" t="s">
        <v>413</v>
      </c>
      <c r="D30" s="479" t="s">
        <v>414</v>
      </c>
      <c r="E30" s="479" t="s">
        <v>1039</v>
      </c>
      <c r="F30" s="487">
        <v>0.79</v>
      </c>
      <c r="G30" s="475">
        <v>75</v>
      </c>
      <c r="H30" s="486">
        <v>82</v>
      </c>
      <c r="I30" s="479" t="s">
        <v>1040</v>
      </c>
    </row>
    <row r="31" spans="1:9" x14ac:dyDescent="0.25">
      <c r="A31" s="479" t="s">
        <v>931</v>
      </c>
      <c r="B31" s="479" t="s">
        <v>412</v>
      </c>
      <c r="C31" s="479" t="s">
        <v>413</v>
      </c>
      <c r="D31" s="479" t="s">
        <v>414</v>
      </c>
      <c r="E31" s="479" t="s">
        <v>414</v>
      </c>
      <c r="F31" s="487">
        <v>0.76500000000000001</v>
      </c>
      <c r="G31" s="475">
        <v>67</v>
      </c>
      <c r="H31" s="486">
        <v>70</v>
      </c>
      <c r="I31" s="479" t="s">
        <v>932</v>
      </c>
    </row>
    <row r="32" spans="1:9" x14ac:dyDescent="0.25">
      <c r="A32" s="479" t="s">
        <v>2129</v>
      </c>
      <c r="B32" s="479" t="s">
        <v>412</v>
      </c>
      <c r="C32" s="479" t="s">
        <v>413</v>
      </c>
      <c r="D32" s="479" t="s">
        <v>428</v>
      </c>
      <c r="E32" s="479" t="s">
        <v>1194</v>
      </c>
      <c r="F32" s="487">
        <v>0.77500000000000002</v>
      </c>
      <c r="G32" s="475">
        <v>70</v>
      </c>
      <c r="H32" s="486">
        <v>82</v>
      </c>
      <c r="I32" s="479" t="s">
        <v>2063</v>
      </c>
    </row>
    <row r="33" spans="1:9" x14ac:dyDescent="0.25">
      <c r="A33" s="479" t="s">
        <v>442</v>
      </c>
      <c r="B33" s="479" t="s">
        <v>412</v>
      </c>
      <c r="C33" s="479" t="s">
        <v>413</v>
      </c>
      <c r="D33" s="479" t="s">
        <v>421</v>
      </c>
      <c r="E33" s="479" t="s">
        <v>424</v>
      </c>
      <c r="F33" s="487">
        <v>0.72499999999999998</v>
      </c>
      <c r="G33" s="475">
        <v>65</v>
      </c>
      <c r="H33" s="486">
        <v>70</v>
      </c>
      <c r="I33" s="479" t="s">
        <v>443</v>
      </c>
    </row>
    <row r="34" spans="1:9" x14ac:dyDescent="0.25">
      <c r="A34" s="472" t="s">
        <v>1598</v>
      </c>
      <c r="B34" s="472" t="s">
        <v>412</v>
      </c>
      <c r="C34" s="472" t="s">
        <v>1566</v>
      </c>
      <c r="D34" s="472" t="s">
        <v>428</v>
      </c>
      <c r="E34" s="472" t="s">
        <v>1590</v>
      </c>
      <c r="F34" s="485">
        <v>0.74</v>
      </c>
      <c r="G34" s="475">
        <v>62</v>
      </c>
      <c r="H34" s="486">
        <v>72</v>
      </c>
      <c r="I34" s="472" t="s">
        <v>1599</v>
      </c>
    </row>
    <row r="35" spans="1:9" x14ac:dyDescent="0.25">
      <c r="A35" s="472" t="s">
        <v>1600</v>
      </c>
      <c r="B35" s="472" t="s">
        <v>412</v>
      </c>
      <c r="C35" s="472" t="s">
        <v>1566</v>
      </c>
      <c r="D35" s="472" t="s">
        <v>417</v>
      </c>
      <c r="E35" s="472" t="s">
        <v>1590</v>
      </c>
      <c r="F35" s="485">
        <v>0.74</v>
      </c>
      <c r="G35" s="475">
        <v>65</v>
      </c>
      <c r="H35" s="486">
        <v>75</v>
      </c>
      <c r="I35" s="472" t="s">
        <v>1601</v>
      </c>
    </row>
    <row r="36" spans="1:9" x14ac:dyDescent="0.25">
      <c r="A36" s="472" t="s">
        <v>1602</v>
      </c>
      <c r="B36" s="472" t="s">
        <v>412</v>
      </c>
      <c r="C36" s="472" t="s">
        <v>1566</v>
      </c>
      <c r="D36" s="472" t="s">
        <v>414</v>
      </c>
      <c r="E36" s="472" t="s">
        <v>1174</v>
      </c>
      <c r="F36" s="485">
        <v>0.76</v>
      </c>
      <c r="G36" s="475">
        <v>65</v>
      </c>
      <c r="H36" s="486">
        <v>77</v>
      </c>
      <c r="I36" s="472" t="s">
        <v>1603</v>
      </c>
    </row>
    <row r="37" spans="1:9" x14ac:dyDescent="0.25">
      <c r="A37" s="472" t="s">
        <v>1604</v>
      </c>
      <c r="B37" s="472" t="s">
        <v>412</v>
      </c>
      <c r="C37" s="472" t="s">
        <v>1566</v>
      </c>
      <c r="D37" s="472" t="s">
        <v>414</v>
      </c>
      <c r="E37" s="472" t="s">
        <v>1605</v>
      </c>
      <c r="F37" s="485">
        <v>0.745</v>
      </c>
      <c r="G37" s="475">
        <v>65</v>
      </c>
      <c r="H37" s="486">
        <v>75</v>
      </c>
      <c r="I37" s="472" t="s">
        <v>1606</v>
      </c>
    </row>
    <row r="38" spans="1:9" x14ac:dyDescent="0.25">
      <c r="A38" s="472" t="s">
        <v>1607</v>
      </c>
      <c r="B38" s="472" t="s">
        <v>412</v>
      </c>
      <c r="C38" s="472" t="s">
        <v>1566</v>
      </c>
      <c r="D38" s="472" t="s">
        <v>414</v>
      </c>
      <c r="E38" s="472" t="s">
        <v>1590</v>
      </c>
      <c r="F38" s="485">
        <v>0.74</v>
      </c>
      <c r="G38" s="475">
        <v>68</v>
      </c>
      <c r="H38" s="486">
        <v>80</v>
      </c>
      <c r="I38" s="472" t="s">
        <v>1608</v>
      </c>
    </row>
    <row r="39" spans="1:9" x14ac:dyDescent="0.25">
      <c r="A39" s="472" t="s">
        <v>1609</v>
      </c>
      <c r="B39" s="472" t="s">
        <v>412</v>
      </c>
      <c r="C39" s="472" t="s">
        <v>1566</v>
      </c>
      <c r="D39" s="472" t="s">
        <v>414</v>
      </c>
      <c r="E39" s="472" t="s">
        <v>1174</v>
      </c>
      <c r="F39" s="485">
        <v>0.76</v>
      </c>
      <c r="G39" s="475">
        <v>68</v>
      </c>
      <c r="H39" s="486">
        <v>78</v>
      </c>
      <c r="I39" s="472" t="s">
        <v>1610</v>
      </c>
    </row>
    <row r="40" spans="1:9" x14ac:dyDescent="0.25">
      <c r="A40" s="472" t="s">
        <v>1611</v>
      </c>
      <c r="B40" s="472" t="s">
        <v>412</v>
      </c>
      <c r="C40" s="472" t="s">
        <v>1566</v>
      </c>
      <c r="D40" s="472" t="s">
        <v>423</v>
      </c>
      <c r="E40" s="472" t="s">
        <v>1176</v>
      </c>
      <c r="F40" s="485">
        <v>0.8</v>
      </c>
      <c r="G40" s="475">
        <v>65</v>
      </c>
      <c r="H40" s="486">
        <v>78</v>
      </c>
      <c r="I40" s="472" t="s">
        <v>1612</v>
      </c>
    </row>
    <row r="41" spans="1:9" x14ac:dyDescent="0.25">
      <c r="A41" s="479" t="s">
        <v>1078</v>
      </c>
      <c r="B41" s="479" t="s">
        <v>412</v>
      </c>
      <c r="C41" s="479" t="s">
        <v>878</v>
      </c>
      <c r="D41" s="479" t="s">
        <v>414</v>
      </c>
      <c r="E41" s="479" t="s">
        <v>414</v>
      </c>
      <c r="F41" s="487"/>
      <c r="G41" s="475">
        <v>75</v>
      </c>
      <c r="H41" s="486">
        <v>78</v>
      </c>
      <c r="I41" s="479" t="s">
        <v>1079</v>
      </c>
    </row>
    <row r="42" spans="1:9" x14ac:dyDescent="0.25">
      <c r="A42" s="479" t="s">
        <v>444</v>
      </c>
      <c r="B42" s="479" t="s">
        <v>412</v>
      </c>
      <c r="C42" s="479" t="s">
        <v>413</v>
      </c>
      <c r="D42" s="479" t="s">
        <v>414</v>
      </c>
      <c r="E42" s="479" t="s">
        <v>445</v>
      </c>
      <c r="F42" s="487">
        <v>0.77</v>
      </c>
      <c r="G42" s="475">
        <v>66</v>
      </c>
      <c r="H42" s="486">
        <v>72</v>
      </c>
      <c r="I42" s="479" t="s">
        <v>446</v>
      </c>
    </row>
    <row r="43" spans="1:9" x14ac:dyDescent="0.25">
      <c r="A43" s="479" t="s">
        <v>1006</v>
      </c>
      <c r="B43" s="479" t="s">
        <v>412</v>
      </c>
      <c r="C43" s="479" t="s">
        <v>427</v>
      </c>
      <c r="D43" s="479" t="s">
        <v>414</v>
      </c>
      <c r="E43" s="479" t="s">
        <v>429</v>
      </c>
      <c r="F43" s="487">
        <v>0.75</v>
      </c>
      <c r="G43" s="475">
        <v>46</v>
      </c>
      <c r="H43" s="486">
        <v>58</v>
      </c>
      <c r="I43" s="479" t="s">
        <v>1007</v>
      </c>
    </row>
    <row r="44" spans="1:9" x14ac:dyDescent="0.25">
      <c r="A44" s="479" t="s">
        <v>447</v>
      </c>
      <c r="B44" s="479" t="s">
        <v>412</v>
      </c>
      <c r="C44" s="479" t="s">
        <v>413</v>
      </c>
      <c r="D44" s="479" t="s">
        <v>423</v>
      </c>
      <c r="E44" s="479" t="s">
        <v>429</v>
      </c>
      <c r="F44" s="487">
        <v>0.75</v>
      </c>
      <c r="G44" s="475">
        <v>66</v>
      </c>
      <c r="H44" s="486">
        <v>70</v>
      </c>
      <c r="I44" s="479" t="s">
        <v>448</v>
      </c>
    </row>
    <row r="45" spans="1:9" x14ac:dyDescent="0.25">
      <c r="A45" s="479" t="s">
        <v>449</v>
      </c>
      <c r="B45" s="479" t="s">
        <v>412</v>
      </c>
      <c r="C45" s="479" t="s">
        <v>420</v>
      </c>
      <c r="D45" s="479" t="s">
        <v>421</v>
      </c>
      <c r="E45" s="479" t="s">
        <v>414</v>
      </c>
      <c r="F45" s="487"/>
      <c r="G45" s="475">
        <v>50</v>
      </c>
      <c r="H45" s="486">
        <v>57</v>
      </c>
      <c r="I45" s="479" t="s">
        <v>450</v>
      </c>
    </row>
    <row r="46" spans="1:9" x14ac:dyDescent="0.25">
      <c r="A46" s="479" t="s">
        <v>452</v>
      </c>
      <c r="B46" s="479" t="s">
        <v>412</v>
      </c>
      <c r="C46" s="479" t="s">
        <v>427</v>
      </c>
      <c r="D46" s="479" t="s">
        <v>423</v>
      </c>
      <c r="E46" s="479" t="s">
        <v>453</v>
      </c>
      <c r="F46" s="487">
        <v>0.73</v>
      </c>
      <c r="G46" s="475">
        <v>64</v>
      </c>
      <c r="H46" s="486">
        <v>75</v>
      </c>
      <c r="I46" s="479" t="s">
        <v>454</v>
      </c>
    </row>
    <row r="47" spans="1:9" x14ac:dyDescent="0.25">
      <c r="A47" s="479" t="s">
        <v>1088</v>
      </c>
      <c r="B47" s="479" t="s">
        <v>412</v>
      </c>
      <c r="C47" s="479" t="s">
        <v>427</v>
      </c>
      <c r="D47" s="479" t="s">
        <v>414</v>
      </c>
      <c r="E47" s="479" t="s">
        <v>429</v>
      </c>
      <c r="F47" s="487">
        <v>0.75</v>
      </c>
      <c r="G47" s="475">
        <v>64</v>
      </c>
      <c r="H47" s="486">
        <v>74</v>
      </c>
      <c r="I47" s="479" t="s">
        <v>451</v>
      </c>
    </row>
    <row r="48" spans="1:9" x14ac:dyDescent="0.25">
      <c r="A48" s="479" t="s">
        <v>1089</v>
      </c>
      <c r="B48" s="479" t="s">
        <v>487</v>
      </c>
      <c r="C48" s="479" t="s">
        <v>890</v>
      </c>
      <c r="D48" s="479" t="s">
        <v>423</v>
      </c>
      <c r="E48" s="479" t="s">
        <v>414</v>
      </c>
      <c r="F48" s="487"/>
      <c r="G48" s="475">
        <v>59</v>
      </c>
      <c r="H48" s="486">
        <v>86</v>
      </c>
      <c r="I48" s="479" t="s">
        <v>1090</v>
      </c>
    </row>
    <row r="49" spans="1:9" x14ac:dyDescent="0.25">
      <c r="A49" s="472" t="s">
        <v>1970</v>
      </c>
      <c r="B49" s="479" t="s">
        <v>412</v>
      </c>
      <c r="C49" s="479" t="s">
        <v>1925</v>
      </c>
      <c r="D49" s="479" t="s">
        <v>414</v>
      </c>
      <c r="E49" s="472" t="s">
        <v>1590</v>
      </c>
      <c r="F49" s="485">
        <v>0.74</v>
      </c>
      <c r="G49" s="475">
        <v>51</v>
      </c>
      <c r="H49" s="486">
        <v>62</v>
      </c>
      <c r="I49" s="472" t="s">
        <v>1971</v>
      </c>
    </row>
    <row r="50" spans="1:9" x14ac:dyDescent="0.25">
      <c r="A50" s="479" t="s">
        <v>455</v>
      </c>
      <c r="B50" s="479" t="s">
        <v>412</v>
      </c>
      <c r="C50" s="479" t="s">
        <v>413</v>
      </c>
      <c r="D50" s="479" t="s">
        <v>421</v>
      </c>
      <c r="E50" s="479" t="s">
        <v>437</v>
      </c>
      <c r="F50" s="487">
        <v>0.75</v>
      </c>
      <c r="G50" s="475">
        <v>65</v>
      </c>
      <c r="H50" s="486">
        <v>70</v>
      </c>
      <c r="I50" s="479" t="s">
        <v>456</v>
      </c>
    </row>
    <row r="51" spans="1:9" x14ac:dyDescent="0.25">
      <c r="A51" s="479" t="s">
        <v>1137</v>
      </c>
      <c r="B51" s="479" t="s">
        <v>412</v>
      </c>
      <c r="C51" s="479" t="s">
        <v>878</v>
      </c>
      <c r="D51" s="479" t="s">
        <v>414</v>
      </c>
      <c r="E51" s="479" t="s">
        <v>414</v>
      </c>
      <c r="F51" s="487">
        <v>0.75</v>
      </c>
      <c r="G51" s="475">
        <v>66</v>
      </c>
      <c r="H51" s="486">
        <v>72</v>
      </c>
      <c r="I51" s="479" t="s">
        <v>1145</v>
      </c>
    </row>
    <row r="52" spans="1:9" x14ac:dyDescent="0.25">
      <c r="A52" s="479" t="s">
        <v>933</v>
      </c>
      <c r="B52" s="479" t="s">
        <v>412</v>
      </c>
      <c r="C52" s="479" t="s">
        <v>878</v>
      </c>
      <c r="D52" s="479" t="s">
        <v>414</v>
      </c>
      <c r="E52" s="479" t="s">
        <v>1136</v>
      </c>
      <c r="F52" s="487">
        <v>0.75</v>
      </c>
      <c r="G52" s="475">
        <v>66</v>
      </c>
      <c r="H52" s="486">
        <v>72</v>
      </c>
      <c r="I52" s="479" t="s">
        <v>1142</v>
      </c>
    </row>
    <row r="53" spans="1:9" x14ac:dyDescent="0.25">
      <c r="A53" s="479" t="s">
        <v>1003</v>
      </c>
      <c r="B53" s="479" t="s">
        <v>412</v>
      </c>
      <c r="C53" s="479" t="s">
        <v>427</v>
      </c>
      <c r="D53" s="479" t="s">
        <v>428</v>
      </c>
      <c r="E53" s="479" t="s">
        <v>440</v>
      </c>
      <c r="F53" s="487">
        <v>0.76</v>
      </c>
      <c r="G53" s="475">
        <v>68</v>
      </c>
      <c r="H53" s="486">
        <v>78</v>
      </c>
      <c r="I53" s="479" t="s">
        <v>459</v>
      </c>
    </row>
    <row r="54" spans="1:9" x14ac:dyDescent="0.25">
      <c r="A54" s="479" t="s">
        <v>457</v>
      </c>
      <c r="B54" s="479" t="s">
        <v>412</v>
      </c>
      <c r="C54" s="479" t="s">
        <v>427</v>
      </c>
      <c r="D54" s="479" t="s">
        <v>414</v>
      </c>
      <c r="E54" s="479" t="s">
        <v>429</v>
      </c>
      <c r="F54" s="487">
        <v>0.75</v>
      </c>
      <c r="G54" s="475">
        <v>65</v>
      </c>
      <c r="H54" s="486">
        <v>75</v>
      </c>
      <c r="I54" s="479" t="s">
        <v>458</v>
      </c>
    </row>
    <row r="55" spans="1:9" x14ac:dyDescent="0.25">
      <c r="A55" s="472" t="s">
        <v>1959</v>
      </c>
      <c r="B55" s="479" t="s">
        <v>412</v>
      </c>
      <c r="C55" s="479" t="s">
        <v>1925</v>
      </c>
      <c r="D55" s="479" t="s">
        <v>421</v>
      </c>
      <c r="E55" s="472" t="s">
        <v>1960</v>
      </c>
      <c r="F55" s="485">
        <v>0.78500000000000003</v>
      </c>
      <c r="G55" s="475">
        <v>65</v>
      </c>
      <c r="H55" s="486">
        <v>78</v>
      </c>
      <c r="I55" s="472" t="s">
        <v>1961</v>
      </c>
    </row>
    <row r="56" spans="1:9" x14ac:dyDescent="0.25">
      <c r="A56" s="472" t="s">
        <v>1962</v>
      </c>
      <c r="B56" s="479" t="s">
        <v>412</v>
      </c>
      <c r="C56" s="479" t="s">
        <v>1925</v>
      </c>
      <c r="D56" s="479" t="s">
        <v>414</v>
      </c>
      <c r="E56" s="472" t="s">
        <v>1174</v>
      </c>
      <c r="F56" s="485">
        <v>0.76</v>
      </c>
      <c r="G56" s="475">
        <v>64</v>
      </c>
      <c r="H56" s="486">
        <v>78</v>
      </c>
      <c r="I56" s="472" t="s">
        <v>1963</v>
      </c>
    </row>
    <row r="57" spans="1:9" x14ac:dyDescent="0.25">
      <c r="A57" s="479" t="s">
        <v>460</v>
      </c>
      <c r="B57" s="479" t="s">
        <v>412</v>
      </c>
      <c r="C57" s="479" t="s">
        <v>413</v>
      </c>
      <c r="D57" s="479" t="s">
        <v>414</v>
      </c>
      <c r="E57" s="479" t="s">
        <v>461</v>
      </c>
      <c r="F57" s="487">
        <v>0.81499999999999995</v>
      </c>
      <c r="G57" s="475">
        <v>68</v>
      </c>
      <c r="H57" s="486">
        <v>78</v>
      </c>
      <c r="I57" s="479" t="s">
        <v>462</v>
      </c>
    </row>
    <row r="58" spans="1:9" x14ac:dyDescent="0.25">
      <c r="A58" s="479" t="s">
        <v>934</v>
      </c>
      <c r="B58" s="479" t="s">
        <v>487</v>
      </c>
      <c r="C58" s="479" t="s">
        <v>890</v>
      </c>
      <c r="D58" s="479" t="s">
        <v>414</v>
      </c>
      <c r="E58" s="479" t="s">
        <v>421</v>
      </c>
      <c r="F58" s="487"/>
      <c r="G58" s="475">
        <v>79</v>
      </c>
      <c r="H58" s="486">
        <v>90</v>
      </c>
      <c r="I58" s="479" t="s">
        <v>935</v>
      </c>
    </row>
    <row r="59" spans="1:9" x14ac:dyDescent="0.25">
      <c r="A59" s="479" t="s">
        <v>463</v>
      </c>
      <c r="B59" s="479" t="s">
        <v>412</v>
      </c>
      <c r="C59" s="479" t="s">
        <v>427</v>
      </c>
      <c r="D59" s="479" t="s">
        <v>421</v>
      </c>
      <c r="E59" s="479" t="s">
        <v>434</v>
      </c>
      <c r="F59" s="487">
        <v>0.74</v>
      </c>
      <c r="G59" s="475">
        <v>65</v>
      </c>
      <c r="H59" s="486">
        <v>85</v>
      </c>
      <c r="I59" s="479" t="s">
        <v>464</v>
      </c>
    </row>
    <row r="60" spans="1:9" x14ac:dyDescent="0.25">
      <c r="A60" s="479" t="s">
        <v>936</v>
      </c>
      <c r="B60" s="479" t="s">
        <v>412</v>
      </c>
      <c r="C60" s="479" t="s">
        <v>427</v>
      </c>
      <c r="D60" s="479" t="s">
        <v>414</v>
      </c>
      <c r="E60" s="479" t="s">
        <v>1153</v>
      </c>
      <c r="F60" s="487">
        <v>0.76500000000000001</v>
      </c>
      <c r="G60" s="475">
        <v>65</v>
      </c>
      <c r="H60" s="486">
        <v>80</v>
      </c>
      <c r="I60" s="479" t="s">
        <v>1154</v>
      </c>
    </row>
    <row r="61" spans="1:9" x14ac:dyDescent="0.25">
      <c r="A61" s="479" t="s">
        <v>465</v>
      </c>
      <c r="B61" s="479" t="s">
        <v>412</v>
      </c>
      <c r="C61" s="479" t="s">
        <v>413</v>
      </c>
      <c r="D61" s="479" t="s">
        <v>423</v>
      </c>
      <c r="E61" s="479" t="s">
        <v>466</v>
      </c>
      <c r="F61" s="487">
        <v>0.755</v>
      </c>
      <c r="G61" s="475">
        <v>68</v>
      </c>
      <c r="H61" s="486">
        <v>75</v>
      </c>
      <c r="I61" s="479" t="s">
        <v>467</v>
      </c>
    </row>
    <row r="62" spans="1:9" x14ac:dyDescent="0.25">
      <c r="A62" s="479" t="s">
        <v>900</v>
      </c>
      <c r="B62" s="479" t="s">
        <v>412</v>
      </c>
      <c r="C62" s="479" t="s">
        <v>413</v>
      </c>
      <c r="D62" s="479" t="s">
        <v>414</v>
      </c>
      <c r="E62" s="479" t="s">
        <v>414</v>
      </c>
      <c r="F62" s="487">
        <v>0.75</v>
      </c>
      <c r="G62" s="475">
        <v>50</v>
      </c>
      <c r="H62" s="486">
        <v>55</v>
      </c>
      <c r="I62" s="479" t="s">
        <v>901</v>
      </c>
    </row>
    <row r="63" spans="1:9" x14ac:dyDescent="0.25">
      <c r="A63" s="479" t="s">
        <v>962</v>
      </c>
      <c r="B63" s="479" t="s">
        <v>412</v>
      </c>
      <c r="C63" s="479" t="s">
        <v>427</v>
      </c>
      <c r="D63" s="479" t="s">
        <v>428</v>
      </c>
      <c r="E63" s="479" t="s">
        <v>472</v>
      </c>
      <c r="F63" s="487">
        <v>0.7</v>
      </c>
      <c r="G63" s="475">
        <v>63</v>
      </c>
      <c r="H63" s="486">
        <v>75</v>
      </c>
      <c r="I63" s="479" t="s">
        <v>963</v>
      </c>
    </row>
    <row r="64" spans="1:9" x14ac:dyDescent="0.25">
      <c r="A64" s="479" t="s">
        <v>468</v>
      </c>
      <c r="B64" s="479" t="s">
        <v>412</v>
      </c>
      <c r="C64" s="479" t="s">
        <v>427</v>
      </c>
      <c r="D64" s="479" t="s">
        <v>423</v>
      </c>
      <c r="E64" s="479" t="s">
        <v>469</v>
      </c>
      <c r="F64" s="487">
        <v>0.78</v>
      </c>
      <c r="G64" s="475">
        <v>70</v>
      </c>
      <c r="H64" s="486">
        <v>95</v>
      </c>
      <c r="I64" s="479" t="s">
        <v>470</v>
      </c>
    </row>
    <row r="65" spans="1:9" x14ac:dyDescent="0.25">
      <c r="A65" s="479" t="s">
        <v>471</v>
      </c>
      <c r="B65" s="479" t="s">
        <v>412</v>
      </c>
      <c r="C65" s="479" t="s">
        <v>413</v>
      </c>
      <c r="D65" s="479" t="s">
        <v>414</v>
      </c>
      <c r="E65" s="479" t="s">
        <v>472</v>
      </c>
      <c r="F65" s="487">
        <v>0.7</v>
      </c>
      <c r="G65" s="475">
        <v>68</v>
      </c>
      <c r="H65" s="486">
        <v>75</v>
      </c>
      <c r="I65" s="479" t="s">
        <v>473</v>
      </c>
    </row>
    <row r="66" spans="1:9" x14ac:dyDescent="0.25">
      <c r="A66" s="472" t="s">
        <v>1966</v>
      </c>
      <c r="B66" s="479" t="s">
        <v>412</v>
      </c>
      <c r="C66" s="479" t="s">
        <v>1925</v>
      </c>
      <c r="D66" s="479" t="s">
        <v>414</v>
      </c>
      <c r="E66" s="472" t="s">
        <v>1153</v>
      </c>
      <c r="F66" s="485">
        <v>0.76500000000000001</v>
      </c>
      <c r="G66" s="475">
        <v>70</v>
      </c>
      <c r="H66" s="486">
        <v>84</v>
      </c>
      <c r="I66" s="472" t="s">
        <v>1965</v>
      </c>
    </row>
    <row r="67" spans="1:9" x14ac:dyDescent="0.25">
      <c r="A67" s="479" t="s">
        <v>937</v>
      </c>
      <c r="B67" s="479" t="s">
        <v>412</v>
      </c>
      <c r="C67" s="479" t="s">
        <v>413</v>
      </c>
      <c r="D67" s="479" t="s">
        <v>414</v>
      </c>
      <c r="E67" s="479" t="s">
        <v>421</v>
      </c>
      <c r="F67" s="487">
        <v>0.81499999999999995</v>
      </c>
      <c r="G67" s="475">
        <v>68</v>
      </c>
      <c r="H67" s="486">
        <v>78</v>
      </c>
      <c r="I67" s="479" t="s">
        <v>938</v>
      </c>
    </row>
    <row r="68" spans="1:9" x14ac:dyDescent="0.25">
      <c r="A68" s="479" t="s">
        <v>939</v>
      </c>
      <c r="B68" s="479" t="s">
        <v>412</v>
      </c>
      <c r="C68" s="479" t="s">
        <v>413</v>
      </c>
      <c r="D68" s="479" t="s">
        <v>428</v>
      </c>
      <c r="E68" s="479" t="s">
        <v>414</v>
      </c>
      <c r="F68" s="487"/>
      <c r="G68" s="475">
        <v>68</v>
      </c>
      <c r="H68" s="486">
        <v>75</v>
      </c>
      <c r="I68" s="479" t="s">
        <v>940</v>
      </c>
    </row>
    <row r="69" spans="1:9" x14ac:dyDescent="0.25">
      <c r="A69" s="479" t="s">
        <v>941</v>
      </c>
      <c r="B69" s="479" t="s">
        <v>412</v>
      </c>
      <c r="C69" s="479" t="s">
        <v>427</v>
      </c>
      <c r="D69" s="479" t="s">
        <v>414</v>
      </c>
      <c r="E69" s="487" t="s">
        <v>429</v>
      </c>
      <c r="F69" s="487">
        <v>0.75</v>
      </c>
      <c r="G69" s="475">
        <v>62</v>
      </c>
      <c r="H69" s="486">
        <v>74</v>
      </c>
      <c r="I69" s="479" t="s">
        <v>1155</v>
      </c>
    </row>
    <row r="70" spans="1:9" x14ac:dyDescent="0.25">
      <c r="A70" s="479" t="s">
        <v>964</v>
      </c>
      <c r="B70" s="479" t="s">
        <v>412</v>
      </c>
      <c r="C70" s="479" t="s">
        <v>413</v>
      </c>
      <c r="D70" s="479" t="s">
        <v>428</v>
      </c>
      <c r="E70" s="479" t="s">
        <v>507</v>
      </c>
      <c r="F70" s="487">
        <v>0.75</v>
      </c>
      <c r="G70" s="475">
        <v>80</v>
      </c>
      <c r="H70" s="486">
        <v>85</v>
      </c>
      <c r="I70" s="479" t="s">
        <v>965</v>
      </c>
    </row>
    <row r="71" spans="1:9" x14ac:dyDescent="0.25">
      <c r="A71" s="479" t="s">
        <v>942</v>
      </c>
      <c r="B71" s="479" t="s">
        <v>412</v>
      </c>
      <c r="C71" s="479" t="s">
        <v>427</v>
      </c>
      <c r="D71" s="479" t="s">
        <v>414</v>
      </c>
      <c r="E71" s="479" t="s">
        <v>1156</v>
      </c>
      <c r="F71" s="487">
        <v>0.77500000000000002</v>
      </c>
      <c r="G71" s="475">
        <v>65</v>
      </c>
      <c r="H71" s="486">
        <v>75</v>
      </c>
      <c r="I71" s="479" t="s">
        <v>1157</v>
      </c>
    </row>
    <row r="72" spans="1:9" x14ac:dyDescent="0.25">
      <c r="A72" s="479" t="s">
        <v>474</v>
      </c>
      <c r="B72" s="479" t="s">
        <v>412</v>
      </c>
      <c r="C72" s="479" t="s">
        <v>427</v>
      </c>
      <c r="D72" s="479" t="s">
        <v>423</v>
      </c>
      <c r="E72" s="479" t="s">
        <v>440</v>
      </c>
      <c r="F72" s="487">
        <v>0.76</v>
      </c>
      <c r="G72" s="475">
        <v>64</v>
      </c>
      <c r="H72" s="486">
        <v>80</v>
      </c>
      <c r="I72" s="479" t="s">
        <v>475</v>
      </c>
    </row>
    <row r="73" spans="1:9" x14ac:dyDescent="0.25">
      <c r="A73" s="479" t="s">
        <v>1004</v>
      </c>
      <c r="B73" s="479" t="s">
        <v>412</v>
      </c>
      <c r="C73" s="479" t="s">
        <v>413</v>
      </c>
      <c r="D73" s="479" t="s">
        <v>414</v>
      </c>
      <c r="E73" s="479" t="s">
        <v>421</v>
      </c>
      <c r="F73" s="487">
        <v>0.81499999999999995</v>
      </c>
      <c r="G73" s="475">
        <v>66</v>
      </c>
      <c r="H73" s="486">
        <v>72</v>
      </c>
      <c r="I73" s="479" t="s">
        <v>1005</v>
      </c>
    </row>
    <row r="74" spans="1:9" x14ac:dyDescent="0.25">
      <c r="A74" s="479" t="s">
        <v>476</v>
      </c>
      <c r="B74" s="479" t="s">
        <v>412</v>
      </c>
      <c r="C74" s="479" t="s">
        <v>413</v>
      </c>
      <c r="D74" s="479" t="s">
        <v>414</v>
      </c>
      <c r="E74" s="479" t="s">
        <v>445</v>
      </c>
      <c r="F74" s="487">
        <v>0.77</v>
      </c>
      <c r="G74" s="475">
        <v>68</v>
      </c>
      <c r="H74" s="486">
        <v>75</v>
      </c>
      <c r="I74" s="479" t="s">
        <v>477</v>
      </c>
    </row>
    <row r="75" spans="1:9" x14ac:dyDescent="0.25">
      <c r="A75" s="479" t="s">
        <v>943</v>
      </c>
      <c r="B75" s="479" t="s">
        <v>412</v>
      </c>
      <c r="C75" s="479" t="s">
        <v>413</v>
      </c>
      <c r="D75" s="479" t="s">
        <v>414</v>
      </c>
      <c r="E75" s="479" t="s">
        <v>507</v>
      </c>
      <c r="F75" s="487">
        <v>0.75</v>
      </c>
      <c r="G75" s="475">
        <v>70</v>
      </c>
      <c r="H75" s="486">
        <v>80</v>
      </c>
      <c r="I75" s="479" t="s">
        <v>944</v>
      </c>
    </row>
    <row r="76" spans="1:9" x14ac:dyDescent="0.25">
      <c r="A76" s="479" t="s">
        <v>478</v>
      </c>
      <c r="B76" s="479" t="s">
        <v>412</v>
      </c>
      <c r="C76" s="479" t="s">
        <v>427</v>
      </c>
      <c r="D76" s="479" t="s">
        <v>414</v>
      </c>
      <c r="E76" s="479" t="s">
        <v>434</v>
      </c>
      <c r="F76" s="487">
        <v>0.74</v>
      </c>
      <c r="G76" s="475">
        <v>64</v>
      </c>
      <c r="H76" s="486">
        <v>74</v>
      </c>
      <c r="I76" s="479" t="s">
        <v>479</v>
      </c>
    </row>
    <row r="77" spans="1:9" x14ac:dyDescent="0.25">
      <c r="A77" s="479" t="s">
        <v>945</v>
      </c>
      <c r="B77" s="479" t="s">
        <v>412</v>
      </c>
      <c r="C77" s="479" t="s">
        <v>878</v>
      </c>
      <c r="D77" s="479" t="s">
        <v>423</v>
      </c>
      <c r="E77" s="479" t="s">
        <v>414</v>
      </c>
      <c r="F77" s="487">
        <v>0.76</v>
      </c>
      <c r="G77" s="475">
        <v>72</v>
      </c>
      <c r="H77" s="486">
        <v>75</v>
      </c>
      <c r="I77" s="479" t="s">
        <v>1144</v>
      </c>
    </row>
    <row r="78" spans="1:9" x14ac:dyDescent="0.25">
      <c r="A78" s="479" t="s">
        <v>480</v>
      </c>
      <c r="B78" s="479" t="s">
        <v>412</v>
      </c>
      <c r="C78" s="479" t="s">
        <v>413</v>
      </c>
      <c r="D78" s="479" t="s">
        <v>428</v>
      </c>
      <c r="E78" s="479" t="s">
        <v>440</v>
      </c>
      <c r="F78" s="487">
        <v>0.76</v>
      </c>
      <c r="G78" s="475">
        <v>67</v>
      </c>
      <c r="H78" s="486">
        <v>74</v>
      </c>
      <c r="I78" s="479" t="s">
        <v>481</v>
      </c>
    </row>
    <row r="79" spans="1:9" x14ac:dyDescent="0.25">
      <c r="A79" s="479" t="s">
        <v>482</v>
      </c>
      <c r="B79" s="479" t="s">
        <v>412</v>
      </c>
      <c r="C79" s="479" t="s">
        <v>413</v>
      </c>
      <c r="D79" s="479" t="s">
        <v>428</v>
      </c>
      <c r="E79" s="479" t="s">
        <v>424</v>
      </c>
      <c r="F79" s="487">
        <v>0.72499999999999998</v>
      </c>
      <c r="G79" s="475">
        <v>67</v>
      </c>
      <c r="H79" s="486">
        <v>74</v>
      </c>
      <c r="I79" s="479" t="s">
        <v>483</v>
      </c>
    </row>
    <row r="80" spans="1:9" x14ac:dyDescent="0.25">
      <c r="A80" s="479" t="s">
        <v>484</v>
      </c>
      <c r="B80" s="479" t="s">
        <v>412</v>
      </c>
      <c r="C80" s="479" t="s">
        <v>427</v>
      </c>
      <c r="D80" s="479" t="s">
        <v>414</v>
      </c>
      <c r="E80" s="479" t="s">
        <v>434</v>
      </c>
      <c r="F80" s="487">
        <v>0.74</v>
      </c>
      <c r="G80" s="475">
        <v>60</v>
      </c>
      <c r="H80" s="486">
        <v>75</v>
      </c>
      <c r="I80" s="479" t="s">
        <v>485</v>
      </c>
    </row>
    <row r="81" spans="1:9" x14ac:dyDescent="0.25">
      <c r="A81" s="479" t="s">
        <v>946</v>
      </c>
      <c r="B81" s="479" t="s">
        <v>487</v>
      </c>
      <c r="C81" s="479" t="s">
        <v>863</v>
      </c>
      <c r="D81" s="479" t="s">
        <v>423</v>
      </c>
      <c r="E81" s="479" t="s">
        <v>421</v>
      </c>
      <c r="F81" s="487">
        <v>0.8</v>
      </c>
      <c r="G81" s="475">
        <v>59</v>
      </c>
      <c r="H81" s="486">
        <v>95</v>
      </c>
      <c r="I81" s="479" t="s">
        <v>947</v>
      </c>
    </row>
    <row r="82" spans="1:9" x14ac:dyDescent="0.25">
      <c r="A82" s="479" t="s">
        <v>966</v>
      </c>
      <c r="B82" s="479" t="s">
        <v>412</v>
      </c>
      <c r="C82" s="479" t="s">
        <v>878</v>
      </c>
      <c r="D82" s="479"/>
      <c r="E82" s="479" t="s">
        <v>125</v>
      </c>
      <c r="F82" s="487"/>
      <c r="G82" s="475">
        <v>70</v>
      </c>
      <c r="H82" s="486">
        <v>74</v>
      </c>
      <c r="I82" s="479" t="s">
        <v>967</v>
      </c>
    </row>
    <row r="83" spans="1:9" x14ac:dyDescent="0.25">
      <c r="A83" s="479" t="s">
        <v>1158</v>
      </c>
      <c r="B83" s="479" t="s">
        <v>412</v>
      </c>
      <c r="C83" s="479" t="s">
        <v>427</v>
      </c>
      <c r="D83" s="479" t="s">
        <v>423</v>
      </c>
      <c r="E83" s="479" t="s">
        <v>1159</v>
      </c>
      <c r="F83" s="487">
        <v>0.75</v>
      </c>
      <c r="G83" s="475">
        <v>68</v>
      </c>
      <c r="H83" s="486">
        <v>72</v>
      </c>
      <c r="I83" s="479" t="s">
        <v>1160</v>
      </c>
    </row>
    <row r="84" spans="1:9" x14ac:dyDescent="0.25">
      <c r="A84" s="479" t="s">
        <v>968</v>
      </c>
      <c r="B84" s="479" t="s">
        <v>412</v>
      </c>
      <c r="C84" s="479" t="s">
        <v>413</v>
      </c>
      <c r="D84" s="479" t="s">
        <v>414</v>
      </c>
      <c r="E84" s="479" t="s">
        <v>969</v>
      </c>
      <c r="F84" s="487">
        <v>0.71499999999999997</v>
      </c>
      <c r="G84" s="475">
        <v>68</v>
      </c>
      <c r="H84" s="486">
        <v>72</v>
      </c>
      <c r="I84" s="479" t="s">
        <v>970</v>
      </c>
    </row>
    <row r="85" spans="1:9" x14ac:dyDescent="0.25">
      <c r="A85" s="479" t="s">
        <v>1161</v>
      </c>
      <c r="B85" s="479" t="s">
        <v>412</v>
      </c>
      <c r="C85" s="479" t="s">
        <v>427</v>
      </c>
      <c r="D85" s="479" t="s">
        <v>423</v>
      </c>
      <c r="E85" s="479" t="s">
        <v>1153</v>
      </c>
      <c r="F85" s="487">
        <v>0.76500000000000001</v>
      </c>
      <c r="G85" s="475">
        <v>70</v>
      </c>
      <c r="H85" s="486">
        <v>84</v>
      </c>
      <c r="I85" s="479" t="s">
        <v>1162</v>
      </c>
    </row>
    <row r="86" spans="1:9" x14ac:dyDescent="0.25">
      <c r="A86" s="479" t="s">
        <v>1008</v>
      </c>
      <c r="B86" s="479" t="s">
        <v>412</v>
      </c>
      <c r="C86" s="479" t="s">
        <v>427</v>
      </c>
      <c r="D86" s="479" t="s">
        <v>414</v>
      </c>
      <c r="E86" s="479" t="s">
        <v>429</v>
      </c>
      <c r="F86" s="487">
        <v>0.75</v>
      </c>
      <c r="G86" s="475">
        <v>45</v>
      </c>
      <c r="H86" s="486">
        <v>68</v>
      </c>
      <c r="I86" s="479" t="s">
        <v>1009</v>
      </c>
    </row>
    <row r="87" spans="1:9" x14ac:dyDescent="0.25">
      <c r="A87" s="479" t="s">
        <v>1058</v>
      </c>
      <c r="B87" s="479" t="s">
        <v>487</v>
      </c>
      <c r="C87" s="479" t="s">
        <v>890</v>
      </c>
      <c r="D87" s="479" t="s">
        <v>421</v>
      </c>
      <c r="E87" s="479" t="s">
        <v>421</v>
      </c>
      <c r="F87" s="487"/>
      <c r="G87" s="475">
        <v>50</v>
      </c>
      <c r="H87" s="486">
        <v>59</v>
      </c>
      <c r="I87" s="479" t="s">
        <v>1059</v>
      </c>
    </row>
    <row r="88" spans="1:9" x14ac:dyDescent="0.25">
      <c r="A88" s="479" t="s">
        <v>919</v>
      </c>
      <c r="B88" s="479" t="s">
        <v>412</v>
      </c>
      <c r="C88" s="479" t="s">
        <v>413</v>
      </c>
      <c r="D88" s="479" t="s">
        <v>414</v>
      </c>
      <c r="E88" s="479" t="s">
        <v>415</v>
      </c>
      <c r="F88" s="487">
        <v>0.77500000000000002</v>
      </c>
      <c r="G88" s="475">
        <v>72</v>
      </c>
      <c r="H88" s="486">
        <v>77</v>
      </c>
      <c r="I88" s="479" t="s">
        <v>920</v>
      </c>
    </row>
    <row r="89" spans="1:9" x14ac:dyDescent="0.25">
      <c r="A89" s="479" t="s">
        <v>971</v>
      </c>
      <c r="B89" s="479" t="s">
        <v>412</v>
      </c>
      <c r="C89" s="479" t="s">
        <v>878</v>
      </c>
      <c r="D89" s="479"/>
      <c r="E89" s="479" t="s">
        <v>125</v>
      </c>
      <c r="F89" s="487"/>
      <c r="G89" s="475" t="s">
        <v>125</v>
      </c>
      <c r="H89" s="486"/>
      <c r="I89" s="479" t="s">
        <v>972</v>
      </c>
    </row>
    <row r="90" spans="1:9" x14ac:dyDescent="0.25">
      <c r="A90" s="472" t="s">
        <v>1976</v>
      </c>
      <c r="B90" s="479" t="s">
        <v>412</v>
      </c>
      <c r="C90" s="479" t="s">
        <v>1925</v>
      </c>
      <c r="D90" s="472" t="s">
        <v>1091</v>
      </c>
      <c r="E90" s="472" t="s">
        <v>1974</v>
      </c>
      <c r="F90" s="485">
        <v>0.83</v>
      </c>
      <c r="G90" s="475">
        <v>68</v>
      </c>
      <c r="H90" s="486">
        <v>80</v>
      </c>
      <c r="I90" s="472" t="s">
        <v>1975</v>
      </c>
    </row>
    <row r="91" spans="1:9" x14ac:dyDescent="0.25">
      <c r="A91" s="472" t="s">
        <v>1977</v>
      </c>
      <c r="B91" s="472" t="s">
        <v>412</v>
      </c>
      <c r="C91" s="479" t="s">
        <v>1925</v>
      </c>
      <c r="D91" s="472" t="s">
        <v>1091</v>
      </c>
      <c r="E91" s="472" t="s">
        <v>1944</v>
      </c>
      <c r="F91" s="485">
        <v>0.92500000000000004</v>
      </c>
      <c r="G91" s="475">
        <v>68</v>
      </c>
      <c r="H91" s="486">
        <v>80</v>
      </c>
      <c r="I91" s="472" t="s">
        <v>1978</v>
      </c>
    </row>
    <row r="92" spans="1:9" x14ac:dyDescent="0.25">
      <c r="A92" s="472" t="s">
        <v>1979</v>
      </c>
      <c r="B92" s="479" t="s">
        <v>412</v>
      </c>
      <c r="C92" s="479" t="s">
        <v>1925</v>
      </c>
      <c r="D92" s="472" t="s">
        <v>1091</v>
      </c>
      <c r="E92" s="472" t="s">
        <v>1944</v>
      </c>
      <c r="F92" s="485">
        <v>0.92500000000000004</v>
      </c>
      <c r="G92" s="475">
        <v>68</v>
      </c>
      <c r="H92" s="486">
        <v>80</v>
      </c>
      <c r="I92" s="472" t="s">
        <v>1980</v>
      </c>
    </row>
    <row r="93" spans="1:9" x14ac:dyDescent="0.25">
      <c r="A93" s="479" t="s">
        <v>973</v>
      </c>
      <c r="B93" s="479" t="s">
        <v>412</v>
      </c>
      <c r="C93" s="479" t="s">
        <v>878</v>
      </c>
      <c r="D93" s="479"/>
      <c r="E93" s="479" t="s">
        <v>125</v>
      </c>
      <c r="F93" s="487"/>
      <c r="G93" s="475" t="s">
        <v>125</v>
      </c>
      <c r="H93" s="486"/>
      <c r="I93" s="479" t="s">
        <v>974</v>
      </c>
    </row>
    <row r="94" spans="1:9" x14ac:dyDescent="0.25">
      <c r="A94" s="479" t="s">
        <v>975</v>
      </c>
      <c r="B94" s="479" t="s">
        <v>412</v>
      </c>
      <c r="C94" s="479" t="s">
        <v>878</v>
      </c>
      <c r="D94" s="479"/>
      <c r="E94" s="479" t="s">
        <v>125</v>
      </c>
      <c r="F94" s="487"/>
      <c r="G94" s="475">
        <v>60</v>
      </c>
      <c r="H94" s="486">
        <v>74</v>
      </c>
      <c r="I94" s="479" t="s">
        <v>976</v>
      </c>
    </row>
    <row r="95" spans="1:9" x14ac:dyDescent="0.25">
      <c r="A95" s="479" t="s">
        <v>977</v>
      </c>
      <c r="B95" s="479" t="s">
        <v>412</v>
      </c>
      <c r="C95" s="479" t="s">
        <v>878</v>
      </c>
      <c r="D95" s="479"/>
      <c r="E95" s="479" t="s">
        <v>125</v>
      </c>
      <c r="F95" s="487"/>
      <c r="G95" s="475" t="s">
        <v>125</v>
      </c>
      <c r="H95" s="486"/>
      <c r="I95" s="479" t="s">
        <v>978</v>
      </c>
    </row>
    <row r="96" spans="1:9" x14ac:dyDescent="0.25">
      <c r="A96" s="479" t="s">
        <v>979</v>
      </c>
      <c r="B96" s="479" t="s">
        <v>412</v>
      </c>
      <c r="C96" s="479" t="s">
        <v>427</v>
      </c>
      <c r="D96" s="479" t="s">
        <v>414</v>
      </c>
      <c r="E96" s="479" t="s">
        <v>421</v>
      </c>
      <c r="F96" s="487"/>
      <c r="G96" s="475">
        <v>60</v>
      </c>
      <c r="H96" s="486">
        <v>75</v>
      </c>
      <c r="I96" s="479" t="s">
        <v>980</v>
      </c>
    </row>
    <row r="97" spans="1:9" x14ac:dyDescent="0.25">
      <c r="A97" s="479" t="s">
        <v>981</v>
      </c>
      <c r="B97" s="479" t="s">
        <v>412</v>
      </c>
      <c r="C97" s="479" t="s">
        <v>427</v>
      </c>
      <c r="D97" s="479" t="s">
        <v>414</v>
      </c>
      <c r="E97" s="479" t="s">
        <v>421</v>
      </c>
      <c r="F97" s="487"/>
      <c r="G97" s="475">
        <v>60</v>
      </c>
      <c r="H97" s="486">
        <v>75</v>
      </c>
      <c r="I97" s="479" t="s">
        <v>982</v>
      </c>
    </row>
    <row r="98" spans="1:9" x14ac:dyDescent="0.25">
      <c r="A98" s="479" t="s">
        <v>2095</v>
      </c>
      <c r="B98" s="479" t="s">
        <v>412</v>
      </c>
      <c r="C98" s="479" t="s">
        <v>413</v>
      </c>
      <c r="D98" s="479" t="s">
        <v>423</v>
      </c>
      <c r="E98" s="479" t="s">
        <v>1156</v>
      </c>
      <c r="F98" s="487">
        <v>0.77500000000000002</v>
      </c>
      <c r="G98" s="475">
        <v>70</v>
      </c>
      <c r="H98" s="486">
        <v>85</v>
      </c>
      <c r="I98" s="479" t="s">
        <v>2096</v>
      </c>
    </row>
    <row r="99" spans="1:9" x14ac:dyDescent="0.25">
      <c r="A99" s="479" t="s">
        <v>983</v>
      </c>
      <c r="B99" s="479" t="s">
        <v>412</v>
      </c>
      <c r="C99" s="479" t="s">
        <v>413</v>
      </c>
      <c r="D99" s="479" t="s">
        <v>423</v>
      </c>
      <c r="E99" s="484">
        <v>0.85</v>
      </c>
      <c r="F99" s="487">
        <v>0.85</v>
      </c>
      <c r="G99" s="475">
        <v>70</v>
      </c>
      <c r="H99" s="486">
        <v>85</v>
      </c>
      <c r="I99" s="479" t="s">
        <v>948</v>
      </c>
    </row>
    <row r="100" spans="1:9" x14ac:dyDescent="0.25">
      <c r="A100" s="479" t="s">
        <v>2099</v>
      </c>
      <c r="B100" s="479" t="s">
        <v>412</v>
      </c>
      <c r="C100" s="479" t="s">
        <v>413</v>
      </c>
      <c r="D100" s="479" t="s">
        <v>423</v>
      </c>
      <c r="E100" s="484">
        <v>0.85</v>
      </c>
      <c r="F100" s="487">
        <v>0.85</v>
      </c>
      <c r="G100" s="475">
        <v>70</v>
      </c>
      <c r="H100" s="486">
        <v>85</v>
      </c>
      <c r="I100" s="479" t="s">
        <v>2100</v>
      </c>
    </row>
    <row r="101" spans="1:9" x14ac:dyDescent="0.25">
      <c r="A101" s="479" t="s">
        <v>984</v>
      </c>
      <c r="B101" s="479" t="s">
        <v>412</v>
      </c>
      <c r="C101" s="479" t="s">
        <v>413</v>
      </c>
      <c r="D101" s="479" t="s">
        <v>423</v>
      </c>
      <c r="E101" s="479" t="s">
        <v>985</v>
      </c>
      <c r="F101" s="487">
        <v>0.77500000000000002</v>
      </c>
      <c r="G101" s="475">
        <v>85</v>
      </c>
      <c r="H101" s="486">
        <v>85</v>
      </c>
      <c r="I101" s="479" t="s">
        <v>986</v>
      </c>
    </row>
    <row r="102" spans="1:9" x14ac:dyDescent="0.25">
      <c r="A102" s="479" t="s">
        <v>987</v>
      </c>
      <c r="B102" s="479" t="s">
        <v>412</v>
      </c>
      <c r="C102" s="479" t="s">
        <v>413</v>
      </c>
      <c r="D102" s="479" t="s">
        <v>423</v>
      </c>
      <c r="E102" s="479" t="s">
        <v>985</v>
      </c>
      <c r="F102" s="487">
        <v>0.77500000000000002</v>
      </c>
      <c r="G102" s="475">
        <v>85</v>
      </c>
      <c r="H102" s="486">
        <v>85</v>
      </c>
      <c r="I102" s="479" t="s">
        <v>988</v>
      </c>
    </row>
    <row r="103" spans="1:9" x14ac:dyDescent="0.25">
      <c r="A103" s="479" t="s">
        <v>989</v>
      </c>
      <c r="B103" s="479" t="s">
        <v>412</v>
      </c>
      <c r="C103" s="479" t="s">
        <v>413</v>
      </c>
      <c r="D103" s="479" t="s">
        <v>423</v>
      </c>
      <c r="E103" s="479" t="s">
        <v>985</v>
      </c>
      <c r="F103" s="487">
        <v>0.77500000000000002</v>
      </c>
      <c r="G103" s="475">
        <v>85</v>
      </c>
      <c r="H103" s="486">
        <v>85</v>
      </c>
      <c r="I103" s="479" t="s">
        <v>990</v>
      </c>
    </row>
    <row r="104" spans="1:9" x14ac:dyDescent="0.25">
      <c r="A104" s="479" t="s">
        <v>486</v>
      </c>
      <c r="B104" s="479" t="s">
        <v>487</v>
      </c>
      <c r="C104" s="479" t="s">
        <v>488</v>
      </c>
      <c r="D104" s="479" t="s">
        <v>423</v>
      </c>
      <c r="E104" s="479" t="s">
        <v>421</v>
      </c>
      <c r="F104" s="487"/>
      <c r="G104" s="475">
        <v>64</v>
      </c>
      <c r="H104" s="486">
        <v>73</v>
      </c>
      <c r="I104" s="479" t="s">
        <v>489</v>
      </c>
    </row>
    <row r="105" spans="1:9" x14ac:dyDescent="0.25">
      <c r="A105" s="479" t="s">
        <v>490</v>
      </c>
      <c r="B105" s="479" t="s">
        <v>487</v>
      </c>
      <c r="C105" s="479" t="s">
        <v>488</v>
      </c>
      <c r="D105" s="479" t="s">
        <v>421</v>
      </c>
      <c r="E105" s="479" t="s">
        <v>421</v>
      </c>
      <c r="F105" s="487"/>
      <c r="G105" s="475">
        <v>50</v>
      </c>
      <c r="H105" s="486">
        <v>59</v>
      </c>
      <c r="I105" s="479" t="s">
        <v>491</v>
      </c>
    </row>
    <row r="106" spans="1:9" x14ac:dyDescent="0.25">
      <c r="A106" s="479" t="s">
        <v>864</v>
      </c>
      <c r="B106" s="479" t="s">
        <v>487</v>
      </c>
      <c r="C106" s="479" t="s">
        <v>488</v>
      </c>
      <c r="D106" s="479" t="s">
        <v>417</v>
      </c>
      <c r="E106" s="479" t="s">
        <v>125</v>
      </c>
      <c r="F106" s="487"/>
      <c r="G106" s="475">
        <v>64</v>
      </c>
      <c r="H106" s="486">
        <v>77</v>
      </c>
      <c r="I106" s="479" t="s">
        <v>865</v>
      </c>
    </row>
    <row r="107" spans="1:9" x14ac:dyDescent="0.25">
      <c r="A107" s="479" t="s">
        <v>492</v>
      </c>
      <c r="B107" s="479" t="s">
        <v>412</v>
      </c>
      <c r="C107" s="479" t="s">
        <v>427</v>
      </c>
      <c r="D107" s="479" t="s">
        <v>414</v>
      </c>
      <c r="E107" s="479" t="s">
        <v>493</v>
      </c>
      <c r="F107" s="487">
        <v>0.74</v>
      </c>
      <c r="G107" s="475">
        <v>64</v>
      </c>
      <c r="H107" s="486">
        <v>72</v>
      </c>
      <c r="I107" s="479" t="s">
        <v>494</v>
      </c>
    </row>
    <row r="108" spans="1:9" x14ac:dyDescent="0.25">
      <c r="A108" s="472" t="s">
        <v>1949</v>
      </c>
      <c r="B108" s="479" t="s">
        <v>412</v>
      </c>
      <c r="C108" s="479" t="s">
        <v>1925</v>
      </c>
      <c r="D108" s="479" t="s">
        <v>417</v>
      </c>
      <c r="E108" s="472" t="s">
        <v>1950</v>
      </c>
      <c r="F108" s="485">
        <v>0.75</v>
      </c>
      <c r="G108" s="475">
        <v>64</v>
      </c>
      <c r="H108" s="486">
        <v>72</v>
      </c>
      <c r="I108" s="472" t="s">
        <v>1951</v>
      </c>
    </row>
    <row r="109" spans="1:9" x14ac:dyDescent="0.25">
      <c r="A109" s="479" t="s">
        <v>495</v>
      </c>
      <c r="B109" s="479" t="s">
        <v>412</v>
      </c>
      <c r="C109" s="479" t="s">
        <v>427</v>
      </c>
      <c r="D109" s="479" t="s">
        <v>421</v>
      </c>
      <c r="E109" s="479" t="s">
        <v>493</v>
      </c>
      <c r="F109" s="487">
        <v>0.74</v>
      </c>
      <c r="G109" s="475">
        <v>63</v>
      </c>
      <c r="H109" s="486">
        <v>75</v>
      </c>
      <c r="I109" s="479" t="s">
        <v>496</v>
      </c>
    </row>
    <row r="110" spans="1:9" x14ac:dyDescent="0.25">
      <c r="A110" s="472" t="s">
        <v>1952</v>
      </c>
      <c r="B110" s="479" t="s">
        <v>412</v>
      </c>
      <c r="C110" s="479" t="s">
        <v>1925</v>
      </c>
      <c r="D110" s="479" t="s">
        <v>421</v>
      </c>
      <c r="E110" s="472" t="s">
        <v>1614</v>
      </c>
      <c r="F110" s="485">
        <v>0.73</v>
      </c>
      <c r="G110" s="475">
        <v>64</v>
      </c>
      <c r="H110" s="486">
        <v>74</v>
      </c>
      <c r="I110" s="472" t="s">
        <v>1953</v>
      </c>
    </row>
    <row r="111" spans="1:9" x14ac:dyDescent="0.25">
      <c r="A111" s="472" t="s">
        <v>1954</v>
      </c>
      <c r="B111" s="479" t="s">
        <v>412</v>
      </c>
      <c r="C111" s="479" t="s">
        <v>1925</v>
      </c>
      <c r="D111" s="472" t="s">
        <v>535</v>
      </c>
      <c r="E111" s="472" t="s">
        <v>1196</v>
      </c>
      <c r="F111" s="485">
        <v>0.69</v>
      </c>
      <c r="G111" s="475">
        <v>64</v>
      </c>
      <c r="H111" s="486">
        <v>72</v>
      </c>
      <c r="I111" s="472" t="s">
        <v>1955</v>
      </c>
    </row>
    <row r="112" spans="1:9" x14ac:dyDescent="0.25">
      <c r="A112" s="479" t="s">
        <v>497</v>
      </c>
      <c r="B112" s="479" t="s">
        <v>412</v>
      </c>
      <c r="C112" s="479" t="s">
        <v>413</v>
      </c>
      <c r="D112" s="479" t="s">
        <v>421</v>
      </c>
      <c r="E112" s="479" t="s">
        <v>415</v>
      </c>
      <c r="F112" s="487">
        <v>0.77500000000000002</v>
      </c>
      <c r="G112" s="475">
        <v>68</v>
      </c>
      <c r="H112" s="486">
        <v>75</v>
      </c>
      <c r="I112" s="479" t="s">
        <v>498</v>
      </c>
    </row>
    <row r="113" spans="1:9" x14ac:dyDescent="0.25">
      <c r="A113" s="479" t="s">
        <v>1041</v>
      </c>
      <c r="B113" s="479" t="s">
        <v>487</v>
      </c>
      <c r="C113" s="479" t="s">
        <v>890</v>
      </c>
      <c r="D113" s="479" t="s">
        <v>421</v>
      </c>
      <c r="E113" s="479" t="s">
        <v>421</v>
      </c>
      <c r="F113" s="487"/>
      <c r="G113" s="475">
        <v>57</v>
      </c>
      <c r="H113" s="486">
        <v>72</v>
      </c>
      <c r="I113" s="479" t="s">
        <v>1042</v>
      </c>
    </row>
    <row r="114" spans="1:9" x14ac:dyDescent="0.25">
      <c r="A114" s="479" t="s">
        <v>1026</v>
      </c>
      <c r="B114" s="479" t="s">
        <v>412</v>
      </c>
      <c r="C114" s="479" t="s">
        <v>427</v>
      </c>
      <c r="D114" s="479" t="s">
        <v>417</v>
      </c>
      <c r="E114" s="479" t="s">
        <v>1163</v>
      </c>
      <c r="F114" s="487">
        <v>0.755</v>
      </c>
      <c r="G114" s="475">
        <v>63</v>
      </c>
      <c r="H114" s="486">
        <v>72</v>
      </c>
      <c r="I114" s="479" t="s">
        <v>1164</v>
      </c>
    </row>
    <row r="115" spans="1:9" x14ac:dyDescent="0.25">
      <c r="A115" s="479" t="s">
        <v>1027</v>
      </c>
      <c r="B115" s="479" t="s">
        <v>412</v>
      </c>
      <c r="C115" s="479" t="s">
        <v>878</v>
      </c>
      <c r="D115" s="479" t="s">
        <v>423</v>
      </c>
      <c r="E115" s="479" t="s">
        <v>423</v>
      </c>
      <c r="F115" s="487"/>
      <c r="G115" s="475">
        <v>60</v>
      </c>
      <c r="H115" s="486">
        <v>68</v>
      </c>
      <c r="I115" s="479" t="s">
        <v>1028</v>
      </c>
    </row>
    <row r="116" spans="1:9" x14ac:dyDescent="0.25">
      <c r="A116" s="479" t="s">
        <v>2057</v>
      </c>
      <c r="B116" s="479" t="s">
        <v>412</v>
      </c>
      <c r="C116" s="479" t="s">
        <v>413</v>
      </c>
      <c r="D116" s="479" t="s">
        <v>414</v>
      </c>
      <c r="E116" s="479" t="s">
        <v>1191</v>
      </c>
      <c r="F116" s="487">
        <v>0.75</v>
      </c>
      <c r="G116" s="475">
        <v>67</v>
      </c>
      <c r="H116" s="486">
        <v>72</v>
      </c>
      <c r="I116" s="479" t="s">
        <v>2058</v>
      </c>
    </row>
    <row r="117" spans="1:9" x14ac:dyDescent="0.25">
      <c r="A117" s="479" t="s">
        <v>1054</v>
      </c>
      <c r="B117" s="479" t="s">
        <v>412</v>
      </c>
      <c r="C117" s="479" t="s">
        <v>427</v>
      </c>
      <c r="D117" s="479" t="s">
        <v>417</v>
      </c>
      <c r="E117" s="479" t="s">
        <v>554</v>
      </c>
      <c r="F117" s="487">
        <v>0.73</v>
      </c>
      <c r="G117" s="475">
        <v>48</v>
      </c>
      <c r="H117" s="486">
        <v>56</v>
      </c>
      <c r="I117" s="479" t="s">
        <v>1055</v>
      </c>
    </row>
    <row r="118" spans="1:9" x14ac:dyDescent="0.25">
      <c r="A118" s="479" t="s">
        <v>991</v>
      </c>
      <c r="B118" s="479" t="s">
        <v>412</v>
      </c>
      <c r="C118" s="479" t="s">
        <v>878</v>
      </c>
      <c r="D118" s="479"/>
      <c r="E118" s="479" t="s">
        <v>125</v>
      </c>
      <c r="F118" s="487"/>
      <c r="G118" s="475" t="s">
        <v>125</v>
      </c>
      <c r="H118" s="486"/>
      <c r="I118" s="479" t="s">
        <v>992</v>
      </c>
    </row>
    <row r="119" spans="1:9" x14ac:dyDescent="0.25">
      <c r="A119" s="479" t="s">
        <v>993</v>
      </c>
      <c r="B119" s="479" t="s">
        <v>412</v>
      </c>
      <c r="C119" s="479" t="s">
        <v>878</v>
      </c>
      <c r="D119" s="479"/>
      <c r="E119" s="479" t="s">
        <v>125</v>
      </c>
      <c r="F119" s="487"/>
      <c r="G119" s="475">
        <v>60</v>
      </c>
      <c r="H119" s="486">
        <v>74</v>
      </c>
      <c r="I119" s="479" t="s">
        <v>994</v>
      </c>
    </row>
    <row r="120" spans="1:9" x14ac:dyDescent="0.25">
      <c r="A120" s="479" t="s">
        <v>2069</v>
      </c>
      <c r="B120" s="479" t="s">
        <v>412</v>
      </c>
      <c r="C120" s="479" t="s">
        <v>413</v>
      </c>
      <c r="D120" s="479" t="s">
        <v>414</v>
      </c>
      <c r="E120" s="479" t="s">
        <v>1194</v>
      </c>
      <c r="F120" s="487">
        <v>0.77500000000000002</v>
      </c>
      <c r="G120" s="475">
        <v>67</v>
      </c>
      <c r="H120" s="486">
        <v>70</v>
      </c>
      <c r="I120" s="479" t="s">
        <v>2068</v>
      </c>
    </row>
    <row r="121" spans="1:9" x14ac:dyDescent="0.25">
      <c r="A121" s="479" t="s">
        <v>499</v>
      </c>
      <c r="B121" s="479" t="s">
        <v>412</v>
      </c>
      <c r="C121" s="479" t="s">
        <v>413</v>
      </c>
      <c r="D121" s="479" t="s">
        <v>414</v>
      </c>
      <c r="E121" s="479" t="s">
        <v>1029</v>
      </c>
      <c r="F121" s="487">
        <v>0.72</v>
      </c>
      <c r="G121" s="475">
        <v>68</v>
      </c>
      <c r="H121" s="486">
        <v>73</v>
      </c>
      <c r="I121" s="479" t="s">
        <v>500</v>
      </c>
    </row>
    <row r="122" spans="1:9" x14ac:dyDescent="0.25">
      <c r="A122" s="479" t="s">
        <v>1045</v>
      </c>
      <c r="B122" s="479" t="s">
        <v>412</v>
      </c>
      <c r="C122" s="479" t="s">
        <v>878</v>
      </c>
      <c r="D122" s="479" t="s">
        <v>414</v>
      </c>
      <c r="E122" s="479" t="s">
        <v>414</v>
      </c>
      <c r="F122" s="487">
        <v>0.74</v>
      </c>
      <c r="G122" s="475">
        <v>64</v>
      </c>
      <c r="H122" s="486">
        <v>69</v>
      </c>
      <c r="I122" s="479" t="s">
        <v>1147</v>
      </c>
    </row>
    <row r="123" spans="1:9" x14ac:dyDescent="0.25">
      <c r="A123" s="479" t="s">
        <v>1046</v>
      </c>
      <c r="B123" s="479" t="s">
        <v>487</v>
      </c>
      <c r="C123" s="479" t="s">
        <v>890</v>
      </c>
      <c r="D123" s="479" t="s">
        <v>421</v>
      </c>
      <c r="E123" s="479" t="s">
        <v>421</v>
      </c>
      <c r="F123" s="487"/>
      <c r="G123" s="475">
        <v>62</v>
      </c>
      <c r="H123" s="486">
        <v>74</v>
      </c>
      <c r="I123" s="479" t="s">
        <v>1047</v>
      </c>
    </row>
    <row r="124" spans="1:9" x14ac:dyDescent="0.25">
      <c r="A124" s="472" t="s">
        <v>1972</v>
      </c>
      <c r="B124" s="479" t="s">
        <v>412</v>
      </c>
      <c r="C124" s="479" t="s">
        <v>1925</v>
      </c>
      <c r="D124" s="479" t="s">
        <v>423</v>
      </c>
      <c r="E124" s="472" t="s">
        <v>1156</v>
      </c>
      <c r="F124" s="485">
        <v>0.77500000000000002</v>
      </c>
      <c r="G124" s="475">
        <v>68</v>
      </c>
      <c r="H124" s="486">
        <v>80</v>
      </c>
      <c r="I124" s="472" t="s">
        <v>1973</v>
      </c>
    </row>
    <row r="125" spans="1:9" x14ac:dyDescent="0.25">
      <c r="A125" s="479" t="s">
        <v>2055</v>
      </c>
      <c r="B125" s="479" t="s">
        <v>412</v>
      </c>
      <c r="C125" s="479" t="s">
        <v>413</v>
      </c>
      <c r="D125" s="479" t="s">
        <v>417</v>
      </c>
      <c r="E125" s="479" t="s">
        <v>424</v>
      </c>
      <c r="F125" s="487">
        <v>0.72499999999999998</v>
      </c>
      <c r="G125" s="475">
        <v>66</v>
      </c>
      <c r="H125" s="486">
        <v>70</v>
      </c>
      <c r="I125" s="479" t="s">
        <v>501</v>
      </c>
    </row>
    <row r="126" spans="1:9" x14ac:dyDescent="0.25">
      <c r="A126" s="479" t="s">
        <v>502</v>
      </c>
      <c r="B126" s="479" t="s">
        <v>412</v>
      </c>
      <c r="C126" s="479" t="s">
        <v>413</v>
      </c>
      <c r="D126" s="479" t="s">
        <v>414</v>
      </c>
      <c r="E126" s="479" t="s">
        <v>543</v>
      </c>
      <c r="F126" s="487">
        <v>0.76500000000000001</v>
      </c>
      <c r="G126" s="475">
        <v>68</v>
      </c>
      <c r="H126" s="486">
        <v>73</v>
      </c>
      <c r="I126" s="479" t="s">
        <v>503</v>
      </c>
    </row>
    <row r="127" spans="1:9" x14ac:dyDescent="0.25">
      <c r="A127" s="479" t="s">
        <v>2043</v>
      </c>
      <c r="B127" s="479" t="s">
        <v>412</v>
      </c>
      <c r="C127" s="479" t="s">
        <v>413</v>
      </c>
      <c r="D127" s="479"/>
      <c r="E127" s="479"/>
      <c r="F127" s="487"/>
      <c r="G127" s="475"/>
      <c r="H127" s="486"/>
      <c r="I127" s="479" t="s">
        <v>2044</v>
      </c>
    </row>
    <row r="128" spans="1:9" x14ac:dyDescent="0.25">
      <c r="A128" s="479" t="s">
        <v>902</v>
      </c>
      <c r="B128" s="479" t="s">
        <v>412</v>
      </c>
      <c r="C128" s="479" t="s">
        <v>427</v>
      </c>
      <c r="D128" s="479" t="s">
        <v>421</v>
      </c>
      <c r="E128" s="479" t="s">
        <v>525</v>
      </c>
      <c r="F128" s="487">
        <v>0.69</v>
      </c>
      <c r="G128" s="475">
        <v>58</v>
      </c>
      <c r="H128" s="486">
        <v>68</v>
      </c>
      <c r="I128" s="479" t="s">
        <v>903</v>
      </c>
    </row>
    <row r="129" spans="1:9" x14ac:dyDescent="0.25">
      <c r="A129" s="479" t="s">
        <v>949</v>
      </c>
      <c r="B129" s="479" t="s">
        <v>412</v>
      </c>
      <c r="C129" s="479" t="s">
        <v>427</v>
      </c>
      <c r="D129" s="479" t="s">
        <v>414</v>
      </c>
      <c r="E129" s="479" t="s">
        <v>1165</v>
      </c>
      <c r="F129" s="487">
        <v>0.77</v>
      </c>
      <c r="G129" s="475">
        <v>65</v>
      </c>
      <c r="H129" s="486">
        <v>80</v>
      </c>
      <c r="I129" s="479" t="s">
        <v>1166</v>
      </c>
    </row>
    <row r="130" spans="1:9" x14ac:dyDescent="0.25">
      <c r="A130" s="479" t="s">
        <v>866</v>
      </c>
      <c r="B130" s="479" t="s">
        <v>487</v>
      </c>
      <c r="C130" s="479" t="s">
        <v>863</v>
      </c>
      <c r="D130" s="479" t="s">
        <v>428</v>
      </c>
      <c r="E130" s="479" t="s">
        <v>125</v>
      </c>
      <c r="F130" s="487"/>
      <c r="G130" s="475">
        <v>59</v>
      </c>
      <c r="H130" s="486">
        <v>77</v>
      </c>
      <c r="I130" s="479" t="s">
        <v>867</v>
      </c>
    </row>
    <row r="131" spans="1:9" x14ac:dyDescent="0.25">
      <c r="A131" s="479" t="s">
        <v>2070</v>
      </c>
      <c r="B131" s="479" t="s">
        <v>412</v>
      </c>
      <c r="C131" s="479" t="s">
        <v>413</v>
      </c>
      <c r="D131" s="479" t="s">
        <v>423</v>
      </c>
      <c r="E131" s="479" t="s">
        <v>1191</v>
      </c>
      <c r="F131" s="487">
        <v>0.75</v>
      </c>
      <c r="G131" s="475">
        <v>55</v>
      </c>
      <c r="H131" s="486">
        <v>73</v>
      </c>
      <c r="I131" s="479" t="s">
        <v>2071</v>
      </c>
    </row>
    <row r="132" spans="1:9" x14ac:dyDescent="0.25">
      <c r="A132" s="479" t="s">
        <v>2130</v>
      </c>
      <c r="B132" s="479" t="s">
        <v>412</v>
      </c>
      <c r="C132" s="479" t="s">
        <v>413</v>
      </c>
      <c r="D132" s="479" t="s">
        <v>428</v>
      </c>
      <c r="E132" s="479" t="s">
        <v>1929</v>
      </c>
      <c r="F132" s="487">
        <v>0.78500000000000003</v>
      </c>
      <c r="G132" s="475">
        <v>68</v>
      </c>
      <c r="H132" s="486">
        <v>72</v>
      </c>
      <c r="I132" s="479" t="s">
        <v>2059</v>
      </c>
    </row>
    <row r="133" spans="1:9" x14ac:dyDescent="0.25">
      <c r="A133" s="479" t="s">
        <v>868</v>
      </c>
      <c r="B133" s="479" t="s">
        <v>487</v>
      </c>
      <c r="C133" s="479" t="s">
        <v>504</v>
      </c>
      <c r="D133" s="479" t="s">
        <v>421</v>
      </c>
      <c r="E133" s="479" t="s">
        <v>421</v>
      </c>
      <c r="F133" s="487"/>
      <c r="G133" s="475">
        <v>68</v>
      </c>
      <c r="H133" s="486">
        <v>80</v>
      </c>
      <c r="I133" s="479" t="s">
        <v>505</v>
      </c>
    </row>
    <row r="134" spans="1:9" x14ac:dyDescent="0.25">
      <c r="A134" s="479" t="s">
        <v>2124</v>
      </c>
      <c r="B134" s="479" t="s">
        <v>412</v>
      </c>
      <c r="C134" s="479" t="s">
        <v>413</v>
      </c>
      <c r="D134" s="479" t="s">
        <v>414</v>
      </c>
      <c r="E134" s="479" t="s">
        <v>1191</v>
      </c>
      <c r="F134" s="487">
        <v>0.75</v>
      </c>
      <c r="G134" s="475">
        <v>50</v>
      </c>
      <c r="H134" s="486">
        <v>58</v>
      </c>
      <c r="I134" s="479" t="s">
        <v>2123</v>
      </c>
    </row>
    <row r="135" spans="1:9" x14ac:dyDescent="0.25">
      <c r="A135" s="479" t="s">
        <v>904</v>
      </c>
      <c r="B135" s="479" t="s">
        <v>412</v>
      </c>
      <c r="C135" s="479" t="s">
        <v>413</v>
      </c>
      <c r="D135" s="479" t="s">
        <v>414</v>
      </c>
      <c r="E135" s="479" t="s">
        <v>415</v>
      </c>
      <c r="F135" s="487">
        <v>0.77500000000000002</v>
      </c>
      <c r="G135" s="475">
        <v>65</v>
      </c>
      <c r="H135" s="486">
        <v>70</v>
      </c>
      <c r="I135" s="479" t="s">
        <v>905</v>
      </c>
    </row>
    <row r="136" spans="1:9" x14ac:dyDescent="0.25">
      <c r="A136" s="479" t="s">
        <v>906</v>
      </c>
      <c r="B136" s="479" t="s">
        <v>412</v>
      </c>
      <c r="C136" s="479" t="s">
        <v>413</v>
      </c>
      <c r="D136" s="479" t="s">
        <v>423</v>
      </c>
      <c r="E136" s="479" t="s">
        <v>423</v>
      </c>
      <c r="F136" s="487">
        <v>0.68</v>
      </c>
      <c r="G136" s="475">
        <v>55</v>
      </c>
      <c r="H136" s="486">
        <v>58</v>
      </c>
      <c r="I136" s="479" t="s">
        <v>907</v>
      </c>
    </row>
    <row r="137" spans="1:9" x14ac:dyDescent="0.25">
      <c r="A137" s="479" t="s">
        <v>1060</v>
      </c>
      <c r="B137" s="479" t="s">
        <v>412</v>
      </c>
      <c r="C137" s="479" t="s">
        <v>413</v>
      </c>
      <c r="D137" s="479" t="s">
        <v>414</v>
      </c>
      <c r="E137" s="479" t="s">
        <v>415</v>
      </c>
      <c r="F137" s="487">
        <v>0.77500000000000002</v>
      </c>
      <c r="G137" s="475">
        <v>50</v>
      </c>
      <c r="H137" s="486">
        <v>55</v>
      </c>
      <c r="I137" s="479" t="s">
        <v>1061</v>
      </c>
    </row>
    <row r="138" spans="1:9" x14ac:dyDescent="0.25">
      <c r="A138" s="479" t="s">
        <v>1062</v>
      </c>
      <c r="B138" s="479" t="s">
        <v>412</v>
      </c>
      <c r="C138" s="479" t="s">
        <v>427</v>
      </c>
      <c r="D138" s="479" t="s">
        <v>414</v>
      </c>
      <c r="E138" s="479" t="s">
        <v>1015</v>
      </c>
      <c r="F138" s="487">
        <v>0.72</v>
      </c>
      <c r="G138" s="475">
        <v>50</v>
      </c>
      <c r="H138" s="486">
        <v>58</v>
      </c>
      <c r="I138" s="479" t="s">
        <v>1063</v>
      </c>
    </row>
    <row r="139" spans="1:9" x14ac:dyDescent="0.25">
      <c r="A139" s="479" t="s">
        <v>1064</v>
      </c>
      <c r="B139" s="479" t="s">
        <v>412</v>
      </c>
      <c r="C139" s="479" t="s">
        <v>427</v>
      </c>
      <c r="D139" s="479" t="s">
        <v>423</v>
      </c>
      <c r="E139" s="479" t="s">
        <v>429</v>
      </c>
      <c r="F139" s="487">
        <v>0.75</v>
      </c>
      <c r="G139" s="475">
        <v>46</v>
      </c>
      <c r="H139" s="486">
        <v>56</v>
      </c>
      <c r="I139" s="479" t="s">
        <v>1065</v>
      </c>
    </row>
    <row r="140" spans="1:9" x14ac:dyDescent="0.25">
      <c r="A140" s="479" t="s">
        <v>2131</v>
      </c>
      <c r="B140" s="479" t="s">
        <v>412</v>
      </c>
      <c r="C140" s="479" t="s">
        <v>413</v>
      </c>
      <c r="D140" s="479"/>
      <c r="E140" s="479"/>
      <c r="F140" s="487"/>
      <c r="G140" s="475"/>
      <c r="H140" s="486"/>
      <c r="I140" s="479" t="s">
        <v>2115</v>
      </c>
    </row>
    <row r="141" spans="1:9" x14ac:dyDescent="0.25">
      <c r="A141" s="479" t="s">
        <v>1167</v>
      </c>
      <c r="B141" s="479" t="s">
        <v>412</v>
      </c>
      <c r="C141" s="479" t="s">
        <v>427</v>
      </c>
      <c r="D141" s="479" t="s">
        <v>423</v>
      </c>
      <c r="E141" s="479" t="s">
        <v>1136</v>
      </c>
      <c r="F141" s="487">
        <v>0.75</v>
      </c>
      <c r="G141" s="475">
        <v>60</v>
      </c>
      <c r="H141" s="486">
        <v>70</v>
      </c>
      <c r="I141" s="479" t="s">
        <v>1168</v>
      </c>
    </row>
    <row r="142" spans="1:9" x14ac:dyDescent="0.25">
      <c r="A142" s="479" t="s">
        <v>1984</v>
      </c>
      <c r="B142" s="479" t="s">
        <v>487</v>
      </c>
      <c r="C142" s="479" t="s">
        <v>863</v>
      </c>
      <c r="D142" s="479" t="s">
        <v>421</v>
      </c>
      <c r="E142" s="479" t="s">
        <v>421</v>
      </c>
      <c r="F142" s="487">
        <v>0.78</v>
      </c>
      <c r="G142" s="475">
        <v>50</v>
      </c>
      <c r="H142" s="486">
        <v>59</v>
      </c>
      <c r="I142" s="479" t="s">
        <v>1985</v>
      </c>
    </row>
    <row r="143" spans="1:9" x14ac:dyDescent="0.25">
      <c r="A143" s="472" t="s">
        <v>1940</v>
      </c>
      <c r="B143" s="479" t="s">
        <v>412</v>
      </c>
      <c r="C143" s="479" t="s">
        <v>1925</v>
      </c>
      <c r="D143" s="479" t="s">
        <v>428</v>
      </c>
      <c r="E143" s="472" t="s">
        <v>1936</v>
      </c>
      <c r="F143" s="487">
        <v>0.76</v>
      </c>
      <c r="G143" s="475">
        <v>65</v>
      </c>
      <c r="H143" s="486">
        <v>72</v>
      </c>
      <c r="I143" s="472" t="s">
        <v>1937</v>
      </c>
    </row>
    <row r="144" spans="1:9" x14ac:dyDescent="0.25">
      <c r="A144" s="479" t="s">
        <v>506</v>
      </c>
      <c r="B144" s="479" t="s">
        <v>412</v>
      </c>
      <c r="C144" s="479" t="s">
        <v>413</v>
      </c>
      <c r="D144" s="479" t="s">
        <v>421</v>
      </c>
      <c r="E144" s="479" t="s">
        <v>507</v>
      </c>
      <c r="F144" s="487">
        <v>0.75</v>
      </c>
      <c r="G144" s="475">
        <v>65</v>
      </c>
      <c r="H144" s="486">
        <v>70</v>
      </c>
      <c r="I144" s="479" t="s">
        <v>508</v>
      </c>
    </row>
    <row r="145" spans="1:9" x14ac:dyDescent="0.25">
      <c r="A145" s="479" t="s">
        <v>509</v>
      </c>
      <c r="B145" s="479" t="s">
        <v>412</v>
      </c>
      <c r="C145" s="479" t="s">
        <v>413</v>
      </c>
      <c r="D145" s="479" t="s">
        <v>414</v>
      </c>
      <c r="E145" s="479" t="s">
        <v>510</v>
      </c>
      <c r="F145" s="487">
        <v>0.68500000000000005</v>
      </c>
      <c r="G145" s="475">
        <v>65</v>
      </c>
      <c r="H145" s="486">
        <v>69</v>
      </c>
      <c r="I145" s="479" t="s">
        <v>511</v>
      </c>
    </row>
    <row r="146" spans="1:9" x14ac:dyDescent="0.25">
      <c r="A146" s="479" t="s">
        <v>513</v>
      </c>
      <c r="B146" s="479" t="s">
        <v>412</v>
      </c>
      <c r="C146" s="479" t="s">
        <v>413</v>
      </c>
      <c r="D146" s="479" t="s">
        <v>428</v>
      </c>
      <c r="E146" s="479" t="s">
        <v>424</v>
      </c>
      <c r="F146" s="487">
        <v>0.72499999999999998</v>
      </c>
      <c r="G146" s="475">
        <v>68</v>
      </c>
      <c r="H146" s="486">
        <v>73</v>
      </c>
      <c r="I146" s="479" t="s">
        <v>514</v>
      </c>
    </row>
    <row r="147" spans="1:9" x14ac:dyDescent="0.25">
      <c r="A147" s="479" t="s">
        <v>869</v>
      </c>
      <c r="B147" s="479" t="s">
        <v>412</v>
      </c>
      <c r="C147" s="479" t="s">
        <v>413</v>
      </c>
      <c r="D147" s="479" t="s">
        <v>417</v>
      </c>
      <c r="E147" s="479" t="s">
        <v>414</v>
      </c>
      <c r="F147" s="487">
        <v>0.77500000000000002</v>
      </c>
      <c r="G147" s="475">
        <v>66</v>
      </c>
      <c r="H147" s="486">
        <v>70</v>
      </c>
      <c r="I147" s="479" t="s">
        <v>870</v>
      </c>
    </row>
    <row r="148" spans="1:9" x14ac:dyDescent="0.25">
      <c r="A148" s="479" t="s">
        <v>515</v>
      </c>
      <c r="B148" s="479" t="s">
        <v>412</v>
      </c>
      <c r="C148" s="479" t="s">
        <v>413</v>
      </c>
      <c r="D148" s="479" t="s">
        <v>414</v>
      </c>
      <c r="E148" s="479" t="s">
        <v>424</v>
      </c>
      <c r="F148" s="487">
        <v>0.72499999999999998</v>
      </c>
      <c r="G148" s="475">
        <v>65</v>
      </c>
      <c r="H148" s="486">
        <v>70</v>
      </c>
      <c r="I148" s="479" t="s">
        <v>516</v>
      </c>
    </row>
    <row r="149" spans="1:9" x14ac:dyDescent="0.25">
      <c r="A149" s="479" t="s">
        <v>1048</v>
      </c>
      <c r="B149" s="479" t="s">
        <v>412</v>
      </c>
      <c r="C149" s="479" t="s">
        <v>413</v>
      </c>
      <c r="D149" s="479" t="s">
        <v>417</v>
      </c>
      <c r="E149" s="479" t="s">
        <v>1049</v>
      </c>
      <c r="F149" s="487">
        <v>0.72499999999999998</v>
      </c>
      <c r="G149" s="475">
        <v>68</v>
      </c>
      <c r="H149" s="486">
        <v>72</v>
      </c>
      <c r="I149" s="479" t="s">
        <v>1050</v>
      </c>
    </row>
    <row r="150" spans="1:9" x14ac:dyDescent="0.25">
      <c r="A150" s="479" t="s">
        <v>517</v>
      </c>
      <c r="B150" s="479" t="s">
        <v>412</v>
      </c>
      <c r="C150" s="479" t="s">
        <v>420</v>
      </c>
      <c r="D150" s="479" t="s">
        <v>414</v>
      </c>
      <c r="E150" s="479" t="s">
        <v>421</v>
      </c>
      <c r="F150" s="487"/>
      <c r="G150" s="475">
        <v>59</v>
      </c>
      <c r="H150" s="486">
        <v>68</v>
      </c>
      <c r="I150" s="479" t="s">
        <v>518</v>
      </c>
    </row>
    <row r="151" spans="1:9" x14ac:dyDescent="0.25">
      <c r="A151" s="479" t="s">
        <v>519</v>
      </c>
      <c r="B151" s="479" t="s">
        <v>412</v>
      </c>
      <c r="C151" s="479" t="s">
        <v>413</v>
      </c>
      <c r="D151" s="479" t="s">
        <v>535</v>
      </c>
      <c r="E151" s="479" t="s">
        <v>1030</v>
      </c>
      <c r="F151" s="487">
        <v>0.66500000000000004</v>
      </c>
      <c r="G151" s="475">
        <v>65</v>
      </c>
      <c r="H151" s="486">
        <v>68</v>
      </c>
      <c r="I151" s="479" t="s">
        <v>520</v>
      </c>
    </row>
    <row r="152" spans="1:9" x14ac:dyDescent="0.25">
      <c r="A152" s="479" t="s">
        <v>1031</v>
      </c>
      <c r="B152" s="479" t="s">
        <v>412</v>
      </c>
      <c r="C152" s="479" t="s">
        <v>427</v>
      </c>
      <c r="D152" s="479" t="s">
        <v>421</v>
      </c>
      <c r="E152" s="479" t="s">
        <v>1169</v>
      </c>
      <c r="F152" s="487">
        <v>0.7</v>
      </c>
      <c r="G152" s="475">
        <v>64</v>
      </c>
      <c r="H152" s="486">
        <v>72</v>
      </c>
      <c r="I152" s="479" t="s">
        <v>1170</v>
      </c>
    </row>
    <row r="153" spans="1:9" x14ac:dyDescent="0.25">
      <c r="A153" s="479" t="s">
        <v>522</v>
      </c>
      <c r="B153" s="479" t="s">
        <v>412</v>
      </c>
      <c r="C153" s="479" t="s">
        <v>413</v>
      </c>
      <c r="D153" s="479" t="s">
        <v>417</v>
      </c>
      <c r="E153" s="479" t="s">
        <v>523</v>
      </c>
      <c r="F153" s="487">
        <v>0.73499999999999999</v>
      </c>
      <c r="G153" s="475">
        <v>66</v>
      </c>
      <c r="H153" s="486">
        <v>70</v>
      </c>
      <c r="I153" s="479" t="s">
        <v>524</v>
      </c>
    </row>
    <row r="154" spans="1:9" x14ac:dyDescent="0.25">
      <c r="A154" s="479" t="s">
        <v>526</v>
      </c>
      <c r="B154" s="479" t="s">
        <v>412</v>
      </c>
      <c r="C154" s="479" t="s">
        <v>413</v>
      </c>
      <c r="D154" s="479" t="s">
        <v>414</v>
      </c>
      <c r="E154" s="479" t="s">
        <v>527</v>
      </c>
      <c r="F154" s="487">
        <v>0.67500000000000004</v>
      </c>
      <c r="G154" s="475">
        <v>65</v>
      </c>
      <c r="H154" s="486">
        <v>70</v>
      </c>
      <c r="I154" s="479" t="s">
        <v>528</v>
      </c>
    </row>
    <row r="155" spans="1:9" x14ac:dyDescent="0.25">
      <c r="A155" s="479" t="s">
        <v>908</v>
      </c>
      <c r="B155" s="479" t="s">
        <v>412</v>
      </c>
      <c r="C155" s="479" t="s">
        <v>427</v>
      </c>
      <c r="D155" s="479" t="s">
        <v>423</v>
      </c>
      <c r="E155" s="479" t="s">
        <v>1159</v>
      </c>
      <c r="F155" s="487">
        <v>0.75</v>
      </c>
      <c r="G155" s="475">
        <v>46</v>
      </c>
      <c r="H155" s="486">
        <v>56</v>
      </c>
      <c r="I155" s="479" t="s">
        <v>1171</v>
      </c>
    </row>
    <row r="156" spans="1:9" x14ac:dyDescent="0.25">
      <c r="A156" s="472" t="s">
        <v>1622</v>
      </c>
      <c r="B156" s="472" t="s">
        <v>412</v>
      </c>
      <c r="C156" s="472" t="s">
        <v>1566</v>
      </c>
      <c r="D156" s="472" t="s">
        <v>423</v>
      </c>
      <c r="E156" s="472" t="s">
        <v>1623</v>
      </c>
      <c r="F156" s="485">
        <v>0.8</v>
      </c>
      <c r="G156" s="475">
        <v>68</v>
      </c>
      <c r="H156" s="486">
        <v>76</v>
      </c>
      <c r="I156" s="472" t="s">
        <v>1624</v>
      </c>
    </row>
    <row r="157" spans="1:9" x14ac:dyDescent="0.25">
      <c r="A157" s="479" t="s">
        <v>1172</v>
      </c>
      <c r="B157" s="479" t="s">
        <v>412</v>
      </c>
      <c r="C157" s="479" t="s">
        <v>427</v>
      </c>
      <c r="D157" s="479" t="s">
        <v>414</v>
      </c>
      <c r="E157" s="479" t="s">
        <v>1153</v>
      </c>
      <c r="F157" s="487">
        <v>0.76500000000000001</v>
      </c>
      <c r="G157" s="475">
        <v>70</v>
      </c>
      <c r="H157" s="486">
        <v>84</v>
      </c>
      <c r="I157" s="479" t="s">
        <v>1173</v>
      </c>
    </row>
    <row r="158" spans="1:9" x14ac:dyDescent="0.25">
      <c r="A158" s="479" t="s">
        <v>950</v>
      </c>
      <c r="B158" s="479" t="s">
        <v>412</v>
      </c>
      <c r="C158" s="479" t="s">
        <v>878</v>
      </c>
      <c r="D158" s="479"/>
      <c r="E158" s="479" t="s">
        <v>125</v>
      </c>
      <c r="F158" s="487"/>
      <c r="G158" s="475" t="s">
        <v>125</v>
      </c>
      <c r="H158" s="486"/>
      <c r="I158" s="479" t="s">
        <v>951</v>
      </c>
    </row>
    <row r="159" spans="1:9" x14ac:dyDescent="0.25">
      <c r="A159" s="479" t="s">
        <v>2125</v>
      </c>
      <c r="B159" s="479" t="s">
        <v>412</v>
      </c>
      <c r="C159" s="479" t="s">
        <v>413</v>
      </c>
      <c r="D159" s="479"/>
      <c r="E159" s="479" t="s">
        <v>2121</v>
      </c>
      <c r="F159" s="487">
        <v>0.76500000000000001</v>
      </c>
      <c r="G159" s="475"/>
      <c r="H159" s="486"/>
      <c r="I159" s="479" t="s">
        <v>2122</v>
      </c>
    </row>
    <row r="160" spans="1:9" x14ac:dyDescent="0.25">
      <c r="A160" s="479" t="s">
        <v>952</v>
      </c>
      <c r="B160" s="479" t="s">
        <v>412</v>
      </c>
      <c r="C160" s="479" t="s">
        <v>427</v>
      </c>
      <c r="D160" s="479" t="s">
        <v>428</v>
      </c>
      <c r="E160" s="479" t="s">
        <v>1174</v>
      </c>
      <c r="F160" s="487">
        <v>0.76</v>
      </c>
      <c r="G160" s="475">
        <v>64</v>
      </c>
      <c r="H160" s="486">
        <v>80</v>
      </c>
      <c r="I160" s="479" t="s">
        <v>1175</v>
      </c>
    </row>
    <row r="161" spans="1:9" x14ac:dyDescent="0.25">
      <c r="A161" s="479" t="s">
        <v>953</v>
      </c>
      <c r="B161" s="479" t="s">
        <v>412</v>
      </c>
      <c r="C161" s="479" t="s">
        <v>413</v>
      </c>
      <c r="D161" s="479" t="s">
        <v>428</v>
      </c>
      <c r="E161" s="479" t="s">
        <v>421</v>
      </c>
      <c r="F161" s="487"/>
      <c r="G161" s="475">
        <v>68</v>
      </c>
      <c r="H161" s="486">
        <v>80</v>
      </c>
      <c r="I161" s="479" t="s">
        <v>954</v>
      </c>
    </row>
    <row r="162" spans="1:9" x14ac:dyDescent="0.25">
      <c r="A162" s="479" t="s">
        <v>995</v>
      </c>
      <c r="B162" s="479" t="s">
        <v>412</v>
      </c>
      <c r="C162" s="479" t="s">
        <v>878</v>
      </c>
      <c r="D162" s="479"/>
      <c r="E162" s="479" t="s">
        <v>125</v>
      </c>
      <c r="F162" s="487"/>
      <c r="G162" s="475">
        <v>60</v>
      </c>
      <c r="H162" s="486">
        <v>74</v>
      </c>
      <c r="I162" s="479" t="s">
        <v>996</v>
      </c>
    </row>
    <row r="163" spans="1:9" x14ac:dyDescent="0.25">
      <c r="A163" s="479" t="s">
        <v>2116</v>
      </c>
      <c r="B163" s="479" t="s">
        <v>412</v>
      </c>
      <c r="C163" s="479" t="s">
        <v>413</v>
      </c>
      <c r="D163" s="479"/>
      <c r="E163" s="479" t="s">
        <v>2117</v>
      </c>
      <c r="F163" s="487">
        <v>0.9</v>
      </c>
      <c r="G163" s="475">
        <v>70</v>
      </c>
      <c r="H163" s="486">
        <v>100</v>
      </c>
      <c r="I163" s="479" t="s">
        <v>2118</v>
      </c>
    </row>
    <row r="164" spans="1:9" x14ac:dyDescent="0.25">
      <c r="A164" s="479" t="s">
        <v>530</v>
      </c>
      <c r="B164" s="479" t="s">
        <v>412</v>
      </c>
      <c r="C164" s="479" t="s">
        <v>427</v>
      </c>
      <c r="D164" s="479" t="s">
        <v>423</v>
      </c>
      <c r="E164" s="479" t="s">
        <v>429</v>
      </c>
      <c r="F164" s="487">
        <v>0.75</v>
      </c>
      <c r="G164" s="475">
        <v>63</v>
      </c>
      <c r="H164" s="486">
        <v>76</v>
      </c>
      <c r="I164" s="479" t="s">
        <v>531</v>
      </c>
    </row>
    <row r="165" spans="1:9" x14ac:dyDescent="0.25">
      <c r="A165" s="479" t="s">
        <v>955</v>
      </c>
      <c r="B165" s="479" t="s">
        <v>412</v>
      </c>
      <c r="C165" s="479" t="s">
        <v>413</v>
      </c>
      <c r="D165" s="479" t="s">
        <v>417</v>
      </c>
      <c r="E165" s="479" t="s">
        <v>423</v>
      </c>
      <c r="F165" s="487"/>
      <c r="G165" s="475">
        <v>63</v>
      </c>
      <c r="H165" s="486">
        <v>73</v>
      </c>
      <c r="I165" s="479" t="s">
        <v>956</v>
      </c>
    </row>
    <row r="166" spans="1:9" x14ac:dyDescent="0.25">
      <c r="A166" s="479" t="s">
        <v>957</v>
      </c>
      <c r="B166" s="479" t="s">
        <v>412</v>
      </c>
      <c r="C166" s="479" t="s">
        <v>427</v>
      </c>
      <c r="D166" s="479" t="s">
        <v>423</v>
      </c>
      <c r="E166" s="479" t="s">
        <v>1176</v>
      </c>
      <c r="F166" s="487">
        <v>0.8</v>
      </c>
      <c r="G166" s="475">
        <v>65</v>
      </c>
      <c r="H166" s="486">
        <v>77</v>
      </c>
      <c r="I166" s="479" t="s">
        <v>1177</v>
      </c>
    </row>
    <row r="167" spans="1:9" x14ac:dyDescent="0.25">
      <c r="A167" s="479" t="s">
        <v>2084</v>
      </c>
      <c r="B167" s="479" t="s">
        <v>412</v>
      </c>
      <c r="C167" s="479" t="s">
        <v>413</v>
      </c>
      <c r="D167" s="479" t="s">
        <v>414</v>
      </c>
      <c r="E167" s="479" t="s">
        <v>2085</v>
      </c>
      <c r="F167" s="487">
        <v>0.81499999999999995</v>
      </c>
      <c r="G167" s="475">
        <v>69</v>
      </c>
      <c r="H167" s="486">
        <v>75</v>
      </c>
      <c r="I167" s="479" t="s">
        <v>2086</v>
      </c>
    </row>
    <row r="168" spans="1:9" x14ac:dyDescent="0.25">
      <c r="A168" s="479" t="s">
        <v>2094</v>
      </c>
      <c r="B168" s="479" t="s">
        <v>412</v>
      </c>
      <c r="C168" s="479" t="s">
        <v>413</v>
      </c>
      <c r="D168" s="479"/>
      <c r="E168" s="479"/>
      <c r="F168" s="487"/>
      <c r="G168" s="475"/>
      <c r="H168" s="486"/>
      <c r="I168" s="479"/>
    </row>
    <row r="169" spans="1:9" x14ac:dyDescent="0.25">
      <c r="A169" s="472" t="s">
        <v>1592</v>
      </c>
      <c r="B169" s="472" t="s">
        <v>412</v>
      </c>
      <c r="C169" s="472" t="s">
        <v>1566</v>
      </c>
      <c r="D169" s="472" t="s">
        <v>423</v>
      </c>
      <c r="E169" s="472" t="s">
        <v>1159</v>
      </c>
      <c r="F169" s="485">
        <v>0.75</v>
      </c>
      <c r="G169" s="475">
        <v>63</v>
      </c>
      <c r="H169" s="486">
        <v>73</v>
      </c>
      <c r="I169" s="472" t="s">
        <v>1593</v>
      </c>
    </row>
    <row r="170" spans="1:9" x14ac:dyDescent="0.25">
      <c r="A170" s="472" t="s">
        <v>1594</v>
      </c>
      <c r="B170" s="472" t="s">
        <v>412</v>
      </c>
      <c r="C170" s="472" t="s">
        <v>1566</v>
      </c>
      <c r="D170" s="472" t="s">
        <v>423</v>
      </c>
      <c r="E170" s="472" t="s">
        <v>1159</v>
      </c>
      <c r="F170" s="485">
        <v>0.75</v>
      </c>
      <c r="G170" s="475">
        <v>56</v>
      </c>
      <c r="H170" s="486">
        <v>65</v>
      </c>
      <c r="I170" s="472" t="s">
        <v>1595</v>
      </c>
    </row>
    <row r="171" spans="1:9" x14ac:dyDescent="0.25">
      <c r="A171" s="472" t="s">
        <v>1596</v>
      </c>
      <c r="B171" s="472" t="s">
        <v>412</v>
      </c>
      <c r="C171" s="472" t="s">
        <v>1566</v>
      </c>
      <c r="D171" s="472" t="s">
        <v>414</v>
      </c>
      <c r="E171" s="472" t="s">
        <v>1159</v>
      </c>
      <c r="F171" s="485">
        <v>0.75</v>
      </c>
      <c r="G171" s="475">
        <v>60</v>
      </c>
      <c r="H171" s="486">
        <v>69</v>
      </c>
      <c r="I171" s="472" t="s">
        <v>1597</v>
      </c>
    </row>
    <row r="172" spans="1:9" x14ac:dyDescent="0.25">
      <c r="A172" s="479" t="s">
        <v>532</v>
      </c>
      <c r="B172" s="479" t="s">
        <v>412</v>
      </c>
      <c r="C172" s="479" t="s">
        <v>427</v>
      </c>
      <c r="D172" s="479" t="s">
        <v>423</v>
      </c>
      <c r="E172" s="479" t="s">
        <v>429</v>
      </c>
      <c r="F172" s="487">
        <v>0.75</v>
      </c>
      <c r="G172" s="475">
        <v>55</v>
      </c>
      <c r="H172" s="486">
        <v>68</v>
      </c>
      <c r="I172" s="479" t="s">
        <v>533</v>
      </c>
    </row>
    <row r="173" spans="1:9" x14ac:dyDescent="0.25">
      <c r="A173" s="479" t="s">
        <v>2040</v>
      </c>
      <c r="B173" s="479" t="s">
        <v>412</v>
      </c>
      <c r="C173" s="479" t="s">
        <v>413</v>
      </c>
      <c r="D173" s="479" t="s">
        <v>414</v>
      </c>
      <c r="E173" s="479" t="s">
        <v>543</v>
      </c>
      <c r="F173" s="487">
        <v>0.76500000000000001</v>
      </c>
      <c r="G173" s="475">
        <v>65</v>
      </c>
      <c r="H173" s="486">
        <v>70</v>
      </c>
      <c r="I173" s="479" t="s">
        <v>2041</v>
      </c>
    </row>
    <row r="174" spans="1:9" x14ac:dyDescent="0.25">
      <c r="A174" s="479" t="s">
        <v>534</v>
      </c>
      <c r="B174" s="479" t="s">
        <v>412</v>
      </c>
      <c r="C174" s="479" t="s">
        <v>413</v>
      </c>
      <c r="D174" s="479" t="s">
        <v>414</v>
      </c>
      <c r="E174" s="479" t="s">
        <v>536</v>
      </c>
      <c r="F174" s="487">
        <v>0.75</v>
      </c>
      <c r="G174" s="475">
        <v>65</v>
      </c>
      <c r="H174" s="486">
        <v>69</v>
      </c>
      <c r="I174" s="479" t="s">
        <v>537</v>
      </c>
    </row>
    <row r="175" spans="1:9" x14ac:dyDescent="0.25">
      <c r="A175" s="479" t="s">
        <v>1010</v>
      </c>
      <c r="B175" s="479" t="s">
        <v>412</v>
      </c>
      <c r="C175" s="479" t="s">
        <v>413</v>
      </c>
      <c r="D175" s="479" t="s">
        <v>414</v>
      </c>
      <c r="E175" s="479" t="s">
        <v>453</v>
      </c>
      <c r="F175" s="487">
        <v>0.73</v>
      </c>
      <c r="G175" s="475">
        <v>48</v>
      </c>
      <c r="H175" s="486">
        <v>55</v>
      </c>
      <c r="I175" s="479" t="s">
        <v>1011</v>
      </c>
    </row>
    <row r="176" spans="1:9" x14ac:dyDescent="0.25">
      <c r="A176" s="479" t="s">
        <v>1012</v>
      </c>
      <c r="B176" s="479" t="s">
        <v>412</v>
      </c>
      <c r="C176" s="479" t="s">
        <v>413</v>
      </c>
      <c r="D176" s="479" t="s">
        <v>414</v>
      </c>
      <c r="E176" s="479" t="s">
        <v>512</v>
      </c>
      <c r="F176" s="487">
        <v>0.76500000000000001</v>
      </c>
      <c r="G176" s="475">
        <v>50</v>
      </c>
      <c r="H176" s="486">
        <v>55</v>
      </c>
      <c r="I176" s="479" t="s">
        <v>1013</v>
      </c>
    </row>
    <row r="177" spans="1:9" x14ac:dyDescent="0.25">
      <c r="A177" s="479" t="s">
        <v>2119</v>
      </c>
      <c r="B177" s="479" t="s">
        <v>412</v>
      </c>
      <c r="C177" s="479" t="s">
        <v>413</v>
      </c>
      <c r="D177" s="479" t="s">
        <v>414</v>
      </c>
      <c r="E177" s="479" t="s">
        <v>1183</v>
      </c>
      <c r="F177" s="487">
        <v>0.73</v>
      </c>
      <c r="G177" s="475">
        <v>50</v>
      </c>
      <c r="H177" s="486">
        <v>54</v>
      </c>
      <c r="I177" s="479" t="s">
        <v>2120</v>
      </c>
    </row>
    <row r="178" spans="1:9" x14ac:dyDescent="0.25">
      <c r="A178" s="479" t="s">
        <v>538</v>
      </c>
      <c r="B178" s="479" t="s">
        <v>412</v>
      </c>
      <c r="C178" s="479" t="s">
        <v>427</v>
      </c>
      <c r="D178" s="479" t="s">
        <v>421</v>
      </c>
      <c r="E178" s="479" t="s">
        <v>429</v>
      </c>
      <c r="F178" s="487">
        <v>0.75</v>
      </c>
      <c r="G178" s="475">
        <v>63</v>
      </c>
      <c r="H178" s="486">
        <v>75</v>
      </c>
      <c r="I178" s="479" t="s">
        <v>539</v>
      </c>
    </row>
    <row r="179" spans="1:9" x14ac:dyDescent="0.25">
      <c r="A179" s="479" t="s">
        <v>2065</v>
      </c>
      <c r="B179" s="479" t="s">
        <v>412</v>
      </c>
      <c r="C179" s="479" t="s">
        <v>413</v>
      </c>
      <c r="D179" s="479" t="s">
        <v>417</v>
      </c>
      <c r="E179" s="479" t="s">
        <v>1194</v>
      </c>
      <c r="F179" s="487">
        <v>0.77500000000000002</v>
      </c>
      <c r="G179" s="475">
        <v>66</v>
      </c>
      <c r="H179" s="486">
        <v>70</v>
      </c>
      <c r="I179" s="479" t="s">
        <v>2064</v>
      </c>
    </row>
    <row r="180" spans="1:9" x14ac:dyDescent="0.25">
      <c r="A180" s="472" t="s">
        <v>1938</v>
      </c>
      <c r="B180" s="479" t="s">
        <v>412</v>
      </c>
      <c r="C180" s="479" t="s">
        <v>1925</v>
      </c>
      <c r="D180" s="479" t="s">
        <v>423</v>
      </c>
      <c r="E180" s="472" t="s">
        <v>1159</v>
      </c>
      <c r="F180" s="487">
        <v>0.75</v>
      </c>
      <c r="G180" s="475">
        <v>64</v>
      </c>
      <c r="H180" s="486">
        <v>75</v>
      </c>
      <c r="I180" s="472" t="s">
        <v>1939</v>
      </c>
    </row>
    <row r="181" spans="1:9" x14ac:dyDescent="0.25">
      <c r="A181" s="479" t="s">
        <v>540</v>
      </c>
      <c r="B181" s="479" t="s">
        <v>412</v>
      </c>
      <c r="C181" s="479" t="s">
        <v>413</v>
      </c>
      <c r="D181" s="479" t="s">
        <v>428</v>
      </c>
      <c r="E181" s="479" t="s">
        <v>434</v>
      </c>
      <c r="F181" s="487">
        <v>0.74</v>
      </c>
      <c r="G181" s="475">
        <v>68</v>
      </c>
      <c r="H181" s="486">
        <v>72</v>
      </c>
      <c r="I181" s="479" t="s">
        <v>541</v>
      </c>
    </row>
    <row r="182" spans="1:9" x14ac:dyDescent="0.25">
      <c r="A182" s="479" t="s">
        <v>542</v>
      </c>
      <c r="B182" s="479" t="s">
        <v>412</v>
      </c>
      <c r="C182" s="479" t="s">
        <v>413</v>
      </c>
      <c r="D182" s="479" t="s">
        <v>423</v>
      </c>
      <c r="E182" s="479" t="s">
        <v>543</v>
      </c>
      <c r="F182" s="487">
        <v>0.76500000000000001</v>
      </c>
      <c r="G182" s="475">
        <v>66</v>
      </c>
      <c r="H182" s="486">
        <v>70</v>
      </c>
      <c r="I182" s="479" t="s">
        <v>544</v>
      </c>
    </row>
    <row r="183" spans="1:9" x14ac:dyDescent="0.25">
      <c r="A183" s="479" t="s">
        <v>1178</v>
      </c>
      <c r="B183" s="479" t="s">
        <v>412</v>
      </c>
      <c r="C183" s="479" t="s">
        <v>427</v>
      </c>
      <c r="D183" s="479" t="s">
        <v>414</v>
      </c>
      <c r="E183" s="479" t="s">
        <v>1179</v>
      </c>
      <c r="F183" s="487">
        <v>0.72</v>
      </c>
      <c r="G183" s="475">
        <v>48</v>
      </c>
      <c r="H183" s="486">
        <v>56</v>
      </c>
      <c r="I183" s="479" t="s">
        <v>1180</v>
      </c>
    </row>
    <row r="184" spans="1:9" x14ac:dyDescent="0.25">
      <c r="A184" s="479" t="s">
        <v>2126</v>
      </c>
      <c r="B184" s="479" t="s">
        <v>412</v>
      </c>
      <c r="C184" s="479" t="s">
        <v>413</v>
      </c>
      <c r="D184" s="479" t="s">
        <v>414</v>
      </c>
      <c r="E184" s="479" t="s">
        <v>2127</v>
      </c>
      <c r="F184" s="487">
        <v>0.77500000000000002</v>
      </c>
      <c r="G184" s="475">
        <v>62</v>
      </c>
      <c r="H184" s="486">
        <v>68</v>
      </c>
      <c r="I184" s="479" t="s">
        <v>2128</v>
      </c>
    </row>
    <row r="185" spans="1:9" x14ac:dyDescent="0.25">
      <c r="A185" s="479" t="s">
        <v>1931</v>
      </c>
      <c r="B185" s="479" t="s">
        <v>412</v>
      </c>
      <c r="C185" s="479" t="s">
        <v>1925</v>
      </c>
      <c r="D185" s="479" t="s">
        <v>421</v>
      </c>
      <c r="E185" s="479" t="s">
        <v>1929</v>
      </c>
      <c r="F185" s="487">
        <v>0.78500000000000003</v>
      </c>
      <c r="G185" s="475">
        <v>72</v>
      </c>
      <c r="H185" s="486">
        <v>98</v>
      </c>
      <c r="I185" s="479" t="s">
        <v>1932</v>
      </c>
    </row>
    <row r="186" spans="1:9" x14ac:dyDescent="0.25">
      <c r="A186" s="479" t="s">
        <v>1924</v>
      </c>
      <c r="B186" s="479" t="s">
        <v>412</v>
      </c>
      <c r="C186" s="479" t="s">
        <v>1925</v>
      </c>
      <c r="D186" s="479" t="s">
        <v>417</v>
      </c>
      <c r="E186" s="479" t="s">
        <v>1926</v>
      </c>
      <c r="F186" s="487">
        <v>0.8</v>
      </c>
      <c r="G186" s="475">
        <v>72</v>
      </c>
      <c r="H186" s="486">
        <v>98</v>
      </c>
      <c r="I186" s="479" t="s">
        <v>1927</v>
      </c>
    </row>
    <row r="187" spans="1:9" x14ac:dyDescent="0.25">
      <c r="A187" s="479" t="s">
        <v>545</v>
      </c>
      <c r="B187" s="479" t="s">
        <v>412</v>
      </c>
      <c r="C187" s="479" t="s">
        <v>427</v>
      </c>
      <c r="D187" s="479" t="s">
        <v>414</v>
      </c>
      <c r="E187" s="479" t="s">
        <v>554</v>
      </c>
      <c r="F187" s="487">
        <v>0.73</v>
      </c>
      <c r="G187" s="475">
        <v>62</v>
      </c>
      <c r="H187" s="486">
        <v>72</v>
      </c>
      <c r="I187" s="479" t="s">
        <v>546</v>
      </c>
    </row>
    <row r="188" spans="1:9" x14ac:dyDescent="0.25">
      <c r="A188" s="472" t="s">
        <v>1956</v>
      </c>
      <c r="B188" s="479" t="s">
        <v>412</v>
      </c>
      <c r="C188" s="479" t="s">
        <v>1925</v>
      </c>
      <c r="D188" s="479" t="s">
        <v>414</v>
      </c>
      <c r="E188" s="472" t="s">
        <v>1957</v>
      </c>
      <c r="F188" s="485">
        <v>0.72</v>
      </c>
      <c r="G188" s="475">
        <v>62</v>
      </c>
      <c r="H188" s="486">
        <v>72</v>
      </c>
      <c r="I188" s="472" t="s">
        <v>1958</v>
      </c>
    </row>
    <row r="189" spans="1:9" x14ac:dyDescent="0.25">
      <c r="A189" s="479" t="s">
        <v>547</v>
      </c>
      <c r="B189" s="479" t="s">
        <v>412</v>
      </c>
      <c r="C189" s="479" t="s">
        <v>413</v>
      </c>
      <c r="D189" s="479" t="s">
        <v>417</v>
      </c>
      <c r="E189" s="479" t="s">
        <v>1051</v>
      </c>
      <c r="F189" s="487">
        <v>0.71499999999999997</v>
      </c>
      <c r="G189" s="475">
        <v>65</v>
      </c>
      <c r="H189" s="486">
        <v>68</v>
      </c>
      <c r="I189" s="479" t="s">
        <v>548</v>
      </c>
    </row>
    <row r="190" spans="1:9" x14ac:dyDescent="0.25">
      <c r="A190" s="479" t="s">
        <v>1933</v>
      </c>
      <c r="B190" s="479" t="s">
        <v>412</v>
      </c>
      <c r="C190" s="479" t="s">
        <v>1925</v>
      </c>
      <c r="D190" s="479" t="s">
        <v>428</v>
      </c>
      <c r="E190" s="479" t="s">
        <v>1934</v>
      </c>
      <c r="F190" s="487">
        <v>0.82499999999999996</v>
      </c>
      <c r="G190" s="475">
        <v>70</v>
      </c>
      <c r="H190" s="486">
        <v>95</v>
      </c>
      <c r="I190" s="479" t="s">
        <v>1935</v>
      </c>
    </row>
    <row r="191" spans="1:9" x14ac:dyDescent="0.25">
      <c r="A191" s="479" t="s">
        <v>1151</v>
      </c>
      <c r="B191" s="479" t="s">
        <v>412</v>
      </c>
      <c r="C191" s="479" t="s">
        <v>878</v>
      </c>
      <c r="D191" s="479" t="s">
        <v>421</v>
      </c>
      <c r="E191" s="479"/>
      <c r="F191" s="487">
        <v>0.75</v>
      </c>
      <c r="G191" s="475">
        <v>46</v>
      </c>
      <c r="H191" s="486">
        <v>54</v>
      </c>
      <c r="I191" s="479" t="s">
        <v>1152</v>
      </c>
    </row>
    <row r="192" spans="1:9" x14ac:dyDescent="0.25">
      <c r="A192" s="479" t="s">
        <v>2061</v>
      </c>
      <c r="B192" s="479" t="s">
        <v>412</v>
      </c>
      <c r="C192" s="479" t="s">
        <v>413</v>
      </c>
      <c r="D192" s="479" t="s">
        <v>414</v>
      </c>
      <c r="E192" s="479" t="s">
        <v>1194</v>
      </c>
      <c r="F192" s="487">
        <v>0.77500000000000002</v>
      </c>
      <c r="G192" s="475">
        <v>72</v>
      </c>
      <c r="H192" s="486">
        <v>77</v>
      </c>
      <c r="I192" s="479" t="s">
        <v>2060</v>
      </c>
    </row>
    <row r="193" spans="1:9" x14ac:dyDescent="0.25">
      <c r="A193" s="479" t="s">
        <v>2062</v>
      </c>
      <c r="B193" s="479" t="s">
        <v>412</v>
      </c>
      <c r="C193" s="479" t="s">
        <v>413</v>
      </c>
      <c r="D193" s="479" t="s">
        <v>414</v>
      </c>
      <c r="E193" s="479" t="s">
        <v>2052</v>
      </c>
      <c r="F193" s="487">
        <v>0.7</v>
      </c>
      <c r="G193" s="475">
        <v>66</v>
      </c>
      <c r="H193" s="486">
        <v>70</v>
      </c>
      <c r="I193" s="479" t="s">
        <v>2053</v>
      </c>
    </row>
    <row r="194" spans="1:9" x14ac:dyDescent="0.25">
      <c r="A194" s="479" t="s">
        <v>549</v>
      </c>
      <c r="B194" s="479" t="s">
        <v>412</v>
      </c>
      <c r="C194" s="479" t="s">
        <v>427</v>
      </c>
      <c r="D194" s="479" t="s">
        <v>423</v>
      </c>
      <c r="E194" s="479" t="s">
        <v>429</v>
      </c>
      <c r="F194" s="487">
        <v>0.75</v>
      </c>
      <c r="G194" s="475">
        <v>56</v>
      </c>
      <c r="H194" s="486">
        <v>70</v>
      </c>
      <c r="I194" s="479" t="s">
        <v>550</v>
      </c>
    </row>
    <row r="195" spans="1:9" x14ac:dyDescent="0.25">
      <c r="A195" s="472" t="s">
        <v>1941</v>
      </c>
      <c r="B195" s="479" t="s">
        <v>412</v>
      </c>
      <c r="C195" s="479" t="s">
        <v>1925</v>
      </c>
      <c r="D195" s="479" t="s">
        <v>414</v>
      </c>
      <c r="E195" s="472" t="s">
        <v>1191</v>
      </c>
      <c r="F195" s="487">
        <v>0.75</v>
      </c>
      <c r="G195" s="475">
        <v>65</v>
      </c>
      <c r="H195" s="486">
        <v>69</v>
      </c>
      <c r="I195" s="472" t="s">
        <v>1942</v>
      </c>
    </row>
    <row r="196" spans="1:9" x14ac:dyDescent="0.25">
      <c r="A196" s="479" t="s">
        <v>1181</v>
      </c>
      <c r="B196" s="479" t="s">
        <v>412</v>
      </c>
      <c r="C196" s="479" t="s">
        <v>427</v>
      </c>
      <c r="D196" s="479" t="s">
        <v>423</v>
      </c>
      <c r="E196" s="479" t="s">
        <v>1159</v>
      </c>
      <c r="F196" s="487">
        <v>0.75</v>
      </c>
      <c r="G196" s="475">
        <v>56</v>
      </c>
      <c r="H196" s="486">
        <v>70</v>
      </c>
      <c r="I196" s="479" t="s">
        <v>1182</v>
      </c>
    </row>
    <row r="197" spans="1:9" x14ac:dyDescent="0.25">
      <c r="A197" s="479" t="s">
        <v>1086</v>
      </c>
      <c r="B197" s="479" t="s">
        <v>412</v>
      </c>
      <c r="C197" s="479" t="s">
        <v>878</v>
      </c>
      <c r="D197" s="479" t="s">
        <v>421</v>
      </c>
      <c r="E197" s="479" t="s">
        <v>414</v>
      </c>
      <c r="F197" s="487">
        <v>0.76500000000000001</v>
      </c>
      <c r="G197" s="475">
        <v>58</v>
      </c>
      <c r="H197" s="486">
        <v>66</v>
      </c>
      <c r="I197" s="479" t="s">
        <v>1148</v>
      </c>
    </row>
    <row r="198" spans="1:9" x14ac:dyDescent="0.25">
      <c r="A198" s="479" t="s">
        <v>2132</v>
      </c>
      <c r="B198" s="479" t="s">
        <v>412</v>
      </c>
      <c r="C198" s="479" t="s">
        <v>413</v>
      </c>
      <c r="D198" s="479"/>
      <c r="E198" s="479"/>
      <c r="F198" s="487"/>
      <c r="G198" s="475"/>
      <c r="H198" s="486"/>
      <c r="I198" s="479" t="s">
        <v>2087</v>
      </c>
    </row>
    <row r="199" spans="1:9" x14ac:dyDescent="0.25">
      <c r="A199" s="472" t="s">
        <v>1613</v>
      </c>
      <c r="B199" s="472" t="s">
        <v>412</v>
      </c>
      <c r="C199" s="472" t="s">
        <v>1566</v>
      </c>
      <c r="D199" s="472" t="s">
        <v>417</v>
      </c>
      <c r="E199" s="472" t="s">
        <v>1614</v>
      </c>
      <c r="F199" s="485">
        <v>0.73</v>
      </c>
      <c r="G199" s="475">
        <v>55</v>
      </c>
      <c r="H199" s="486">
        <v>65</v>
      </c>
      <c r="I199" s="472" t="s">
        <v>1615</v>
      </c>
    </row>
    <row r="200" spans="1:9" x14ac:dyDescent="0.25">
      <c r="A200" s="472" t="s">
        <v>1616</v>
      </c>
      <c r="B200" s="472" t="s">
        <v>412</v>
      </c>
      <c r="C200" s="472" t="s">
        <v>1566</v>
      </c>
      <c r="D200" s="472" t="s">
        <v>428</v>
      </c>
      <c r="E200" s="472" t="s">
        <v>1159</v>
      </c>
      <c r="F200" s="485">
        <v>0.75</v>
      </c>
      <c r="G200" s="475">
        <v>46</v>
      </c>
      <c r="H200" s="486">
        <v>56</v>
      </c>
      <c r="I200" s="472" t="s">
        <v>1617</v>
      </c>
    </row>
    <row r="201" spans="1:9" x14ac:dyDescent="0.25">
      <c r="A201" s="472" t="s">
        <v>1618</v>
      </c>
      <c r="B201" s="472" t="s">
        <v>412</v>
      </c>
      <c r="C201" s="472" t="s">
        <v>1566</v>
      </c>
      <c r="D201" s="472" t="s">
        <v>414</v>
      </c>
      <c r="E201" s="472" t="s">
        <v>1179</v>
      </c>
      <c r="F201" s="485">
        <v>0.72</v>
      </c>
      <c r="G201" s="475">
        <v>50</v>
      </c>
      <c r="H201" s="486">
        <v>60</v>
      </c>
      <c r="I201" s="472" t="s">
        <v>1619</v>
      </c>
    </row>
    <row r="202" spans="1:9" x14ac:dyDescent="0.25">
      <c r="A202" s="472" t="s">
        <v>1620</v>
      </c>
      <c r="B202" s="472" t="s">
        <v>412</v>
      </c>
      <c r="C202" s="472" t="s">
        <v>1566</v>
      </c>
      <c r="D202" s="472" t="s">
        <v>414</v>
      </c>
      <c r="E202" s="472" t="s">
        <v>1614</v>
      </c>
      <c r="F202" s="485">
        <v>0.73</v>
      </c>
      <c r="G202" s="475">
        <v>52</v>
      </c>
      <c r="H202" s="486">
        <v>58</v>
      </c>
      <c r="I202" s="472" t="s">
        <v>1621</v>
      </c>
    </row>
    <row r="203" spans="1:9" x14ac:dyDescent="0.25">
      <c r="A203" s="479" t="s">
        <v>997</v>
      </c>
      <c r="B203" s="479" t="s">
        <v>412</v>
      </c>
      <c r="C203" s="479" t="s">
        <v>427</v>
      </c>
      <c r="D203" s="479"/>
      <c r="E203" s="479" t="s">
        <v>125</v>
      </c>
      <c r="F203" s="487"/>
      <c r="G203" s="475">
        <v>60</v>
      </c>
      <c r="H203" s="486">
        <v>95</v>
      </c>
      <c r="I203" s="479" t="s">
        <v>998</v>
      </c>
    </row>
    <row r="204" spans="1:9" x14ac:dyDescent="0.25">
      <c r="A204" s="479" t="s">
        <v>2107</v>
      </c>
      <c r="B204" s="479" t="s">
        <v>412</v>
      </c>
      <c r="C204" s="479" t="s">
        <v>413</v>
      </c>
      <c r="D204" s="479" t="s">
        <v>423</v>
      </c>
      <c r="E204" s="479"/>
      <c r="F204" s="487"/>
      <c r="G204" s="475"/>
      <c r="H204" s="486"/>
      <c r="I204" s="479" t="s">
        <v>2106</v>
      </c>
    </row>
    <row r="205" spans="1:9" x14ac:dyDescent="0.25">
      <c r="A205" s="479" t="s">
        <v>2108</v>
      </c>
      <c r="B205" s="479" t="s">
        <v>412</v>
      </c>
      <c r="C205" s="479" t="s">
        <v>413</v>
      </c>
      <c r="D205" s="479"/>
      <c r="E205" s="479"/>
      <c r="F205" s="487"/>
      <c r="G205" s="475"/>
      <c r="H205" s="486"/>
      <c r="I205" s="479" t="s">
        <v>2109</v>
      </c>
    </row>
    <row r="206" spans="1:9" x14ac:dyDescent="0.25">
      <c r="A206" s="479" t="s">
        <v>2111</v>
      </c>
      <c r="B206" s="479" t="s">
        <v>412</v>
      </c>
      <c r="C206" s="479" t="s">
        <v>413</v>
      </c>
      <c r="D206" s="479" t="s">
        <v>2102</v>
      </c>
      <c r="E206" s="479"/>
      <c r="F206" s="487"/>
      <c r="G206" s="475">
        <v>70</v>
      </c>
      <c r="H206" s="486">
        <v>75</v>
      </c>
      <c r="I206" s="479" t="s">
        <v>2112</v>
      </c>
    </row>
    <row r="207" spans="1:9" x14ac:dyDescent="0.25">
      <c r="A207" s="479" t="s">
        <v>2113</v>
      </c>
      <c r="B207" s="479" t="s">
        <v>412</v>
      </c>
      <c r="C207" s="479" t="s">
        <v>413</v>
      </c>
      <c r="D207" s="479"/>
      <c r="E207" s="479"/>
      <c r="F207" s="487"/>
      <c r="G207" s="475"/>
      <c r="H207" s="486"/>
      <c r="I207" s="479" t="s">
        <v>2114</v>
      </c>
    </row>
    <row r="208" spans="1:9" x14ac:dyDescent="0.25">
      <c r="A208" s="479" t="s">
        <v>2104</v>
      </c>
      <c r="B208" s="479" t="s">
        <v>412</v>
      </c>
      <c r="C208" s="479" t="s">
        <v>413</v>
      </c>
      <c r="D208" s="479"/>
      <c r="E208" s="479"/>
      <c r="F208" s="487"/>
      <c r="G208" s="475"/>
      <c r="H208" s="486"/>
      <c r="I208" s="479" t="s">
        <v>2105</v>
      </c>
    </row>
    <row r="209" spans="1:9" x14ac:dyDescent="0.25">
      <c r="A209" s="479" t="s">
        <v>2133</v>
      </c>
      <c r="B209" s="479" t="s">
        <v>412</v>
      </c>
      <c r="C209" s="479" t="s">
        <v>413</v>
      </c>
      <c r="D209" s="479" t="s">
        <v>423</v>
      </c>
      <c r="E209" s="479" t="s">
        <v>2082</v>
      </c>
      <c r="F209" s="487">
        <v>0.79</v>
      </c>
      <c r="G209" s="475">
        <v>66</v>
      </c>
      <c r="H209" s="486">
        <v>75</v>
      </c>
      <c r="I209" s="479" t="s">
        <v>2083</v>
      </c>
    </row>
    <row r="210" spans="1:9" x14ac:dyDescent="0.25">
      <c r="A210" s="479" t="s">
        <v>958</v>
      </c>
      <c r="B210" s="479" t="s">
        <v>412</v>
      </c>
      <c r="C210" s="479" t="s">
        <v>427</v>
      </c>
      <c r="D210" s="479" t="s">
        <v>423</v>
      </c>
      <c r="E210" s="479" t="s">
        <v>1183</v>
      </c>
      <c r="F210" s="487">
        <v>0.73</v>
      </c>
      <c r="G210" s="475">
        <v>64</v>
      </c>
      <c r="H210" s="486">
        <v>75</v>
      </c>
      <c r="I210" s="479" t="s">
        <v>1184</v>
      </c>
    </row>
    <row r="211" spans="1:9" x14ac:dyDescent="0.25">
      <c r="A211" s="479" t="s">
        <v>551</v>
      </c>
      <c r="B211" s="479" t="s">
        <v>412</v>
      </c>
      <c r="C211" s="479" t="s">
        <v>427</v>
      </c>
      <c r="D211" s="479" t="s">
        <v>428</v>
      </c>
      <c r="E211" s="479" t="s">
        <v>429</v>
      </c>
      <c r="F211" s="487">
        <v>0.75</v>
      </c>
      <c r="G211" s="475">
        <v>60</v>
      </c>
      <c r="H211" s="486">
        <v>72</v>
      </c>
      <c r="I211" s="479" t="s">
        <v>552</v>
      </c>
    </row>
    <row r="212" spans="1:9" x14ac:dyDescent="0.25">
      <c r="A212" s="479" t="s">
        <v>553</v>
      </c>
      <c r="B212" s="479" t="s">
        <v>412</v>
      </c>
      <c r="C212" s="479" t="s">
        <v>427</v>
      </c>
      <c r="D212" s="479" t="s">
        <v>421</v>
      </c>
      <c r="E212" s="479" t="s">
        <v>554</v>
      </c>
      <c r="F212" s="487">
        <v>0.73</v>
      </c>
      <c r="G212" s="475">
        <v>64</v>
      </c>
      <c r="H212" s="486">
        <v>74</v>
      </c>
      <c r="I212" s="479" t="s">
        <v>555</v>
      </c>
    </row>
    <row r="213" spans="1:9" x14ac:dyDescent="0.25">
      <c r="A213" s="479" t="s">
        <v>556</v>
      </c>
      <c r="B213" s="479" t="s">
        <v>412</v>
      </c>
      <c r="C213" s="479" t="s">
        <v>413</v>
      </c>
      <c r="D213" s="479" t="s">
        <v>414</v>
      </c>
      <c r="E213" s="479" t="s">
        <v>557</v>
      </c>
      <c r="F213" s="487">
        <v>0.71</v>
      </c>
      <c r="G213" s="475">
        <v>66</v>
      </c>
      <c r="H213" s="486">
        <v>71</v>
      </c>
      <c r="I213" s="479" t="s">
        <v>558</v>
      </c>
    </row>
    <row r="214" spans="1:9" x14ac:dyDescent="0.25">
      <c r="A214" s="479" t="s">
        <v>1986</v>
      </c>
      <c r="B214" s="479" t="s">
        <v>487</v>
      </c>
      <c r="C214" s="479" t="s">
        <v>863</v>
      </c>
      <c r="D214" s="479" t="s">
        <v>423</v>
      </c>
      <c r="E214" s="479" t="s">
        <v>414</v>
      </c>
      <c r="F214" s="487"/>
      <c r="G214" s="399">
        <v>65</v>
      </c>
      <c r="H214" s="488">
        <v>72</v>
      </c>
      <c r="I214" s="479" t="s">
        <v>1987</v>
      </c>
    </row>
    <row r="215" spans="1:9" x14ac:dyDescent="0.25">
      <c r="A215" s="479" t="s">
        <v>559</v>
      </c>
      <c r="B215" s="479" t="s">
        <v>412</v>
      </c>
      <c r="C215" s="479" t="s">
        <v>427</v>
      </c>
      <c r="D215" s="479" t="s">
        <v>421</v>
      </c>
      <c r="E215" s="479" t="s">
        <v>525</v>
      </c>
      <c r="F215" s="487">
        <v>0.69</v>
      </c>
      <c r="G215" s="399">
        <v>64</v>
      </c>
      <c r="H215" s="483">
        <v>72</v>
      </c>
      <c r="I215" s="479" t="s">
        <v>560</v>
      </c>
    </row>
    <row r="216" spans="1:9" x14ac:dyDescent="0.25">
      <c r="A216" s="479" t="s">
        <v>2037</v>
      </c>
      <c r="B216" s="479" t="s">
        <v>412</v>
      </c>
      <c r="C216" s="479" t="s">
        <v>413</v>
      </c>
      <c r="D216" s="479" t="s">
        <v>428</v>
      </c>
      <c r="E216" s="479" t="s">
        <v>2038</v>
      </c>
      <c r="F216" s="487">
        <v>0.78500000000000003</v>
      </c>
      <c r="G216" s="399">
        <v>64</v>
      </c>
      <c r="H216" s="488">
        <v>72</v>
      </c>
      <c r="I216" s="479" t="s">
        <v>2039</v>
      </c>
    </row>
    <row r="217" spans="1:9" x14ac:dyDescent="0.25">
      <c r="A217" s="479" t="s">
        <v>871</v>
      </c>
      <c r="B217" s="479" t="s">
        <v>412</v>
      </c>
      <c r="C217" s="479" t="s">
        <v>872</v>
      </c>
      <c r="D217" s="479" t="s">
        <v>421</v>
      </c>
      <c r="E217" s="479" t="s">
        <v>507</v>
      </c>
      <c r="F217" s="487">
        <v>0.75</v>
      </c>
      <c r="G217" s="475">
        <v>68</v>
      </c>
      <c r="H217" s="486">
        <v>75</v>
      </c>
      <c r="I217" s="479" t="s">
        <v>873</v>
      </c>
    </row>
    <row r="218" spans="1:9" x14ac:dyDescent="0.25">
      <c r="A218" s="479" t="s">
        <v>2110</v>
      </c>
      <c r="B218" s="479" t="s">
        <v>412</v>
      </c>
      <c r="C218" s="479" t="s">
        <v>413</v>
      </c>
      <c r="D218" s="479"/>
      <c r="E218" s="479"/>
      <c r="F218" s="487"/>
      <c r="G218" s="475"/>
      <c r="H218" s="486"/>
      <c r="I218" s="479"/>
    </row>
    <row r="219" spans="1:9" x14ac:dyDescent="0.25">
      <c r="A219" s="479" t="s">
        <v>1052</v>
      </c>
      <c r="B219" s="479" t="s">
        <v>412</v>
      </c>
      <c r="C219" s="479" t="s">
        <v>413</v>
      </c>
      <c r="D219" s="479" t="s">
        <v>417</v>
      </c>
      <c r="E219" s="479" t="s">
        <v>414</v>
      </c>
      <c r="F219" s="487">
        <v>0.72</v>
      </c>
      <c r="G219" s="475">
        <v>65</v>
      </c>
      <c r="H219" s="486">
        <v>70</v>
      </c>
      <c r="I219" s="479" t="s">
        <v>1053</v>
      </c>
    </row>
    <row r="220" spans="1:9" x14ac:dyDescent="0.25">
      <c r="A220" s="479" t="s">
        <v>2079</v>
      </c>
      <c r="B220" s="479" t="s">
        <v>412</v>
      </c>
      <c r="C220" s="479" t="s">
        <v>413</v>
      </c>
      <c r="D220" s="479" t="s">
        <v>423</v>
      </c>
      <c r="E220" s="479" t="s">
        <v>2080</v>
      </c>
      <c r="F220" s="487">
        <v>0.67500000000000004</v>
      </c>
      <c r="G220" s="475">
        <v>65</v>
      </c>
      <c r="H220" s="486">
        <v>75</v>
      </c>
      <c r="I220" s="479" t="s">
        <v>2081</v>
      </c>
    </row>
    <row r="221" spans="1:9" x14ac:dyDescent="0.25">
      <c r="A221" s="479" t="s">
        <v>2134</v>
      </c>
      <c r="B221" s="479" t="s">
        <v>412</v>
      </c>
      <c r="C221" s="479" t="s">
        <v>413</v>
      </c>
      <c r="D221" s="479" t="s">
        <v>414</v>
      </c>
      <c r="E221" s="479" t="s">
        <v>1174</v>
      </c>
      <c r="F221" s="487">
        <v>0.76</v>
      </c>
      <c r="G221" s="475"/>
      <c r="H221" s="486"/>
      <c r="I221" s="479" t="s">
        <v>2056</v>
      </c>
    </row>
    <row r="222" spans="1:9" x14ac:dyDescent="0.25">
      <c r="A222" s="479" t="s">
        <v>909</v>
      </c>
      <c r="B222" s="479" t="s">
        <v>412</v>
      </c>
      <c r="C222" s="479" t="s">
        <v>413</v>
      </c>
      <c r="D222" s="479" t="s">
        <v>414</v>
      </c>
      <c r="E222" s="479" t="s">
        <v>910</v>
      </c>
      <c r="F222" s="487">
        <v>0.74</v>
      </c>
      <c r="G222" s="475">
        <v>50</v>
      </c>
      <c r="H222" s="486">
        <v>55</v>
      </c>
      <c r="I222" s="479" t="s">
        <v>911</v>
      </c>
    </row>
    <row r="223" spans="1:9" x14ac:dyDescent="0.25">
      <c r="A223" s="479" t="s">
        <v>2075</v>
      </c>
      <c r="B223" s="479" t="s">
        <v>412</v>
      </c>
      <c r="C223" s="479" t="s">
        <v>413</v>
      </c>
      <c r="D223" s="479" t="s">
        <v>428</v>
      </c>
      <c r="E223" s="479" t="s">
        <v>1194</v>
      </c>
      <c r="F223" s="487">
        <v>0.77500000000000002</v>
      </c>
      <c r="G223" s="475">
        <v>65</v>
      </c>
      <c r="H223" s="486">
        <v>72</v>
      </c>
      <c r="I223" s="479" t="s">
        <v>2076</v>
      </c>
    </row>
    <row r="224" spans="1:9" x14ac:dyDescent="0.25">
      <c r="A224" s="472" t="s">
        <v>1988</v>
      </c>
      <c r="B224" s="479" t="s">
        <v>487</v>
      </c>
      <c r="C224" s="479" t="s">
        <v>863</v>
      </c>
      <c r="D224" s="479" t="s">
        <v>423</v>
      </c>
      <c r="E224" s="479" t="s">
        <v>1989</v>
      </c>
      <c r="F224" s="487"/>
      <c r="G224" s="475">
        <v>63</v>
      </c>
      <c r="H224" s="486">
        <v>72</v>
      </c>
      <c r="I224" s="479" t="s">
        <v>1990</v>
      </c>
    </row>
    <row r="225" spans="1:9" x14ac:dyDescent="0.25">
      <c r="A225" s="479" t="s">
        <v>1056</v>
      </c>
      <c r="B225" s="479" t="s">
        <v>412</v>
      </c>
      <c r="C225" s="479" t="s">
        <v>878</v>
      </c>
      <c r="D225" s="479" t="s">
        <v>414</v>
      </c>
      <c r="E225" s="479" t="s">
        <v>414</v>
      </c>
      <c r="F225" s="487"/>
      <c r="G225" s="475">
        <v>46</v>
      </c>
      <c r="H225" s="486">
        <v>54</v>
      </c>
      <c r="I225" s="479" t="s">
        <v>1057</v>
      </c>
    </row>
    <row r="226" spans="1:9" x14ac:dyDescent="0.25">
      <c r="A226" s="479" t="s">
        <v>912</v>
      </c>
      <c r="B226" s="479" t="s">
        <v>412</v>
      </c>
      <c r="C226" s="479" t="s">
        <v>413</v>
      </c>
      <c r="D226" s="479" t="s">
        <v>414</v>
      </c>
      <c r="E226" s="479" t="s">
        <v>414</v>
      </c>
      <c r="F226" s="487">
        <v>0.7</v>
      </c>
      <c r="G226" s="475">
        <v>48</v>
      </c>
      <c r="H226" s="486">
        <v>52</v>
      </c>
      <c r="I226" s="479" t="s">
        <v>913</v>
      </c>
    </row>
    <row r="227" spans="1:9" x14ac:dyDescent="0.25">
      <c r="A227" s="479" t="s">
        <v>1014</v>
      </c>
      <c r="B227" s="479" t="s">
        <v>412</v>
      </c>
      <c r="C227" s="479" t="s">
        <v>427</v>
      </c>
      <c r="D227" s="479" t="s">
        <v>414</v>
      </c>
      <c r="E227" s="479" t="s">
        <v>1015</v>
      </c>
      <c r="F227" s="487">
        <v>0.72</v>
      </c>
      <c r="G227" s="475">
        <v>48</v>
      </c>
      <c r="H227" s="486">
        <v>56</v>
      </c>
      <c r="I227" s="479" t="s">
        <v>1016</v>
      </c>
    </row>
    <row r="228" spans="1:9" x14ac:dyDescent="0.25">
      <c r="A228" s="479" t="s">
        <v>1017</v>
      </c>
      <c r="B228" s="479" t="s">
        <v>412</v>
      </c>
      <c r="C228" s="479" t="s">
        <v>427</v>
      </c>
      <c r="D228" s="479" t="s">
        <v>414</v>
      </c>
      <c r="E228" s="479" t="s">
        <v>1185</v>
      </c>
      <c r="F228" s="487">
        <v>0.73</v>
      </c>
      <c r="G228" s="475">
        <v>52</v>
      </c>
      <c r="H228" s="486">
        <v>62</v>
      </c>
      <c r="I228" s="479" t="s">
        <v>1018</v>
      </c>
    </row>
    <row r="229" spans="1:9" x14ac:dyDescent="0.25">
      <c r="A229" s="472" t="s">
        <v>1222</v>
      </c>
      <c r="B229" s="479" t="s">
        <v>487</v>
      </c>
      <c r="C229" s="479" t="s">
        <v>863</v>
      </c>
      <c r="D229" s="479" t="s">
        <v>1091</v>
      </c>
      <c r="E229" s="479" t="s">
        <v>414</v>
      </c>
      <c r="F229" s="487">
        <v>0.7</v>
      </c>
      <c r="G229" s="475">
        <v>63</v>
      </c>
      <c r="H229" s="486">
        <v>72</v>
      </c>
      <c r="I229" s="479" t="s">
        <v>1092</v>
      </c>
    </row>
    <row r="230" spans="1:9" x14ac:dyDescent="0.25">
      <c r="A230" s="479" t="s">
        <v>561</v>
      </c>
      <c r="B230" s="479" t="s">
        <v>487</v>
      </c>
      <c r="C230" s="479" t="s">
        <v>562</v>
      </c>
      <c r="D230" s="479" t="s">
        <v>421</v>
      </c>
      <c r="E230" s="479" t="s">
        <v>421</v>
      </c>
      <c r="F230" s="487"/>
      <c r="G230" s="475">
        <v>57</v>
      </c>
      <c r="H230" s="486">
        <v>77</v>
      </c>
      <c r="I230" s="479" t="s">
        <v>563</v>
      </c>
    </row>
    <row r="231" spans="1:9" x14ac:dyDescent="0.25">
      <c r="A231" s="479" t="s">
        <v>564</v>
      </c>
      <c r="B231" s="479" t="s">
        <v>487</v>
      </c>
      <c r="C231" s="479" t="s">
        <v>562</v>
      </c>
      <c r="D231" s="479" t="s">
        <v>421</v>
      </c>
      <c r="E231" s="479" t="s">
        <v>421</v>
      </c>
      <c r="F231" s="487"/>
      <c r="G231" s="475">
        <v>57</v>
      </c>
      <c r="H231" s="486">
        <v>77</v>
      </c>
      <c r="I231" s="479" t="s">
        <v>565</v>
      </c>
    </row>
    <row r="232" spans="1:9" x14ac:dyDescent="0.25">
      <c r="A232" s="479" t="s">
        <v>874</v>
      </c>
      <c r="B232" s="479" t="s">
        <v>412</v>
      </c>
      <c r="C232" s="479" t="s">
        <v>413</v>
      </c>
      <c r="D232" s="479" t="s">
        <v>414</v>
      </c>
      <c r="E232" s="479" t="s">
        <v>875</v>
      </c>
      <c r="F232" s="487">
        <v>0.80500000000000005</v>
      </c>
      <c r="G232" s="475">
        <v>76</v>
      </c>
      <c r="H232" s="486">
        <v>85</v>
      </c>
      <c r="I232" s="479" t="s">
        <v>876</v>
      </c>
    </row>
    <row r="233" spans="1:9" x14ac:dyDescent="0.25">
      <c r="A233" s="479" t="s">
        <v>1991</v>
      </c>
      <c r="B233" s="479" t="s">
        <v>487</v>
      </c>
      <c r="C233" s="479" t="s">
        <v>863</v>
      </c>
      <c r="D233" s="479" t="s">
        <v>414</v>
      </c>
      <c r="E233" s="479"/>
      <c r="F233" s="487" t="s">
        <v>414</v>
      </c>
      <c r="G233" s="475">
        <v>59</v>
      </c>
      <c r="H233" s="486">
        <v>72</v>
      </c>
      <c r="I233" s="479" t="s">
        <v>1992</v>
      </c>
    </row>
    <row r="234" spans="1:9" x14ac:dyDescent="0.25">
      <c r="A234" s="479" t="s">
        <v>2091</v>
      </c>
      <c r="B234" s="479" t="s">
        <v>412</v>
      </c>
      <c r="C234" s="479" t="s">
        <v>413</v>
      </c>
      <c r="D234" s="479" t="s">
        <v>428</v>
      </c>
      <c r="E234" s="479" t="s">
        <v>2092</v>
      </c>
      <c r="F234" s="487">
        <v>0.7</v>
      </c>
      <c r="G234" s="475"/>
      <c r="H234" s="486"/>
      <c r="I234" s="479" t="s">
        <v>2093</v>
      </c>
    </row>
    <row r="235" spans="1:9" x14ac:dyDescent="0.25">
      <c r="A235" s="479" t="s">
        <v>1032</v>
      </c>
      <c r="B235" s="479" t="s">
        <v>487</v>
      </c>
      <c r="C235" s="479" t="s">
        <v>890</v>
      </c>
      <c r="D235" s="479" t="s">
        <v>414</v>
      </c>
      <c r="E235" s="479" t="s">
        <v>414</v>
      </c>
      <c r="F235" s="487"/>
      <c r="G235" s="475">
        <v>64</v>
      </c>
      <c r="H235" s="486">
        <v>72</v>
      </c>
      <c r="I235" s="479" t="s">
        <v>1033</v>
      </c>
    </row>
    <row r="236" spans="1:9" x14ac:dyDescent="0.25">
      <c r="A236" s="479" t="s">
        <v>914</v>
      </c>
      <c r="B236" s="479" t="s">
        <v>412</v>
      </c>
      <c r="C236" s="479" t="s">
        <v>427</v>
      </c>
      <c r="D236" s="479" t="s">
        <v>421</v>
      </c>
      <c r="E236" s="479" t="s">
        <v>1183</v>
      </c>
      <c r="F236" s="487">
        <v>0.73</v>
      </c>
      <c r="G236" s="475">
        <v>52</v>
      </c>
      <c r="H236" s="486">
        <v>58</v>
      </c>
      <c r="I236" s="479" t="s">
        <v>1186</v>
      </c>
    </row>
    <row r="237" spans="1:9" x14ac:dyDescent="0.25">
      <c r="A237" s="479" t="s">
        <v>1066</v>
      </c>
      <c r="B237" s="479" t="s">
        <v>412</v>
      </c>
      <c r="C237" s="479" t="s">
        <v>420</v>
      </c>
      <c r="D237" s="479" t="s">
        <v>423</v>
      </c>
      <c r="E237" s="479" t="s">
        <v>421</v>
      </c>
      <c r="F237" s="487"/>
      <c r="G237" s="475">
        <v>68</v>
      </c>
      <c r="H237" s="486">
        <v>72</v>
      </c>
      <c r="I237" s="479" t="s">
        <v>1067</v>
      </c>
    </row>
    <row r="238" spans="1:9" x14ac:dyDescent="0.25">
      <c r="A238" s="479" t="s">
        <v>877</v>
      </c>
      <c r="B238" s="479" t="s">
        <v>412</v>
      </c>
      <c r="C238" s="479" t="s">
        <v>878</v>
      </c>
      <c r="D238" s="479" t="s">
        <v>421</v>
      </c>
      <c r="E238" s="479" t="s">
        <v>421</v>
      </c>
      <c r="F238" s="487"/>
      <c r="G238" s="475">
        <v>65</v>
      </c>
      <c r="H238" s="486">
        <v>70</v>
      </c>
      <c r="I238" s="479" t="s">
        <v>879</v>
      </c>
    </row>
    <row r="239" spans="1:9" x14ac:dyDescent="0.25">
      <c r="A239" s="479" t="s">
        <v>566</v>
      </c>
      <c r="B239" s="479" t="s">
        <v>412</v>
      </c>
      <c r="C239" s="479" t="s">
        <v>427</v>
      </c>
      <c r="D239" s="479" t="s">
        <v>421</v>
      </c>
      <c r="E239" s="479" t="s">
        <v>525</v>
      </c>
      <c r="F239" s="487">
        <v>0.69</v>
      </c>
      <c r="G239" s="475">
        <v>65</v>
      </c>
      <c r="H239" s="486">
        <v>75</v>
      </c>
      <c r="I239" s="479" t="s">
        <v>567</v>
      </c>
    </row>
    <row r="240" spans="1:9" x14ac:dyDescent="0.25">
      <c r="A240" s="479" t="s">
        <v>568</v>
      </c>
      <c r="B240" s="479" t="s">
        <v>487</v>
      </c>
      <c r="C240" s="479" t="s">
        <v>863</v>
      </c>
      <c r="D240" s="479" t="s">
        <v>421</v>
      </c>
      <c r="E240" s="479" t="s">
        <v>421</v>
      </c>
      <c r="F240" s="487">
        <v>0.75</v>
      </c>
      <c r="G240" s="475">
        <v>50</v>
      </c>
      <c r="H240" s="486">
        <v>72</v>
      </c>
      <c r="I240" s="479" t="s">
        <v>569</v>
      </c>
    </row>
    <row r="241" spans="1:9" x14ac:dyDescent="0.25">
      <c r="A241" s="479" t="s">
        <v>1080</v>
      </c>
      <c r="B241" s="479" t="s">
        <v>412</v>
      </c>
      <c r="C241" s="479" t="s">
        <v>427</v>
      </c>
      <c r="D241" s="479" t="s">
        <v>428</v>
      </c>
      <c r="E241" s="479" t="s">
        <v>429</v>
      </c>
      <c r="F241" s="487">
        <v>0.75</v>
      </c>
      <c r="G241" s="475">
        <v>48</v>
      </c>
      <c r="H241" s="486">
        <v>58</v>
      </c>
      <c r="I241" s="479" t="s">
        <v>1081</v>
      </c>
    </row>
    <row r="242" spans="1:9" x14ac:dyDescent="0.25">
      <c r="A242" s="479" t="s">
        <v>1082</v>
      </c>
      <c r="B242" s="479" t="s">
        <v>412</v>
      </c>
      <c r="C242" s="479" t="s">
        <v>413</v>
      </c>
      <c r="D242" s="479" t="s">
        <v>414</v>
      </c>
      <c r="E242" s="479" t="s">
        <v>1083</v>
      </c>
      <c r="F242" s="487">
        <v>0.69</v>
      </c>
      <c r="G242" s="475">
        <v>52</v>
      </c>
      <c r="H242" s="486">
        <v>58</v>
      </c>
      <c r="I242" s="479" t="s">
        <v>1084</v>
      </c>
    </row>
    <row r="243" spans="1:9" x14ac:dyDescent="0.25">
      <c r="A243" s="479" t="s">
        <v>1019</v>
      </c>
      <c r="B243" s="479" t="s">
        <v>412</v>
      </c>
      <c r="C243" s="479" t="s">
        <v>413</v>
      </c>
      <c r="D243" s="479" t="s">
        <v>414</v>
      </c>
      <c r="E243" s="479" t="s">
        <v>1020</v>
      </c>
      <c r="F243" s="487">
        <v>0.69</v>
      </c>
      <c r="G243" s="475">
        <v>50</v>
      </c>
      <c r="H243" s="486">
        <v>55</v>
      </c>
      <c r="I243" s="479" t="s">
        <v>1021</v>
      </c>
    </row>
    <row r="244" spans="1:9" x14ac:dyDescent="0.25">
      <c r="A244" s="479" t="s">
        <v>880</v>
      </c>
      <c r="B244" s="479" t="s">
        <v>412</v>
      </c>
      <c r="C244" s="479" t="s">
        <v>878</v>
      </c>
      <c r="D244" s="479" t="s">
        <v>421</v>
      </c>
      <c r="E244" s="479" t="s">
        <v>423</v>
      </c>
      <c r="F244" s="487">
        <v>0.76</v>
      </c>
      <c r="G244" s="475">
        <v>60</v>
      </c>
      <c r="H244" s="486">
        <v>68</v>
      </c>
      <c r="I244" s="479" t="s">
        <v>1143</v>
      </c>
    </row>
    <row r="245" spans="1:9" x14ac:dyDescent="0.25">
      <c r="A245" s="479" t="s">
        <v>881</v>
      </c>
      <c r="B245" s="479" t="s">
        <v>412</v>
      </c>
      <c r="C245" s="479" t="s">
        <v>878</v>
      </c>
      <c r="D245" s="479" t="s">
        <v>414</v>
      </c>
      <c r="E245" s="479" t="s">
        <v>414</v>
      </c>
      <c r="F245" s="487"/>
      <c r="G245" s="475">
        <v>58</v>
      </c>
      <c r="H245" s="486">
        <v>68</v>
      </c>
      <c r="I245" s="479" t="s">
        <v>882</v>
      </c>
    </row>
    <row r="246" spans="1:9" x14ac:dyDescent="0.25">
      <c r="A246" s="479" t="s">
        <v>883</v>
      </c>
      <c r="B246" s="479" t="s">
        <v>412</v>
      </c>
      <c r="C246" s="472" t="s">
        <v>413</v>
      </c>
      <c r="D246" s="479" t="s">
        <v>414</v>
      </c>
      <c r="E246" s="479" t="s">
        <v>414</v>
      </c>
      <c r="F246" s="487"/>
      <c r="G246" s="475">
        <v>66</v>
      </c>
      <c r="H246" s="486">
        <v>70</v>
      </c>
      <c r="I246" s="479" t="s">
        <v>884</v>
      </c>
    </row>
    <row r="247" spans="1:9" x14ac:dyDescent="0.25">
      <c r="A247" s="479" t="s">
        <v>2078</v>
      </c>
      <c r="B247" s="479" t="s">
        <v>412</v>
      </c>
      <c r="C247" s="472" t="s">
        <v>413</v>
      </c>
      <c r="D247" s="479" t="s">
        <v>417</v>
      </c>
      <c r="E247" s="479" t="s">
        <v>1950</v>
      </c>
      <c r="F247" s="487">
        <v>0.75</v>
      </c>
      <c r="G247" s="475">
        <v>77</v>
      </c>
      <c r="H247" s="486">
        <v>95</v>
      </c>
      <c r="I247" s="479" t="s">
        <v>2077</v>
      </c>
    </row>
    <row r="248" spans="1:9" x14ac:dyDescent="0.25">
      <c r="A248" s="479" t="s">
        <v>999</v>
      </c>
      <c r="B248" s="479" t="s">
        <v>412</v>
      </c>
      <c r="C248" s="479" t="s">
        <v>878</v>
      </c>
      <c r="D248" s="479"/>
      <c r="E248" s="479" t="s">
        <v>414</v>
      </c>
      <c r="F248" s="487"/>
      <c r="G248" s="475">
        <v>68</v>
      </c>
      <c r="H248" s="486">
        <v>74</v>
      </c>
      <c r="I248" s="479" t="s">
        <v>1000</v>
      </c>
    </row>
    <row r="249" spans="1:9" x14ac:dyDescent="0.25">
      <c r="A249" s="479" t="s">
        <v>570</v>
      </c>
      <c r="B249" s="479" t="s">
        <v>412</v>
      </c>
      <c r="C249" s="479" t="s">
        <v>413</v>
      </c>
      <c r="D249" s="479" t="s">
        <v>421</v>
      </c>
      <c r="E249" s="479" t="s">
        <v>527</v>
      </c>
      <c r="F249" s="487">
        <v>0.67500000000000004</v>
      </c>
      <c r="G249" s="475">
        <v>65</v>
      </c>
      <c r="H249" s="486">
        <v>68</v>
      </c>
      <c r="I249" s="479" t="s">
        <v>571</v>
      </c>
    </row>
    <row r="250" spans="1:9" x14ac:dyDescent="0.25">
      <c r="A250" s="479" t="s">
        <v>1001</v>
      </c>
      <c r="B250" s="479" t="s">
        <v>412</v>
      </c>
      <c r="C250" s="479" t="s">
        <v>427</v>
      </c>
      <c r="D250" s="479"/>
      <c r="E250" s="479" t="s">
        <v>125</v>
      </c>
      <c r="F250" s="487"/>
      <c r="G250" s="475">
        <v>60</v>
      </c>
      <c r="H250" s="486">
        <v>95</v>
      </c>
      <c r="I250" s="479" t="s">
        <v>998</v>
      </c>
    </row>
    <row r="251" spans="1:9" x14ac:dyDescent="0.25">
      <c r="A251" s="479" t="s">
        <v>2101</v>
      </c>
      <c r="B251" s="479" t="s">
        <v>412</v>
      </c>
      <c r="C251" s="479" t="s">
        <v>413</v>
      </c>
      <c r="D251" s="479" t="s">
        <v>2102</v>
      </c>
      <c r="E251" s="479"/>
      <c r="F251" s="487"/>
      <c r="G251" s="475"/>
      <c r="H251" s="486"/>
      <c r="I251" s="479" t="s">
        <v>2103</v>
      </c>
    </row>
    <row r="252" spans="1:9" x14ac:dyDescent="0.25">
      <c r="A252" s="479" t="s">
        <v>1068</v>
      </c>
      <c r="B252" s="479" t="s">
        <v>412</v>
      </c>
      <c r="C252" s="479" t="s">
        <v>427</v>
      </c>
      <c r="D252" s="479" t="s">
        <v>414</v>
      </c>
      <c r="E252" s="479" t="s">
        <v>554</v>
      </c>
      <c r="F252" s="487">
        <v>0.73</v>
      </c>
      <c r="G252" s="475">
        <v>48</v>
      </c>
      <c r="H252" s="486">
        <v>56</v>
      </c>
      <c r="I252" s="479" t="s">
        <v>1069</v>
      </c>
    </row>
    <row r="253" spans="1:9" x14ac:dyDescent="0.25">
      <c r="A253" s="479" t="s">
        <v>1070</v>
      </c>
      <c r="B253" s="479" t="s">
        <v>412</v>
      </c>
      <c r="C253" s="479" t="s">
        <v>413</v>
      </c>
      <c r="D253" s="479" t="s">
        <v>417</v>
      </c>
      <c r="E253" s="479" t="s">
        <v>1071</v>
      </c>
      <c r="F253" s="487">
        <v>0.745</v>
      </c>
      <c r="G253" s="475">
        <v>50</v>
      </c>
      <c r="H253" s="486">
        <v>55</v>
      </c>
      <c r="I253" s="479" t="s">
        <v>1072</v>
      </c>
    </row>
    <row r="254" spans="1:9" x14ac:dyDescent="0.25">
      <c r="A254" s="479" t="s">
        <v>2048</v>
      </c>
      <c r="B254" s="479" t="s">
        <v>412</v>
      </c>
      <c r="C254" s="479" t="s">
        <v>413</v>
      </c>
      <c r="D254" s="479" t="s">
        <v>414</v>
      </c>
      <c r="E254" s="479" t="s">
        <v>424</v>
      </c>
      <c r="F254" s="487">
        <v>0.72499999999999998</v>
      </c>
      <c r="G254" s="475">
        <v>67</v>
      </c>
      <c r="H254" s="486">
        <v>70</v>
      </c>
      <c r="I254" s="479" t="s">
        <v>2049</v>
      </c>
    </row>
    <row r="255" spans="1:9" x14ac:dyDescent="0.25">
      <c r="A255" s="479" t="s">
        <v>915</v>
      </c>
      <c r="B255" s="479" t="s">
        <v>412</v>
      </c>
      <c r="C255" s="479" t="s">
        <v>427</v>
      </c>
      <c r="D255" s="479" t="s">
        <v>423</v>
      </c>
      <c r="E255" s="479" t="s">
        <v>414</v>
      </c>
      <c r="F255" s="487"/>
      <c r="G255" s="475">
        <v>48</v>
      </c>
      <c r="H255" s="486">
        <v>68</v>
      </c>
      <c r="I255" s="479" t="s">
        <v>916</v>
      </c>
    </row>
    <row r="256" spans="1:9" x14ac:dyDescent="0.25">
      <c r="A256" s="479" t="s">
        <v>572</v>
      </c>
      <c r="B256" s="479" t="s">
        <v>412</v>
      </c>
      <c r="C256" s="479" t="s">
        <v>427</v>
      </c>
      <c r="D256" s="479" t="s">
        <v>421</v>
      </c>
      <c r="E256" s="479" t="s">
        <v>521</v>
      </c>
      <c r="F256" s="487">
        <v>0.7</v>
      </c>
      <c r="G256" s="475">
        <v>64</v>
      </c>
      <c r="H256" s="486">
        <v>74</v>
      </c>
      <c r="I256" s="479" t="s">
        <v>573</v>
      </c>
    </row>
    <row r="257" spans="1:9" x14ac:dyDescent="0.25">
      <c r="A257" s="479" t="s">
        <v>917</v>
      </c>
      <c r="B257" s="479" t="s">
        <v>412</v>
      </c>
      <c r="C257" s="479" t="s">
        <v>427</v>
      </c>
      <c r="D257" s="479" t="s">
        <v>417</v>
      </c>
      <c r="E257" s="479" t="s">
        <v>1179</v>
      </c>
      <c r="F257" s="487">
        <v>0.72</v>
      </c>
      <c r="G257" s="475">
        <v>48</v>
      </c>
      <c r="H257" s="486">
        <v>56</v>
      </c>
      <c r="I257" s="479" t="s">
        <v>1187</v>
      </c>
    </row>
    <row r="258" spans="1:9" x14ac:dyDescent="0.25">
      <c r="A258" s="479" t="s">
        <v>1002</v>
      </c>
      <c r="B258" s="479" t="s">
        <v>412</v>
      </c>
      <c r="C258" s="479" t="s">
        <v>427</v>
      </c>
      <c r="D258" s="479" t="s">
        <v>126</v>
      </c>
      <c r="E258" s="479" t="s">
        <v>1188</v>
      </c>
      <c r="F258" s="487">
        <v>0.8</v>
      </c>
      <c r="G258" s="475">
        <v>65</v>
      </c>
      <c r="H258" s="486">
        <v>85</v>
      </c>
      <c r="I258" s="479" t="s">
        <v>1189</v>
      </c>
    </row>
    <row r="259" spans="1:9" x14ac:dyDescent="0.25">
      <c r="A259" s="479" t="s">
        <v>2098</v>
      </c>
      <c r="B259" s="479" t="s">
        <v>412</v>
      </c>
      <c r="C259" s="479" t="s">
        <v>413</v>
      </c>
      <c r="D259" s="479" t="s">
        <v>423</v>
      </c>
      <c r="E259" s="479">
        <v>85</v>
      </c>
      <c r="F259" s="487">
        <v>0.85</v>
      </c>
      <c r="G259" s="475">
        <v>70</v>
      </c>
      <c r="H259" s="486">
        <v>85</v>
      </c>
      <c r="I259" s="479" t="s">
        <v>2097</v>
      </c>
    </row>
    <row r="260" spans="1:9" ht="26.4" x14ac:dyDescent="0.25">
      <c r="A260" s="479" t="s">
        <v>1199</v>
      </c>
      <c r="B260" s="479" t="s">
        <v>487</v>
      </c>
      <c r="C260" s="479" t="s">
        <v>529</v>
      </c>
      <c r="D260" s="479"/>
      <c r="E260" s="484"/>
      <c r="F260" s="487">
        <v>0.9</v>
      </c>
      <c r="G260" s="475">
        <v>64.400000000000006</v>
      </c>
      <c r="H260" s="486">
        <v>82.4</v>
      </c>
      <c r="I260" s="489" t="s">
        <v>1200</v>
      </c>
    </row>
    <row r="261" spans="1:9" ht="26.4" x14ac:dyDescent="0.25">
      <c r="A261" s="479" t="s">
        <v>1215</v>
      </c>
      <c r="B261" s="479" t="s">
        <v>487</v>
      </c>
      <c r="C261" s="479" t="s">
        <v>529</v>
      </c>
      <c r="D261" s="479"/>
      <c r="E261" s="484"/>
      <c r="F261" s="487">
        <v>0.82</v>
      </c>
      <c r="G261" s="475">
        <v>59</v>
      </c>
      <c r="H261" s="486">
        <v>68</v>
      </c>
      <c r="I261" s="489" t="s">
        <v>1216</v>
      </c>
    </row>
    <row r="262" spans="1:9" ht="39.6" x14ac:dyDescent="0.25">
      <c r="A262" s="479" t="s">
        <v>1213</v>
      </c>
      <c r="B262" s="479" t="s">
        <v>487</v>
      </c>
      <c r="C262" s="479" t="s">
        <v>529</v>
      </c>
      <c r="D262" s="479"/>
      <c r="E262" s="484"/>
      <c r="F262" s="487"/>
      <c r="G262" s="475">
        <v>59</v>
      </c>
      <c r="H262" s="486">
        <v>77</v>
      </c>
      <c r="I262" s="489" t="s">
        <v>1214</v>
      </c>
    </row>
    <row r="263" spans="1:9" ht="26.4" x14ac:dyDescent="0.25">
      <c r="A263" s="479" t="s">
        <v>1211</v>
      </c>
      <c r="B263" s="479" t="s">
        <v>487</v>
      </c>
      <c r="C263" s="479" t="s">
        <v>529</v>
      </c>
      <c r="D263" s="479"/>
      <c r="E263" s="484"/>
      <c r="F263" s="487">
        <v>0.81</v>
      </c>
      <c r="G263" s="475">
        <v>59</v>
      </c>
      <c r="H263" s="486">
        <v>68</v>
      </c>
      <c r="I263" s="489" t="s">
        <v>1212</v>
      </c>
    </row>
    <row r="264" spans="1:9" ht="39.6" x14ac:dyDescent="0.25">
      <c r="A264" s="479" t="s">
        <v>1201</v>
      </c>
      <c r="B264" s="479" t="s">
        <v>487</v>
      </c>
      <c r="C264" s="479" t="s">
        <v>529</v>
      </c>
      <c r="D264" s="479"/>
      <c r="E264" s="484"/>
      <c r="F264" s="487">
        <v>0.79</v>
      </c>
      <c r="G264" s="475">
        <v>59</v>
      </c>
      <c r="H264" s="486">
        <v>68</v>
      </c>
      <c r="I264" s="489" t="s">
        <v>1202</v>
      </c>
    </row>
    <row r="265" spans="1:9" ht="39.6" x14ac:dyDescent="0.25">
      <c r="A265" s="479" t="s">
        <v>1206</v>
      </c>
      <c r="B265" s="479" t="s">
        <v>487</v>
      </c>
      <c r="C265" s="479" t="s">
        <v>529</v>
      </c>
      <c r="D265" s="479"/>
      <c r="E265" s="484"/>
      <c r="F265" s="487">
        <v>0.75</v>
      </c>
      <c r="G265" s="475">
        <v>59</v>
      </c>
      <c r="H265" s="486">
        <v>68</v>
      </c>
      <c r="I265" s="489" t="s">
        <v>1207</v>
      </c>
    </row>
    <row r="266" spans="1:9" ht="26.4" x14ac:dyDescent="0.25">
      <c r="A266" s="479" t="s">
        <v>1204</v>
      </c>
      <c r="B266" s="479" t="s">
        <v>487</v>
      </c>
      <c r="C266" s="479" t="s">
        <v>529</v>
      </c>
      <c r="D266" s="479"/>
      <c r="E266" s="484"/>
      <c r="F266" s="487">
        <v>0.75</v>
      </c>
      <c r="G266" s="475">
        <v>59</v>
      </c>
      <c r="H266" s="486">
        <v>68</v>
      </c>
      <c r="I266" s="489" t="s">
        <v>1205</v>
      </c>
    </row>
    <row r="267" spans="1:9" ht="26.4" x14ac:dyDescent="0.25">
      <c r="A267" s="479" t="s">
        <v>1203</v>
      </c>
      <c r="B267" s="479" t="s">
        <v>487</v>
      </c>
      <c r="C267" s="479" t="s">
        <v>529</v>
      </c>
      <c r="D267" s="479" t="s">
        <v>414</v>
      </c>
      <c r="E267" s="479" t="s">
        <v>421</v>
      </c>
      <c r="F267" s="487">
        <v>0.81</v>
      </c>
      <c r="G267" s="475">
        <v>64</v>
      </c>
      <c r="H267" s="486">
        <v>82</v>
      </c>
      <c r="I267" s="489" t="s">
        <v>1198</v>
      </c>
    </row>
    <row r="268" spans="1:9" x14ac:dyDescent="0.25">
      <c r="A268" s="479" t="s">
        <v>1093</v>
      </c>
      <c r="B268" s="479" t="s">
        <v>487</v>
      </c>
      <c r="C268" s="479" t="s">
        <v>529</v>
      </c>
      <c r="D268" s="479" t="s">
        <v>421</v>
      </c>
      <c r="E268" s="479" t="s">
        <v>421</v>
      </c>
      <c r="F268" s="487">
        <v>0.86</v>
      </c>
      <c r="G268" s="475">
        <v>64</v>
      </c>
      <c r="H268" s="486">
        <v>75</v>
      </c>
      <c r="I268" s="479" t="s">
        <v>1094</v>
      </c>
    </row>
    <row r="269" spans="1:9" ht="26.4" x14ac:dyDescent="0.25">
      <c r="A269" s="479" t="s">
        <v>1217</v>
      </c>
      <c r="B269" s="479" t="s">
        <v>487</v>
      </c>
      <c r="C269" s="479" t="s">
        <v>529</v>
      </c>
      <c r="D269" s="479"/>
      <c r="E269" s="484"/>
      <c r="F269" s="487">
        <v>0.84</v>
      </c>
      <c r="G269" s="475">
        <v>53.6</v>
      </c>
      <c r="H269" s="486">
        <v>59</v>
      </c>
      <c r="I269" s="489" t="s">
        <v>1218</v>
      </c>
    </row>
    <row r="270" spans="1:9" x14ac:dyDescent="0.25">
      <c r="A270" s="479" t="s">
        <v>1210</v>
      </c>
      <c r="B270" s="479" t="s">
        <v>487</v>
      </c>
      <c r="C270" s="479" t="s">
        <v>529</v>
      </c>
      <c r="D270" s="479" t="s">
        <v>417</v>
      </c>
      <c r="E270" s="484">
        <v>0.8</v>
      </c>
      <c r="F270" s="487">
        <v>0.8</v>
      </c>
      <c r="G270" s="475">
        <v>48</v>
      </c>
      <c r="H270" s="486">
        <v>59</v>
      </c>
      <c r="I270" s="479" t="s">
        <v>1073</v>
      </c>
    </row>
    <row r="271" spans="1:9" x14ac:dyDescent="0.25">
      <c r="A271" s="479" t="s">
        <v>1209</v>
      </c>
      <c r="B271" s="479" t="s">
        <v>487</v>
      </c>
      <c r="C271" s="479" t="s">
        <v>529</v>
      </c>
      <c r="D271" s="479" t="s">
        <v>421</v>
      </c>
      <c r="E271" s="479" t="s">
        <v>421</v>
      </c>
      <c r="F271" s="487">
        <v>0.83</v>
      </c>
      <c r="G271" s="475">
        <v>54</v>
      </c>
      <c r="H271" s="486">
        <v>59</v>
      </c>
      <c r="I271" s="479" t="s">
        <v>918</v>
      </c>
    </row>
    <row r="272" spans="1:9" x14ac:dyDescent="0.25">
      <c r="A272" s="479" t="s">
        <v>1140</v>
      </c>
      <c r="B272" s="479" t="s">
        <v>412</v>
      </c>
      <c r="C272" s="479" t="s">
        <v>878</v>
      </c>
      <c r="D272" s="479" t="s">
        <v>414</v>
      </c>
      <c r="E272" s="479" t="s">
        <v>414</v>
      </c>
      <c r="F272" s="487">
        <v>0.8</v>
      </c>
      <c r="G272" s="475">
        <v>75</v>
      </c>
      <c r="H272" s="486">
        <v>85</v>
      </c>
      <c r="I272" s="479" t="s">
        <v>1141</v>
      </c>
    </row>
    <row r="273" spans="1:9" x14ac:dyDescent="0.25">
      <c r="A273" s="479" t="s">
        <v>1138</v>
      </c>
      <c r="B273" s="479" t="s">
        <v>412</v>
      </c>
      <c r="C273" s="479" t="s">
        <v>878</v>
      </c>
      <c r="D273" s="479" t="s">
        <v>414</v>
      </c>
      <c r="E273" s="479" t="s">
        <v>414</v>
      </c>
      <c r="F273" s="487">
        <v>0.77</v>
      </c>
      <c r="G273" s="475">
        <v>75</v>
      </c>
      <c r="H273" s="486">
        <v>82</v>
      </c>
      <c r="I273" s="479" t="s">
        <v>1146</v>
      </c>
    </row>
    <row r="274" spans="1:9" x14ac:dyDescent="0.25">
      <c r="A274" s="472" t="s">
        <v>1967</v>
      </c>
      <c r="B274" s="479" t="s">
        <v>412</v>
      </c>
      <c r="C274" s="479" t="s">
        <v>1925</v>
      </c>
      <c r="D274" s="479" t="s">
        <v>423</v>
      </c>
      <c r="E274" s="472" t="s">
        <v>1968</v>
      </c>
      <c r="F274" s="485">
        <v>0.85</v>
      </c>
      <c r="G274" s="475">
        <v>65</v>
      </c>
      <c r="H274" s="486">
        <v>78</v>
      </c>
      <c r="I274" s="472" t="s">
        <v>1969</v>
      </c>
    </row>
    <row r="275" spans="1:9" x14ac:dyDescent="0.25">
      <c r="A275" s="479" t="s">
        <v>885</v>
      </c>
      <c r="B275" s="479" t="s">
        <v>412</v>
      </c>
      <c r="C275" s="479" t="s">
        <v>413</v>
      </c>
      <c r="D275" s="479" t="s">
        <v>417</v>
      </c>
      <c r="E275" s="479" t="s">
        <v>421</v>
      </c>
      <c r="F275" s="487">
        <v>0.75</v>
      </c>
      <c r="G275" s="475">
        <v>65</v>
      </c>
      <c r="H275" s="486">
        <v>68</v>
      </c>
      <c r="I275" s="479" t="s">
        <v>886</v>
      </c>
    </row>
    <row r="276" spans="1:9" x14ac:dyDescent="0.25">
      <c r="A276" s="479" t="s">
        <v>574</v>
      </c>
      <c r="B276" s="479" t="s">
        <v>412</v>
      </c>
      <c r="C276" s="479" t="s">
        <v>413</v>
      </c>
      <c r="D276" s="479" t="s">
        <v>421</v>
      </c>
      <c r="E276" s="479" t="s">
        <v>527</v>
      </c>
      <c r="F276" s="487">
        <v>0.67500000000000004</v>
      </c>
      <c r="G276" s="475">
        <v>58</v>
      </c>
      <c r="H276" s="486">
        <v>65</v>
      </c>
      <c r="I276" s="479" t="s">
        <v>575</v>
      </c>
    </row>
    <row r="277" spans="1:9" x14ac:dyDescent="0.25">
      <c r="A277" s="479" t="s">
        <v>2135</v>
      </c>
      <c r="B277" s="479" t="s">
        <v>412</v>
      </c>
      <c r="C277" s="479" t="s">
        <v>413</v>
      </c>
      <c r="D277" s="479" t="s">
        <v>414</v>
      </c>
      <c r="E277" s="479" t="s">
        <v>415</v>
      </c>
      <c r="F277" s="487">
        <v>0.77500000000000002</v>
      </c>
      <c r="G277" s="475">
        <v>72</v>
      </c>
      <c r="H277" s="486">
        <v>77</v>
      </c>
      <c r="I277" s="479" t="s">
        <v>1087</v>
      </c>
    </row>
    <row r="278" spans="1:9" x14ac:dyDescent="0.25">
      <c r="A278" s="479" t="s">
        <v>576</v>
      </c>
      <c r="B278" s="479" t="s">
        <v>412</v>
      </c>
      <c r="C278" s="479" t="s">
        <v>427</v>
      </c>
      <c r="D278" s="479" t="s">
        <v>421</v>
      </c>
      <c r="E278" s="479" t="s">
        <v>577</v>
      </c>
      <c r="F278" s="487">
        <v>0.71</v>
      </c>
      <c r="G278" s="475">
        <v>55</v>
      </c>
      <c r="H278" s="486">
        <v>75</v>
      </c>
      <c r="I278" s="479" t="s">
        <v>578</v>
      </c>
    </row>
    <row r="279" spans="1:9" x14ac:dyDescent="0.25">
      <c r="A279" s="479" t="s">
        <v>921</v>
      </c>
      <c r="B279" s="479" t="s">
        <v>412</v>
      </c>
      <c r="C279" s="479" t="s">
        <v>878</v>
      </c>
      <c r="D279" s="479" t="s">
        <v>414</v>
      </c>
      <c r="E279" s="479" t="s">
        <v>1135</v>
      </c>
      <c r="F279" s="487">
        <v>0.78500000000000003</v>
      </c>
      <c r="G279" s="475">
        <v>60</v>
      </c>
      <c r="H279" s="486">
        <v>68</v>
      </c>
      <c r="I279" s="479" t="s">
        <v>1139</v>
      </c>
    </row>
    <row r="280" spans="1:9" x14ac:dyDescent="0.25">
      <c r="A280" s="479" t="s">
        <v>1149</v>
      </c>
      <c r="B280" s="479" t="s">
        <v>412</v>
      </c>
      <c r="C280" s="479" t="s">
        <v>878</v>
      </c>
      <c r="D280" s="479"/>
      <c r="E280" s="479"/>
      <c r="F280" s="487">
        <v>0.75</v>
      </c>
      <c r="G280" s="475">
        <v>62</v>
      </c>
      <c r="H280" s="486">
        <v>68</v>
      </c>
      <c r="I280" s="479" t="s">
        <v>1150</v>
      </c>
    </row>
    <row r="281" spans="1:9" x14ac:dyDescent="0.25">
      <c r="A281" s="479" t="s">
        <v>2066</v>
      </c>
      <c r="B281" s="479" t="s">
        <v>412</v>
      </c>
      <c r="C281" s="479" t="s">
        <v>413</v>
      </c>
      <c r="D281" s="479" t="s">
        <v>414</v>
      </c>
      <c r="E281" s="479" t="s">
        <v>1179</v>
      </c>
      <c r="F281" s="487">
        <v>0.72</v>
      </c>
      <c r="G281" s="475">
        <v>66</v>
      </c>
      <c r="H281" s="486">
        <v>70</v>
      </c>
      <c r="I281" s="479" t="s">
        <v>2067</v>
      </c>
    </row>
    <row r="282" spans="1:9" x14ac:dyDescent="0.25">
      <c r="A282" s="479" t="s">
        <v>1022</v>
      </c>
      <c r="B282" s="479" t="s">
        <v>412</v>
      </c>
      <c r="C282" s="479" t="s">
        <v>413</v>
      </c>
      <c r="D282" s="479" t="s">
        <v>417</v>
      </c>
      <c r="E282" s="479" t="s">
        <v>1023</v>
      </c>
      <c r="F282" s="487">
        <v>0.72</v>
      </c>
      <c r="G282" s="475">
        <v>50</v>
      </c>
      <c r="H282" s="486">
        <v>55</v>
      </c>
      <c r="I282" s="479" t="s">
        <v>1024</v>
      </c>
    </row>
    <row r="283" spans="1:9" x14ac:dyDescent="0.25">
      <c r="A283" s="479" t="s">
        <v>2045</v>
      </c>
      <c r="B283" s="479" t="s">
        <v>412</v>
      </c>
      <c r="C283" s="479" t="s">
        <v>413</v>
      </c>
      <c r="D283" s="479" t="s">
        <v>414</v>
      </c>
      <c r="E283" s="479" t="s">
        <v>2046</v>
      </c>
      <c r="F283" s="487">
        <v>0.71499999999999997</v>
      </c>
      <c r="G283" s="475">
        <v>66</v>
      </c>
      <c r="H283" s="486">
        <v>69</v>
      </c>
      <c r="I283" s="479" t="s">
        <v>2047</v>
      </c>
    </row>
    <row r="284" spans="1:9" x14ac:dyDescent="0.25">
      <c r="A284" s="479" t="s">
        <v>1025</v>
      </c>
      <c r="B284" s="479" t="s">
        <v>412</v>
      </c>
      <c r="C284" s="479" t="s">
        <v>427</v>
      </c>
      <c r="D284" s="479" t="s">
        <v>414</v>
      </c>
      <c r="E284" s="479" t="s">
        <v>1179</v>
      </c>
      <c r="F284" s="487">
        <v>0.72</v>
      </c>
      <c r="G284" s="475">
        <v>50</v>
      </c>
      <c r="H284" s="486">
        <v>58</v>
      </c>
      <c r="I284" s="479" t="s">
        <v>1190</v>
      </c>
    </row>
    <row r="285" spans="1:9" x14ac:dyDescent="0.25">
      <c r="A285" s="479" t="s">
        <v>579</v>
      </c>
      <c r="B285" s="479" t="s">
        <v>412</v>
      </c>
      <c r="C285" s="479" t="s">
        <v>413</v>
      </c>
      <c r="D285" s="479" t="s">
        <v>414</v>
      </c>
      <c r="E285" s="479" t="s">
        <v>922</v>
      </c>
      <c r="F285" s="487">
        <v>0.82</v>
      </c>
      <c r="G285" s="475">
        <v>65</v>
      </c>
      <c r="H285" s="486">
        <v>69</v>
      </c>
      <c r="I285" s="479" t="s">
        <v>580</v>
      </c>
    </row>
    <row r="286" spans="1:9" x14ac:dyDescent="0.25">
      <c r="A286" s="479" t="s">
        <v>2054</v>
      </c>
      <c r="B286" s="479" t="s">
        <v>412</v>
      </c>
      <c r="C286" s="479" t="s">
        <v>413</v>
      </c>
      <c r="D286" s="479" t="s">
        <v>414</v>
      </c>
      <c r="E286" s="479" t="s">
        <v>415</v>
      </c>
      <c r="F286" s="487">
        <v>0.77500000000000002</v>
      </c>
      <c r="G286" s="475">
        <v>75</v>
      </c>
      <c r="H286" s="486">
        <v>79</v>
      </c>
      <c r="I286" s="479" t="s">
        <v>923</v>
      </c>
    </row>
    <row r="287" spans="1:9" x14ac:dyDescent="0.25">
      <c r="A287" s="479" t="s">
        <v>2050</v>
      </c>
      <c r="B287" s="479" t="s">
        <v>412</v>
      </c>
      <c r="C287" s="479" t="s">
        <v>413</v>
      </c>
      <c r="D287" s="479" t="s">
        <v>421</v>
      </c>
      <c r="E287" s="479" t="s">
        <v>1191</v>
      </c>
      <c r="F287" s="487">
        <v>0.75</v>
      </c>
      <c r="G287" s="475"/>
      <c r="H287" s="486"/>
      <c r="I287" s="479" t="s">
        <v>2051</v>
      </c>
    </row>
    <row r="288" spans="1:9" x14ac:dyDescent="0.25">
      <c r="A288" s="479" t="s">
        <v>581</v>
      </c>
      <c r="B288" s="479" t="s">
        <v>412</v>
      </c>
      <c r="C288" s="479" t="s">
        <v>427</v>
      </c>
      <c r="D288" s="479" t="s">
        <v>414</v>
      </c>
      <c r="E288" s="479" t="s">
        <v>434</v>
      </c>
      <c r="F288" s="487">
        <v>0.74</v>
      </c>
      <c r="G288" s="475">
        <v>62</v>
      </c>
      <c r="H288" s="486">
        <v>72</v>
      </c>
      <c r="I288" s="479" t="s">
        <v>582</v>
      </c>
    </row>
    <row r="289" spans="1:9" x14ac:dyDescent="0.25">
      <c r="A289" s="479" t="s">
        <v>1034</v>
      </c>
      <c r="B289" s="479" t="s">
        <v>412</v>
      </c>
      <c r="C289" s="479" t="s">
        <v>427</v>
      </c>
      <c r="D289" s="479" t="s">
        <v>421</v>
      </c>
      <c r="E289" s="479" t="s">
        <v>1191</v>
      </c>
      <c r="F289" s="487">
        <v>0.75</v>
      </c>
      <c r="G289" s="475">
        <v>60</v>
      </c>
      <c r="H289" s="486">
        <v>70</v>
      </c>
      <c r="I289" s="479" t="s">
        <v>1192</v>
      </c>
    </row>
    <row r="290" spans="1:9" x14ac:dyDescent="0.25">
      <c r="A290" s="479" t="s">
        <v>959</v>
      </c>
      <c r="B290" s="479" t="s">
        <v>487</v>
      </c>
      <c r="C290" s="479" t="s">
        <v>872</v>
      </c>
      <c r="D290" s="479" t="s">
        <v>414</v>
      </c>
      <c r="E290" s="479" t="s">
        <v>415</v>
      </c>
      <c r="F290" s="487">
        <v>0.77500000000000002</v>
      </c>
      <c r="G290" s="475">
        <v>66</v>
      </c>
      <c r="H290" s="486">
        <v>72</v>
      </c>
      <c r="I290" s="479" t="s">
        <v>960</v>
      </c>
    </row>
    <row r="291" spans="1:9" x14ac:dyDescent="0.25">
      <c r="A291" s="479" t="s">
        <v>887</v>
      </c>
      <c r="B291" s="479" t="s">
        <v>487</v>
      </c>
      <c r="C291" s="479" t="s">
        <v>872</v>
      </c>
      <c r="D291" s="479" t="s">
        <v>421</v>
      </c>
      <c r="E291" s="479" t="s">
        <v>507</v>
      </c>
      <c r="F291" s="487">
        <v>0.75</v>
      </c>
      <c r="G291" s="475">
        <v>68</v>
      </c>
      <c r="H291" s="486">
        <v>75</v>
      </c>
      <c r="I291" s="479" t="s">
        <v>888</v>
      </c>
    </row>
    <row r="292" spans="1:9" x14ac:dyDescent="0.25">
      <c r="A292" s="479" t="s">
        <v>2090</v>
      </c>
      <c r="B292" s="479" t="s">
        <v>412</v>
      </c>
      <c r="C292" s="479" t="s">
        <v>413</v>
      </c>
      <c r="D292" s="479" t="s">
        <v>428</v>
      </c>
      <c r="E292" s="479" t="s">
        <v>2088</v>
      </c>
      <c r="F292" s="487">
        <v>0.4</v>
      </c>
      <c r="G292" s="475">
        <v>50</v>
      </c>
      <c r="H292" s="486">
        <v>86</v>
      </c>
      <c r="I292" s="479" t="s">
        <v>2089</v>
      </c>
    </row>
    <row r="293" spans="1:9" x14ac:dyDescent="0.25">
      <c r="A293" s="479" t="s">
        <v>583</v>
      </c>
      <c r="B293" s="479" t="s">
        <v>412</v>
      </c>
      <c r="C293" s="479" t="s">
        <v>420</v>
      </c>
      <c r="D293" s="479" t="s">
        <v>414</v>
      </c>
      <c r="E293" s="479" t="s">
        <v>421</v>
      </c>
      <c r="F293" s="487"/>
      <c r="G293" s="475">
        <v>64</v>
      </c>
      <c r="H293" s="486">
        <v>72</v>
      </c>
      <c r="I293" s="479" t="s">
        <v>961</v>
      </c>
    </row>
    <row r="294" spans="1:9" x14ac:dyDescent="0.25">
      <c r="A294" s="479" t="s">
        <v>584</v>
      </c>
      <c r="B294" s="479" t="s">
        <v>412</v>
      </c>
      <c r="C294" s="479" t="s">
        <v>413</v>
      </c>
      <c r="D294" s="479" t="s">
        <v>428</v>
      </c>
      <c r="E294" s="479" t="s">
        <v>415</v>
      </c>
      <c r="F294" s="487">
        <v>0.77500000000000002</v>
      </c>
      <c r="G294" s="475">
        <v>65</v>
      </c>
      <c r="H294" s="486">
        <v>72</v>
      </c>
      <c r="I294" s="479" t="s">
        <v>585</v>
      </c>
    </row>
    <row r="295" spans="1:9" x14ac:dyDescent="0.25">
      <c r="A295" s="479" t="s">
        <v>586</v>
      </c>
      <c r="B295" s="479" t="s">
        <v>412</v>
      </c>
      <c r="C295" s="479" t="s">
        <v>427</v>
      </c>
      <c r="D295" s="479" t="s">
        <v>414</v>
      </c>
      <c r="E295" s="479" t="s">
        <v>440</v>
      </c>
      <c r="F295" s="487">
        <v>0.76</v>
      </c>
      <c r="G295" s="475">
        <v>64</v>
      </c>
      <c r="H295" s="486">
        <v>78</v>
      </c>
      <c r="I295" s="479" t="s">
        <v>587</v>
      </c>
    </row>
    <row r="296" spans="1:9" x14ac:dyDescent="0.25">
      <c r="A296" s="479" t="s">
        <v>1193</v>
      </c>
      <c r="B296" s="479" t="s">
        <v>412</v>
      </c>
      <c r="C296" s="479" t="s">
        <v>427</v>
      </c>
      <c r="D296" s="479" t="s">
        <v>414</v>
      </c>
      <c r="E296" s="479" t="s">
        <v>1194</v>
      </c>
      <c r="F296" s="487">
        <v>0.77500000000000002</v>
      </c>
      <c r="G296" s="475">
        <v>68</v>
      </c>
      <c r="H296" s="486">
        <v>85</v>
      </c>
      <c r="I296" s="479" t="s">
        <v>1195</v>
      </c>
    </row>
    <row r="297" spans="1:9" x14ac:dyDescent="0.25">
      <c r="A297" s="472" t="s">
        <v>1943</v>
      </c>
      <c r="B297" s="479" t="s">
        <v>412</v>
      </c>
      <c r="C297" s="479" t="s">
        <v>1925</v>
      </c>
      <c r="D297" s="479" t="s">
        <v>423</v>
      </c>
      <c r="E297" s="472" t="s">
        <v>1944</v>
      </c>
      <c r="F297" s="487">
        <v>0.92500000000000004</v>
      </c>
      <c r="G297" s="475">
        <v>75</v>
      </c>
      <c r="H297" s="486">
        <v>85</v>
      </c>
      <c r="I297" s="472" t="s">
        <v>1945</v>
      </c>
    </row>
    <row r="298" spans="1:9" x14ac:dyDescent="0.25">
      <c r="A298" s="479" t="s">
        <v>1074</v>
      </c>
      <c r="B298" s="479" t="s">
        <v>412</v>
      </c>
      <c r="C298" s="479" t="s">
        <v>427</v>
      </c>
      <c r="D298" s="479" t="s">
        <v>417</v>
      </c>
      <c r="E298" s="479" t="s">
        <v>434</v>
      </c>
      <c r="F298" s="487">
        <v>0.74</v>
      </c>
      <c r="G298" s="475">
        <v>48</v>
      </c>
      <c r="H298" s="486">
        <v>56</v>
      </c>
      <c r="I298" s="479" t="s">
        <v>1075</v>
      </c>
    </row>
    <row r="299" spans="1:9" x14ac:dyDescent="0.25">
      <c r="A299" s="479" t="s">
        <v>889</v>
      </c>
      <c r="B299" s="479" t="s">
        <v>487</v>
      </c>
      <c r="C299" s="479" t="s">
        <v>890</v>
      </c>
      <c r="D299" s="479" t="s">
        <v>421</v>
      </c>
      <c r="E299" s="479" t="s">
        <v>421</v>
      </c>
      <c r="F299" s="487"/>
      <c r="G299" s="475">
        <v>59</v>
      </c>
      <c r="H299" s="486">
        <v>74</v>
      </c>
      <c r="I299" s="479" t="s">
        <v>891</v>
      </c>
    </row>
    <row r="300" spans="1:9" x14ac:dyDescent="0.25">
      <c r="A300" s="479" t="s">
        <v>1928</v>
      </c>
      <c r="B300" s="479" t="s">
        <v>412</v>
      </c>
      <c r="C300" s="479" t="s">
        <v>1925</v>
      </c>
      <c r="D300" s="479" t="s">
        <v>414</v>
      </c>
      <c r="E300" s="479" t="s">
        <v>1929</v>
      </c>
      <c r="F300" s="487">
        <v>0.78500000000000003</v>
      </c>
      <c r="G300" s="475">
        <v>72</v>
      </c>
      <c r="H300" s="486">
        <v>98</v>
      </c>
      <c r="I300" s="479" t="s">
        <v>1930</v>
      </c>
    </row>
    <row r="301" spans="1:9" x14ac:dyDescent="0.25">
      <c r="A301" s="472" t="s">
        <v>1625</v>
      </c>
      <c r="B301" s="472" t="s">
        <v>412</v>
      </c>
      <c r="C301" s="472" t="s">
        <v>1566</v>
      </c>
      <c r="D301" s="472" t="s">
        <v>423</v>
      </c>
      <c r="E301" s="472" t="s">
        <v>1194</v>
      </c>
      <c r="F301" s="485">
        <v>0.77500000000000002</v>
      </c>
      <c r="G301" s="475">
        <v>64</v>
      </c>
      <c r="H301" s="486">
        <v>74</v>
      </c>
      <c r="I301" s="472" t="s">
        <v>1626</v>
      </c>
    </row>
    <row r="302" spans="1:9" x14ac:dyDescent="0.25">
      <c r="A302" s="479" t="s">
        <v>588</v>
      </c>
      <c r="B302" s="479" t="s">
        <v>412</v>
      </c>
      <c r="C302" s="479" t="s">
        <v>427</v>
      </c>
      <c r="D302" s="479" t="s">
        <v>423</v>
      </c>
      <c r="E302" s="479" t="s">
        <v>429</v>
      </c>
      <c r="F302" s="487">
        <v>0.75</v>
      </c>
      <c r="G302" s="475">
        <v>64</v>
      </c>
      <c r="H302" s="486">
        <v>75</v>
      </c>
      <c r="I302" s="479" t="s">
        <v>589</v>
      </c>
    </row>
    <row r="303" spans="1:9" x14ac:dyDescent="0.25">
      <c r="A303" s="472" t="s">
        <v>1946</v>
      </c>
      <c r="B303" s="479" t="s">
        <v>412</v>
      </c>
      <c r="C303" s="479" t="s">
        <v>1925</v>
      </c>
      <c r="D303" s="479" t="s">
        <v>428</v>
      </c>
      <c r="E303" s="472" t="s">
        <v>1947</v>
      </c>
      <c r="F303" s="485">
        <v>0.76500000000000001</v>
      </c>
      <c r="G303" s="475">
        <v>60</v>
      </c>
      <c r="H303" s="486">
        <v>73</v>
      </c>
      <c r="I303" s="472" t="s">
        <v>1948</v>
      </c>
    </row>
    <row r="304" spans="1:9" x14ac:dyDescent="0.25">
      <c r="A304" s="479" t="s">
        <v>1035</v>
      </c>
      <c r="B304" s="479" t="s">
        <v>412</v>
      </c>
      <c r="C304" s="479" t="s">
        <v>427</v>
      </c>
      <c r="D304" s="479" t="s">
        <v>421</v>
      </c>
      <c r="E304" s="479" t="s">
        <v>1196</v>
      </c>
      <c r="F304" s="487">
        <v>0.69</v>
      </c>
      <c r="G304" s="475">
        <v>64</v>
      </c>
      <c r="H304" s="486">
        <v>72</v>
      </c>
      <c r="I304" s="479" t="s">
        <v>1197</v>
      </c>
    </row>
    <row r="305" spans="1:9" x14ac:dyDescent="0.25">
      <c r="A305" s="479" t="s">
        <v>590</v>
      </c>
      <c r="B305" s="479" t="s">
        <v>412</v>
      </c>
      <c r="C305" s="479" t="s">
        <v>427</v>
      </c>
      <c r="D305" s="479" t="s">
        <v>421</v>
      </c>
      <c r="E305" s="479" t="s">
        <v>521</v>
      </c>
      <c r="F305" s="487">
        <v>0.7</v>
      </c>
      <c r="G305" s="475">
        <v>64</v>
      </c>
      <c r="H305" s="486">
        <v>74</v>
      </c>
      <c r="I305" s="479" t="s">
        <v>591</v>
      </c>
    </row>
    <row r="306" spans="1:9" x14ac:dyDescent="0.25">
      <c r="A306" s="479" t="s">
        <v>2042</v>
      </c>
      <c r="B306" s="479" t="s">
        <v>412</v>
      </c>
      <c r="C306" s="479" t="s">
        <v>413</v>
      </c>
      <c r="D306" s="479" t="s">
        <v>421</v>
      </c>
      <c r="E306" s="479" t="s">
        <v>592</v>
      </c>
      <c r="F306" s="487">
        <v>0.7</v>
      </c>
      <c r="G306" s="475">
        <v>66</v>
      </c>
      <c r="H306" s="486">
        <v>70</v>
      </c>
      <c r="I306" s="479" t="s">
        <v>593</v>
      </c>
    </row>
    <row r="307" spans="1:9" x14ac:dyDescent="0.25">
      <c r="A307" s="479" t="s">
        <v>924</v>
      </c>
      <c r="B307" s="479" t="s">
        <v>487</v>
      </c>
      <c r="C307" s="479" t="s">
        <v>863</v>
      </c>
      <c r="D307" s="479" t="s">
        <v>423</v>
      </c>
      <c r="E307" s="479" t="s">
        <v>414</v>
      </c>
      <c r="F307" s="487">
        <v>0.75</v>
      </c>
      <c r="G307" s="475">
        <v>59</v>
      </c>
      <c r="H307" s="486">
        <v>72</v>
      </c>
      <c r="I307" s="479" t="s">
        <v>594</v>
      </c>
    </row>
    <row r="308" spans="1:9" x14ac:dyDescent="0.25">
      <c r="A308" s="479" t="s">
        <v>892</v>
      </c>
      <c r="B308" s="479" t="s">
        <v>487</v>
      </c>
      <c r="C308" s="479" t="s">
        <v>890</v>
      </c>
      <c r="D308" s="479" t="s">
        <v>414</v>
      </c>
      <c r="E308" s="479" t="s">
        <v>421</v>
      </c>
      <c r="F308" s="487"/>
      <c r="G308" s="475">
        <v>59</v>
      </c>
      <c r="H308" s="486">
        <v>68</v>
      </c>
      <c r="I308" s="479" t="s">
        <v>893</v>
      </c>
    </row>
    <row r="309" spans="1:9" x14ac:dyDescent="0.25">
      <c r="A309" s="479" t="s">
        <v>1043</v>
      </c>
      <c r="B309" s="479" t="s">
        <v>487</v>
      </c>
      <c r="C309" s="479" t="s">
        <v>872</v>
      </c>
      <c r="D309" s="479" t="s">
        <v>414</v>
      </c>
      <c r="E309" s="479" t="s">
        <v>472</v>
      </c>
      <c r="F309" s="487">
        <v>0.7</v>
      </c>
      <c r="G309" s="475">
        <v>65</v>
      </c>
      <c r="H309" s="486">
        <v>70</v>
      </c>
      <c r="I309" s="479" t="s">
        <v>1044</v>
      </c>
    </row>
    <row r="310" spans="1:9" x14ac:dyDescent="0.25">
      <c r="A310" s="479" t="s">
        <v>1036</v>
      </c>
      <c r="B310" s="479" t="s">
        <v>412</v>
      </c>
      <c r="C310" s="479" t="s">
        <v>413</v>
      </c>
      <c r="D310" s="479" t="s">
        <v>421</v>
      </c>
      <c r="E310" s="479" t="s">
        <v>423</v>
      </c>
      <c r="F310" s="487">
        <v>0.7</v>
      </c>
      <c r="G310" s="475">
        <v>65</v>
      </c>
      <c r="H310" s="486">
        <v>70</v>
      </c>
      <c r="I310" s="479" t="s">
        <v>1037</v>
      </c>
    </row>
    <row r="311" spans="1:9" x14ac:dyDescent="0.25">
      <c r="A311" s="479" t="s">
        <v>1076</v>
      </c>
      <c r="B311" s="479" t="s">
        <v>412</v>
      </c>
      <c r="C311" s="479" t="s">
        <v>413</v>
      </c>
      <c r="D311" s="479" t="s">
        <v>414</v>
      </c>
      <c r="E311" s="479" t="s">
        <v>507</v>
      </c>
      <c r="F311" s="487">
        <v>0.75</v>
      </c>
      <c r="G311" s="475">
        <v>50</v>
      </c>
      <c r="H311" s="486">
        <v>55</v>
      </c>
      <c r="I311" s="479" t="s">
        <v>1077</v>
      </c>
    </row>
    <row r="312" spans="1:9" x14ac:dyDescent="0.25">
      <c r="A312" s="479"/>
      <c r="B312" s="479"/>
      <c r="C312" s="479"/>
      <c r="D312" s="479"/>
      <c r="E312" s="479"/>
      <c r="F312" s="479"/>
      <c r="G312" s="475"/>
      <c r="H312" s="475"/>
      <c r="I312" s="479"/>
    </row>
    <row r="313" spans="1:9" x14ac:dyDescent="0.25">
      <c r="A313" s="479"/>
      <c r="B313" s="479"/>
      <c r="C313" s="479"/>
      <c r="D313" s="479"/>
      <c r="E313" s="479"/>
      <c r="F313" s="479"/>
      <c r="G313" s="475"/>
      <c r="H313" s="475"/>
      <c r="I313" s="479"/>
    </row>
    <row r="314" spans="1:9" x14ac:dyDescent="0.25">
      <c r="A314" s="479"/>
      <c r="B314" s="479"/>
      <c r="C314" s="479"/>
      <c r="D314" s="479"/>
      <c r="E314" s="479"/>
      <c r="F314" s="479"/>
      <c r="G314" s="475"/>
      <c r="H314" s="475"/>
      <c r="I314" s="479"/>
    </row>
    <row r="315" spans="1:9" x14ac:dyDescent="0.25">
      <c r="A315" s="479"/>
      <c r="B315" s="479"/>
      <c r="C315" s="479"/>
      <c r="D315" s="479"/>
      <c r="E315" s="479"/>
      <c r="F315" s="479"/>
      <c r="G315" s="475"/>
      <c r="H315" s="475"/>
      <c r="I315" s="479"/>
    </row>
    <row r="316" spans="1:9" x14ac:dyDescent="0.25">
      <c r="A316" s="479"/>
      <c r="B316" s="479"/>
      <c r="C316" s="479"/>
      <c r="D316" s="479"/>
      <c r="E316" s="479"/>
      <c r="F316" s="479"/>
      <c r="G316" s="475"/>
      <c r="H316" s="475"/>
      <c r="I316" s="479"/>
    </row>
    <row r="317" spans="1:9" x14ac:dyDescent="0.25">
      <c r="A317" s="479"/>
      <c r="B317" s="479"/>
      <c r="C317" s="479"/>
      <c r="D317" s="479"/>
      <c r="E317" s="479"/>
      <c r="F317" s="479"/>
      <c r="G317" s="475"/>
      <c r="H317" s="475"/>
      <c r="I317" s="479"/>
    </row>
    <row r="318" spans="1:9" x14ac:dyDescent="0.25">
      <c r="A318" s="479"/>
      <c r="B318" s="479"/>
      <c r="C318" s="479"/>
      <c r="D318" s="479"/>
      <c r="E318" s="479"/>
      <c r="F318" s="479"/>
      <c r="G318" s="475"/>
      <c r="H318" s="475"/>
      <c r="I318" s="479"/>
    </row>
    <row r="319" spans="1:9" x14ac:dyDescent="0.25">
      <c r="A319" s="479"/>
      <c r="B319" s="479"/>
      <c r="C319" s="479"/>
      <c r="D319" s="479"/>
      <c r="E319" s="479"/>
      <c r="F319" s="479"/>
      <c r="G319" s="475"/>
      <c r="H319" s="475"/>
      <c r="I319" s="479"/>
    </row>
    <row r="320" spans="1:9" x14ac:dyDescent="0.25">
      <c r="A320" s="479"/>
      <c r="B320" s="479"/>
      <c r="C320" s="479"/>
      <c r="D320" s="479"/>
      <c r="E320" s="479"/>
      <c r="F320" s="479"/>
      <c r="G320" s="475"/>
      <c r="H320" s="475"/>
      <c r="I320" s="479"/>
    </row>
    <row r="321" spans="1:9" x14ac:dyDescent="0.25">
      <c r="A321" s="479"/>
      <c r="B321" s="479"/>
      <c r="C321" s="479"/>
      <c r="D321" s="479"/>
      <c r="E321" s="479"/>
      <c r="F321" s="479"/>
      <c r="G321" s="475"/>
      <c r="H321" s="475"/>
      <c r="I321" s="479"/>
    </row>
    <row r="322" spans="1:9" x14ac:dyDescent="0.25">
      <c r="A322" s="479"/>
      <c r="B322" s="479"/>
      <c r="C322" s="479"/>
      <c r="D322" s="479"/>
      <c r="E322" s="479"/>
      <c r="F322" s="479"/>
      <c r="G322" s="475"/>
      <c r="H322" s="475"/>
      <c r="I322" s="479"/>
    </row>
    <row r="323" spans="1:9" x14ac:dyDescent="0.25">
      <c r="A323" s="479"/>
      <c r="B323" s="479"/>
      <c r="C323" s="479"/>
      <c r="D323" s="479"/>
      <c r="E323" s="479"/>
      <c r="F323" s="479"/>
      <c r="G323" s="475"/>
      <c r="H323" s="475"/>
      <c r="I323" s="479"/>
    </row>
    <row r="324" spans="1:9" x14ac:dyDescent="0.25">
      <c r="A324" s="479"/>
      <c r="B324" s="479"/>
      <c r="C324" s="479"/>
      <c r="D324" s="479"/>
      <c r="E324" s="479"/>
      <c r="F324" s="479"/>
      <c r="G324" s="475"/>
      <c r="H324" s="475"/>
      <c r="I324" s="479"/>
    </row>
    <row r="325" spans="1:9" x14ac:dyDescent="0.25">
      <c r="A325" s="479"/>
      <c r="B325" s="479"/>
      <c r="C325" s="479"/>
      <c r="D325" s="479"/>
      <c r="E325" s="479"/>
      <c r="F325" s="479"/>
      <c r="G325" s="475"/>
      <c r="H325" s="475"/>
      <c r="I325" s="479"/>
    </row>
    <row r="326" spans="1:9" x14ac:dyDescent="0.25">
      <c r="A326" s="479"/>
      <c r="B326" s="479"/>
      <c r="C326" s="479"/>
      <c r="D326" s="479"/>
      <c r="E326" s="479"/>
      <c r="F326" s="479"/>
      <c r="G326" s="475"/>
      <c r="H326" s="475"/>
      <c r="I326" s="479"/>
    </row>
    <row r="327" spans="1:9" x14ac:dyDescent="0.25">
      <c r="A327" s="479"/>
      <c r="B327" s="479"/>
      <c r="C327" s="479"/>
      <c r="D327" s="479"/>
      <c r="E327" s="479"/>
      <c r="F327" s="479"/>
      <c r="G327" s="475"/>
      <c r="H327" s="475"/>
      <c r="I327" s="479"/>
    </row>
    <row r="328" spans="1:9" x14ac:dyDescent="0.25">
      <c r="A328" s="479"/>
      <c r="B328" s="479"/>
      <c r="C328" s="479"/>
      <c r="D328" s="479"/>
      <c r="E328" s="479"/>
      <c r="F328" s="479"/>
      <c r="G328" s="475"/>
      <c r="H328" s="475"/>
      <c r="I328" s="479"/>
    </row>
    <row r="329" spans="1:9" x14ac:dyDescent="0.25">
      <c r="A329" s="479"/>
      <c r="B329" s="479"/>
      <c r="C329" s="479"/>
      <c r="D329" s="479"/>
      <c r="E329" s="479"/>
      <c r="F329" s="479"/>
      <c r="G329" s="475"/>
      <c r="H329" s="475"/>
      <c r="I329" s="479"/>
    </row>
    <row r="330" spans="1:9" x14ac:dyDescent="0.25">
      <c r="A330" s="479"/>
      <c r="B330" s="479"/>
      <c r="C330" s="479"/>
      <c r="D330" s="479"/>
      <c r="E330" s="479"/>
      <c r="F330" s="479"/>
      <c r="G330" s="475"/>
      <c r="H330" s="475"/>
      <c r="I330" s="479"/>
    </row>
    <row r="331" spans="1:9" x14ac:dyDescent="0.25">
      <c r="A331" s="479"/>
      <c r="B331" s="479"/>
      <c r="C331" s="479"/>
      <c r="D331" s="479"/>
      <c r="E331" s="479"/>
      <c r="F331" s="479"/>
      <c r="G331" s="475"/>
      <c r="H331" s="475"/>
      <c r="I331" s="479"/>
    </row>
    <row r="332" spans="1:9" x14ac:dyDescent="0.25">
      <c r="A332" s="479"/>
      <c r="B332" s="479"/>
      <c r="C332" s="479"/>
      <c r="D332" s="479"/>
      <c r="E332" s="479"/>
      <c r="F332" s="479"/>
      <c r="G332" s="475"/>
      <c r="H332" s="475"/>
      <c r="I332" s="479"/>
    </row>
    <row r="333" spans="1:9" x14ac:dyDescent="0.25">
      <c r="A333" s="479"/>
      <c r="B333" s="479"/>
      <c r="C333" s="479"/>
      <c r="D333" s="479"/>
      <c r="E333" s="479"/>
      <c r="F333" s="479"/>
      <c r="G333" s="475"/>
      <c r="H333" s="475"/>
      <c r="I333" s="479"/>
    </row>
    <row r="334" spans="1:9" x14ac:dyDescent="0.25">
      <c r="A334" s="479"/>
      <c r="B334" s="479"/>
      <c r="C334" s="479"/>
      <c r="D334" s="479"/>
      <c r="E334" s="479"/>
      <c r="F334" s="479"/>
      <c r="G334" s="475"/>
      <c r="H334" s="475"/>
      <c r="I334" s="479"/>
    </row>
    <row r="335" spans="1:9" x14ac:dyDescent="0.25">
      <c r="A335" s="479"/>
      <c r="B335" s="479"/>
      <c r="C335" s="479"/>
      <c r="D335" s="479"/>
      <c r="E335" s="479"/>
      <c r="F335" s="479"/>
      <c r="G335" s="475"/>
      <c r="H335" s="475"/>
      <c r="I335" s="479"/>
    </row>
    <row r="336" spans="1:9" x14ac:dyDescent="0.25">
      <c r="A336" s="479"/>
      <c r="B336" s="479"/>
      <c r="C336" s="479"/>
      <c r="D336" s="479"/>
      <c r="E336" s="479"/>
      <c r="F336" s="479"/>
      <c r="G336" s="475"/>
      <c r="H336" s="475"/>
      <c r="I336" s="479"/>
    </row>
    <row r="337" spans="1:9" x14ac:dyDescent="0.25">
      <c r="A337" s="479"/>
      <c r="B337" s="479"/>
      <c r="C337" s="479"/>
      <c r="D337" s="479"/>
      <c r="E337" s="479"/>
      <c r="F337" s="479"/>
      <c r="G337" s="475"/>
      <c r="H337" s="475"/>
      <c r="I337" s="479"/>
    </row>
    <row r="338" spans="1:9" x14ac:dyDescent="0.25">
      <c r="A338" s="479"/>
      <c r="B338" s="479"/>
      <c r="C338" s="479"/>
      <c r="D338" s="479"/>
      <c r="E338" s="479"/>
      <c r="F338" s="479"/>
      <c r="G338" s="475"/>
      <c r="H338" s="475"/>
      <c r="I338" s="479"/>
    </row>
    <row r="339" spans="1:9" x14ac:dyDescent="0.25">
      <c r="A339" s="479"/>
      <c r="B339" s="479"/>
      <c r="C339" s="479"/>
      <c r="D339" s="479"/>
      <c r="E339" s="479"/>
      <c r="F339" s="479"/>
      <c r="G339" s="475"/>
      <c r="H339" s="475"/>
      <c r="I339" s="479"/>
    </row>
    <row r="340" spans="1:9" x14ac:dyDescent="0.25">
      <c r="A340" s="479"/>
      <c r="B340" s="479"/>
      <c r="C340" s="479"/>
      <c r="D340" s="479"/>
      <c r="E340" s="479"/>
      <c r="F340" s="479"/>
      <c r="G340" s="475"/>
      <c r="H340" s="475"/>
      <c r="I340" s="479"/>
    </row>
    <row r="341" spans="1:9" x14ac:dyDescent="0.25">
      <c r="A341" s="479"/>
      <c r="B341" s="479"/>
      <c r="C341" s="479"/>
      <c r="D341" s="479"/>
      <c r="E341" s="479"/>
      <c r="F341" s="479"/>
      <c r="G341" s="475"/>
      <c r="H341" s="475"/>
      <c r="I341" s="479"/>
    </row>
    <row r="342" spans="1:9" x14ac:dyDescent="0.25">
      <c r="A342" s="479"/>
      <c r="B342" s="479"/>
      <c r="C342" s="479"/>
      <c r="D342" s="479"/>
      <c r="E342" s="479"/>
      <c r="F342" s="479"/>
      <c r="G342" s="475"/>
      <c r="H342" s="475"/>
      <c r="I342" s="479"/>
    </row>
    <row r="343" spans="1:9" x14ac:dyDescent="0.25">
      <c r="A343" s="479"/>
      <c r="B343" s="479"/>
      <c r="C343" s="479"/>
      <c r="D343" s="479"/>
      <c r="E343" s="479"/>
      <c r="F343" s="479"/>
      <c r="G343" s="475"/>
      <c r="H343" s="475"/>
      <c r="I343" s="479"/>
    </row>
    <row r="344" spans="1:9" x14ac:dyDescent="0.25">
      <c r="A344" s="479"/>
      <c r="B344" s="479"/>
      <c r="C344" s="479"/>
      <c r="D344" s="479"/>
      <c r="E344" s="479"/>
      <c r="F344" s="479"/>
      <c r="G344" s="475"/>
      <c r="H344" s="475"/>
      <c r="I344" s="479"/>
    </row>
    <row r="345" spans="1:9" x14ac:dyDescent="0.25">
      <c r="A345" s="479"/>
      <c r="B345" s="479"/>
      <c r="C345" s="479"/>
      <c r="D345" s="479"/>
      <c r="E345" s="479"/>
      <c r="F345" s="479"/>
      <c r="G345" s="475"/>
      <c r="H345" s="475"/>
      <c r="I345" s="479"/>
    </row>
    <row r="346" spans="1:9" x14ac:dyDescent="0.25">
      <c r="A346" s="479"/>
      <c r="B346" s="479"/>
      <c r="C346" s="479"/>
      <c r="D346" s="479"/>
      <c r="E346" s="479"/>
      <c r="F346" s="479"/>
      <c r="G346" s="475"/>
      <c r="H346" s="475"/>
      <c r="I346" s="479"/>
    </row>
    <row r="347" spans="1:9" x14ac:dyDescent="0.25">
      <c r="A347" s="479"/>
      <c r="B347" s="479"/>
      <c r="C347" s="479"/>
      <c r="D347" s="479"/>
      <c r="E347" s="479"/>
      <c r="F347" s="479"/>
      <c r="G347" s="475"/>
      <c r="H347" s="475"/>
      <c r="I347" s="479"/>
    </row>
    <row r="348" spans="1:9" x14ac:dyDescent="0.25">
      <c r="A348" s="479"/>
      <c r="B348" s="479"/>
      <c r="C348" s="479"/>
      <c r="D348" s="479"/>
      <c r="E348" s="479"/>
      <c r="F348" s="479"/>
      <c r="G348" s="475"/>
      <c r="H348" s="475"/>
      <c r="I348" s="479"/>
    </row>
    <row r="349" spans="1:9" x14ac:dyDescent="0.25">
      <c r="A349" s="479"/>
      <c r="B349" s="479"/>
      <c r="C349" s="479"/>
      <c r="D349" s="479"/>
      <c r="E349" s="479"/>
      <c r="F349" s="479"/>
      <c r="G349" s="475"/>
      <c r="H349" s="475"/>
      <c r="I349" s="479"/>
    </row>
    <row r="350" spans="1:9" x14ac:dyDescent="0.25">
      <c r="A350" s="479"/>
      <c r="B350" s="479"/>
      <c r="C350" s="479"/>
      <c r="D350" s="479"/>
      <c r="E350" s="479"/>
      <c r="F350" s="479"/>
      <c r="G350" s="475"/>
      <c r="H350" s="475"/>
      <c r="I350" s="479"/>
    </row>
  </sheetData>
  <sheetProtection sheet="1" formatRows="0" insertRows="0" insertHyperlinks="0" deleteRows="0" selectLockedCells="1" sort="0"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F5" sqref="F5"/>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1358" t="s">
        <v>1646</v>
      </c>
      <c r="B1" s="1358"/>
      <c r="C1" s="1358"/>
      <c r="F1" s="76" t="s">
        <v>100</v>
      </c>
      <c r="G1" s="382" t="s">
        <v>1647</v>
      </c>
    </row>
    <row r="2" spans="1:7" ht="14.4" x14ac:dyDescent="0.3">
      <c r="A2" s="1" t="s">
        <v>1648</v>
      </c>
      <c r="B2" s="383">
        <v>14.74</v>
      </c>
      <c r="C2" s="2" t="s">
        <v>1649</v>
      </c>
      <c r="E2" s="1358" t="s">
        <v>1650</v>
      </c>
      <c r="F2" s="1358"/>
      <c r="G2" s="1358"/>
    </row>
    <row r="3" spans="1:7" x14ac:dyDescent="0.25">
      <c r="A3" s="1" t="s">
        <v>1229</v>
      </c>
      <c r="B3" s="404">
        <f>1+(B2/(258.6-((B2/258.2)*227.1) ) )</f>
        <v>1.0600076319236915</v>
      </c>
      <c r="C3" s="2"/>
      <c r="D3" s="4"/>
      <c r="E3" s="1" t="s">
        <v>1651</v>
      </c>
      <c r="F3" s="383">
        <v>60</v>
      </c>
      <c r="G3" s="2" t="str">
        <f>IF($G$1="Fahrenheit","°F","°C")</f>
        <v>°F</v>
      </c>
    </row>
    <row r="4" spans="1:7" x14ac:dyDescent="0.25">
      <c r="A4" s="1" t="s">
        <v>1652</v>
      </c>
      <c r="B4" s="383">
        <v>204</v>
      </c>
      <c r="C4" s="2" t="s">
        <v>1653</v>
      </c>
      <c r="D4" s="4"/>
      <c r="E4" s="1" t="s">
        <v>1656</v>
      </c>
      <c r="F4" s="383">
        <v>61</v>
      </c>
      <c r="G4" s="2" t="str">
        <f>IF($G$1="Fahrenheit","°F","°C")</f>
        <v>°F</v>
      </c>
    </row>
    <row r="5" spans="1:7" x14ac:dyDescent="0.25">
      <c r="A5" s="1" t="s">
        <v>1655</v>
      </c>
      <c r="B5" s="405">
        <f>B4*B2/100</f>
        <v>30.069600000000001</v>
      </c>
      <c r="C5" s="2" t="s">
        <v>1653</v>
      </c>
      <c r="D5" s="4"/>
      <c r="E5" s="1" t="s">
        <v>1654</v>
      </c>
      <c r="F5" s="384">
        <v>1.0580000000000001</v>
      </c>
    </row>
    <row r="6" spans="1:7" x14ac:dyDescent="0.25">
      <c r="A6" s="1" t="s">
        <v>1657</v>
      </c>
      <c r="B6" s="405">
        <f>B4-B5</f>
        <v>173.93039999999999</v>
      </c>
      <c r="C6" s="2" t="s">
        <v>1653</v>
      </c>
      <c r="D6" s="4"/>
      <c r="E6" s="1" t="s">
        <v>1658</v>
      </c>
      <c r="F6" s="406">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1359" t="s">
        <v>1660</v>
      </c>
      <c r="B8" s="1359"/>
      <c r="C8" s="1359"/>
      <c r="G8" s="4"/>
    </row>
    <row r="9" spans="1:7" x14ac:dyDescent="0.25">
      <c r="A9" s="1" t="s">
        <v>1659</v>
      </c>
      <c r="B9" s="383">
        <v>14.74</v>
      </c>
      <c r="C9" s="2"/>
    </row>
    <row r="10" spans="1:7" x14ac:dyDescent="0.25">
      <c r="A10" s="1" t="s">
        <v>1229</v>
      </c>
      <c r="B10" s="404">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C3" sqref="C3"/>
    </sheetView>
  </sheetViews>
  <sheetFormatPr defaultColWidth="8.88671875" defaultRowHeight="14.4" x14ac:dyDescent="0.3"/>
  <cols>
    <col min="1" max="1" width="33.44140625" style="369" bestFit="1" customWidth="1"/>
    <col min="2" max="2" width="5.109375" style="369" customWidth="1"/>
    <col min="3" max="3" width="12" style="369" customWidth="1"/>
    <col min="4" max="4" width="7.6640625" style="369" bestFit="1" customWidth="1"/>
    <col min="5" max="5" width="9.44140625" style="369" customWidth="1"/>
    <col min="6" max="6" width="7.33203125" style="369" bestFit="1" customWidth="1"/>
    <col min="7" max="7" width="8.88671875" style="369"/>
    <col min="8" max="8" width="12" style="369" bestFit="1" customWidth="1"/>
    <col min="9" max="16384" width="8.88671875" style="369"/>
  </cols>
  <sheetData>
    <row r="1" spans="1:6" x14ac:dyDescent="0.3">
      <c r="C1" s="370" t="s">
        <v>1805</v>
      </c>
    </row>
    <row r="2" spans="1:6" ht="16.2" x14ac:dyDescent="0.3">
      <c r="A2" s="369" t="s">
        <v>1806</v>
      </c>
      <c r="B2" s="369" t="s">
        <v>1807</v>
      </c>
      <c r="C2" s="412">
        <v>12</v>
      </c>
      <c r="D2" s="369" t="s">
        <v>1808</v>
      </c>
      <c r="E2" s="371">
        <f>C2*144</f>
        <v>1728</v>
      </c>
      <c r="F2" s="369" t="s">
        <v>1809</v>
      </c>
    </row>
    <row r="3" spans="1:6" x14ac:dyDescent="0.3">
      <c r="A3" s="369" t="s">
        <v>1810</v>
      </c>
      <c r="B3" s="369" t="s">
        <v>1811</v>
      </c>
      <c r="C3" s="413">
        <v>1.01</v>
      </c>
    </row>
    <row r="4" spans="1:6" ht="15.6" x14ac:dyDescent="0.35">
      <c r="A4" s="369" t="s">
        <v>1812</v>
      </c>
      <c r="B4" s="369" t="s">
        <v>1813</v>
      </c>
      <c r="C4" s="414">
        <f>31/12</f>
        <v>2.5833333333333335</v>
      </c>
      <c r="D4" s="369">
        <v>22</v>
      </c>
    </row>
    <row r="5" spans="1:6" x14ac:dyDescent="0.3">
      <c r="A5" s="369" t="s">
        <v>1814</v>
      </c>
      <c r="B5" s="369" t="s">
        <v>487</v>
      </c>
      <c r="C5" s="412">
        <v>0.1875</v>
      </c>
      <c r="D5" s="369" t="s">
        <v>1815</v>
      </c>
      <c r="E5" s="371">
        <f>C5/12</f>
        <v>1.5625E-2</v>
      </c>
      <c r="F5" s="369" t="s">
        <v>1816</v>
      </c>
    </row>
    <row r="6" spans="1:6" x14ac:dyDescent="0.3">
      <c r="A6" s="369" t="s">
        <v>1817</v>
      </c>
      <c r="B6" s="369" t="s">
        <v>1818</v>
      </c>
      <c r="C6" s="415">
        <f>0.0015/25.4*1/12</f>
        <v>4.9212598425196856E-6</v>
      </c>
      <c r="D6" s="369" t="s">
        <v>1816</v>
      </c>
    </row>
    <row r="7" spans="1:6" x14ac:dyDescent="0.3">
      <c r="A7" s="369" t="s">
        <v>1819</v>
      </c>
      <c r="C7" s="412">
        <v>10</v>
      </c>
      <c r="D7" s="369" t="s">
        <v>1820</v>
      </c>
    </row>
    <row r="8" spans="1:6" x14ac:dyDescent="0.3">
      <c r="C8" s="372"/>
    </row>
    <row r="9" spans="1:6" x14ac:dyDescent="0.3">
      <c r="C9" s="373" t="s">
        <v>1821</v>
      </c>
    </row>
    <row r="10" spans="1:6" ht="16.8" x14ac:dyDescent="0.35">
      <c r="A10" s="369" t="s">
        <v>1822</v>
      </c>
      <c r="B10" s="374" t="s">
        <v>1823</v>
      </c>
      <c r="C10" s="375">
        <v>1.94</v>
      </c>
      <c r="D10" s="369" t="s">
        <v>1824</v>
      </c>
      <c r="E10" s="371">
        <f>C10*32.174049</f>
        <v>62.417655059999994</v>
      </c>
      <c r="F10" s="369" t="s">
        <v>1825</v>
      </c>
    </row>
    <row r="11" spans="1:6" ht="16.2" x14ac:dyDescent="0.3">
      <c r="A11" s="369" t="s">
        <v>1826</v>
      </c>
      <c r="B11" s="374" t="s">
        <v>1653</v>
      </c>
      <c r="C11" s="375">
        <f>C3*E10</f>
        <v>63.041831610599992</v>
      </c>
      <c r="D11" s="369" t="s">
        <v>1827</v>
      </c>
    </row>
    <row r="12" spans="1:6" ht="16.2" x14ac:dyDescent="0.3">
      <c r="A12" s="369" t="s">
        <v>1828</v>
      </c>
      <c r="B12" s="369" t="s">
        <v>1829</v>
      </c>
      <c r="C12" s="375">
        <f>PI()*(E5/2)^2</f>
        <v>1.9174759848570515E-4</v>
      </c>
      <c r="D12" s="369" t="s">
        <v>1830</v>
      </c>
    </row>
    <row r="13" spans="1:6" ht="16.2" x14ac:dyDescent="0.3">
      <c r="A13" s="369" t="s">
        <v>1831</v>
      </c>
      <c r="B13" s="369" t="s">
        <v>1832</v>
      </c>
      <c r="C13" s="375">
        <f>0.016710069444/C7</f>
        <v>1.6710069444000001E-3</v>
      </c>
      <c r="D13" s="369" t="s">
        <v>1833</v>
      </c>
    </row>
    <row r="14" spans="1:6" x14ac:dyDescent="0.3">
      <c r="A14" s="369" t="s">
        <v>1834</v>
      </c>
      <c r="B14" s="369" t="s">
        <v>1835</v>
      </c>
      <c r="C14" s="375">
        <f>C13/C12</f>
        <v>8.7146173281777735</v>
      </c>
      <c r="D14" s="369" t="s">
        <v>1836</v>
      </c>
    </row>
    <row r="15" spans="1:6" ht="16.8" x14ac:dyDescent="0.35">
      <c r="A15" s="369" t="s">
        <v>1837</v>
      </c>
      <c r="B15" s="369" t="s">
        <v>1838</v>
      </c>
      <c r="C15" s="375">
        <f>0.00003228*C3</f>
        <v>3.2602800000000006E-5</v>
      </c>
      <c r="D15" s="369" t="s">
        <v>1839</v>
      </c>
    </row>
    <row r="16" spans="1:6" ht="16.2" x14ac:dyDescent="0.3">
      <c r="A16" s="369" t="s">
        <v>1840</v>
      </c>
      <c r="B16" s="374" t="s">
        <v>1841</v>
      </c>
      <c r="C16" s="375">
        <f>C15/C10</f>
        <v>1.6805567010309282E-5</v>
      </c>
      <c r="D16" s="369" t="s">
        <v>1842</v>
      </c>
    </row>
    <row r="17" spans="1:4" x14ac:dyDescent="0.3">
      <c r="A17" s="369" t="s">
        <v>1843</v>
      </c>
      <c r="B17" s="369" t="s">
        <v>1844</v>
      </c>
      <c r="C17" s="375">
        <f>(C13*E5)/(C16*C12)</f>
        <v>8102.4279436241259</v>
      </c>
    </row>
    <row r="18" spans="1:4" x14ac:dyDescent="0.3">
      <c r="A18" s="369" t="s">
        <v>1845</v>
      </c>
      <c r="B18" s="369" t="s">
        <v>1846</v>
      </c>
      <c r="C18" s="375">
        <f>0.25*(LOG10(C6/(3.7*C5)+5.74/C17^0.9))^-2</f>
        <v>3.2888353186781065E-2</v>
      </c>
    </row>
    <row r="19" spans="1:4" ht="15" thickBot="1" x14ac:dyDescent="0.35"/>
    <row r="20" spans="1:4" ht="15.6" thickTop="1" thickBot="1" x14ac:dyDescent="0.35">
      <c r="A20" s="373" t="s">
        <v>1847</v>
      </c>
      <c r="B20" s="376" t="s">
        <v>1848</v>
      </c>
      <c r="C20" s="377">
        <f>(E2/C11-C4)*E5/C18*2*32.2/C14^2</f>
        <v>10.002119249741197</v>
      </c>
      <c r="D20" s="378" t="s">
        <v>1816</v>
      </c>
    </row>
    <row r="21" spans="1:4" ht="15" thickTop="1" x14ac:dyDescent="0.3"/>
    <row r="22" spans="1:4" x14ac:dyDescent="0.3">
      <c r="A22" s="369" t="s">
        <v>1849</v>
      </c>
    </row>
    <row r="23" spans="1:4" x14ac:dyDescent="0.3">
      <c r="A23" s="369" t="s">
        <v>1850</v>
      </c>
    </row>
    <row r="24" spans="1:4" x14ac:dyDescent="0.3">
      <c r="A24" s="369" t="s">
        <v>1851</v>
      </c>
    </row>
    <row r="25" spans="1:4" x14ac:dyDescent="0.3">
      <c r="A25" s="369" t="s">
        <v>1852</v>
      </c>
    </row>
    <row r="26" spans="1:4" x14ac:dyDescent="0.3">
      <c r="A26" s="369" t="s">
        <v>1853</v>
      </c>
    </row>
    <row r="27" spans="1:4" x14ac:dyDescent="0.3">
      <c r="A27" s="369" t="s">
        <v>1854</v>
      </c>
    </row>
    <row r="29" spans="1:4" x14ac:dyDescent="0.3">
      <c r="A29" s="369" t="s">
        <v>1855</v>
      </c>
    </row>
    <row r="30" spans="1:4" x14ac:dyDescent="0.3">
      <c r="A30" s="379" t="s">
        <v>1856</v>
      </c>
    </row>
    <row r="34" spans="7:9" x14ac:dyDescent="0.3">
      <c r="G34" s="380"/>
      <c r="H34" s="381"/>
      <c r="I34" s="381"/>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G33" sqref="G33"/>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33203125" customWidth="1"/>
    <col min="9" max="9" width="18" customWidth="1"/>
    <col min="10" max="10" width="10.6640625" customWidth="1"/>
    <col min="11" max="11" width="13.5546875" customWidth="1"/>
    <col min="12" max="12" width="6.6640625" customWidth="1"/>
    <col min="13" max="13" width="4.88671875" customWidth="1"/>
    <col min="14" max="14" width="2.6640625" customWidth="1"/>
    <col min="15" max="15" width="9.109375" customWidth="1"/>
    <col min="17" max="17" width="8.5546875" customWidth="1"/>
    <col min="18" max="18" width="8.6640625" customWidth="1"/>
    <col min="19" max="19" width="2.88671875" customWidth="1"/>
    <col min="20" max="20" width="18.109375" customWidth="1"/>
    <col min="21" max="21" width="7.88671875" bestFit="1" customWidth="1"/>
    <col min="22" max="22" width="9" customWidth="1"/>
  </cols>
  <sheetData>
    <row r="1" spans="1:22" ht="15.6" x14ac:dyDescent="0.25">
      <c r="A1" s="1360" t="s">
        <v>64</v>
      </c>
      <c r="B1" s="1361"/>
      <c r="C1" s="1361"/>
      <c r="E1" s="1360" t="s">
        <v>61</v>
      </c>
      <c r="F1" s="1361"/>
      <c r="G1" s="1361"/>
      <c r="I1" s="1360" t="s">
        <v>1640</v>
      </c>
      <c r="J1" s="1361"/>
      <c r="K1" s="1361"/>
      <c r="O1" s="1360" t="s">
        <v>37</v>
      </c>
      <c r="P1" s="1361"/>
      <c r="Q1" s="1361"/>
      <c r="R1" s="1362"/>
      <c r="T1" s="1360" t="s">
        <v>28</v>
      </c>
      <c r="U1" s="1361"/>
      <c r="V1" s="1361"/>
    </row>
    <row r="2" spans="1:22" ht="15.6" x14ac:dyDescent="0.35">
      <c r="A2" s="5" t="s">
        <v>38</v>
      </c>
      <c r="B2" s="41">
        <v>0.88</v>
      </c>
      <c r="C2" s="2" t="s">
        <v>15</v>
      </c>
      <c r="E2" s="5" t="s">
        <v>53</v>
      </c>
      <c r="F2" s="41">
        <v>1.73</v>
      </c>
      <c r="G2" s="2" t="s">
        <v>55</v>
      </c>
      <c r="I2" s="5" t="s">
        <v>53</v>
      </c>
      <c r="J2" s="41">
        <v>1.73</v>
      </c>
      <c r="K2" s="2" t="s">
        <v>55</v>
      </c>
      <c r="O2" s="1359" t="s">
        <v>19</v>
      </c>
      <c r="P2" s="1359"/>
      <c r="Q2" s="1372" t="s">
        <v>46</v>
      </c>
      <c r="R2" s="1371" t="s">
        <v>65</v>
      </c>
      <c r="T2" s="1359" t="s">
        <v>21</v>
      </c>
      <c r="U2" s="1367" t="s">
        <v>45</v>
      </c>
      <c r="V2" s="1371" t="s">
        <v>35</v>
      </c>
    </row>
    <row r="3" spans="1:22" ht="15.6" x14ac:dyDescent="0.35">
      <c r="A3" s="5" t="s">
        <v>36</v>
      </c>
      <c r="B3" s="41">
        <v>3.6</v>
      </c>
      <c r="C3" s="2" t="s">
        <v>15</v>
      </c>
      <c r="E3" s="5" t="s">
        <v>54</v>
      </c>
      <c r="F3" s="41">
        <v>6.5</v>
      </c>
      <c r="G3" s="2" t="s">
        <v>55</v>
      </c>
      <c r="I3" s="5" t="s">
        <v>54</v>
      </c>
      <c r="J3" s="41">
        <v>6.5</v>
      </c>
      <c r="K3" s="2" t="s">
        <v>55</v>
      </c>
      <c r="O3" s="2" t="s">
        <v>18</v>
      </c>
      <c r="P3" s="2" t="s">
        <v>20</v>
      </c>
      <c r="Q3" s="1373"/>
      <c r="R3" s="1371"/>
      <c r="T3" s="1359"/>
      <c r="U3" s="1370"/>
      <c r="V3" s="1371"/>
    </row>
    <row r="4" spans="1:22" ht="30" customHeight="1" x14ac:dyDescent="0.25">
      <c r="A4" s="68" t="s">
        <v>1637</v>
      </c>
      <c r="B4" s="69">
        <f>'Recipe Sheet'!AD50</f>
        <v>0</v>
      </c>
      <c r="C4" s="69" t="str">
        <f>'Brewhouse Setup &amp; Calcs'!D18</f>
        <v>qt</v>
      </c>
      <c r="E4" s="68" t="s">
        <v>1637</v>
      </c>
      <c r="F4" s="69">
        <f>'Recipe Sheet'!AD50</f>
        <v>0</v>
      </c>
      <c r="G4" s="69" t="str">
        <f>'Brewhouse Setup &amp; Calcs'!D18</f>
        <v>qt</v>
      </c>
      <c r="I4" s="68" t="s">
        <v>1637</v>
      </c>
      <c r="J4" s="69">
        <f>'Recipe Sheet'!AD50</f>
        <v>0</v>
      </c>
      <c r="K4" s="69" t="str">
        <f>'Brewhouse Setup &amp; Calcs'!D18</f>
        <v>qt</v>
      </c>
      <c r="O4" s="2">
        <v>0</v>
      </c>
      <c r="P4" s="7">
        <f t="shared" ref="P4:P15" si="0">O4*9/5+32</f>
        <v>32</v>
      </c>
      <c r="Q4" s="6">
        <v>3.34</v>
      </c>
      <c r="R4" s="6">
        <v>1.7</v>
      </c>
      <c r="T4" s="1" t="s">
        <v>22</v>
      </c>
      <c r="U4" s="2" t="s">
        <v>47</v>
      </c>
      <c r="V4" s="14" t="s">
        <v>70</v>
      </c>
    </row>
    <row r="5" spans="1:22" ht="16.2" customHeight="1" thickBot="1" x14ac:dyDescent="0.4">
      <c r="A5" s="1367" t="s">
        <v>56</v>
      </c>
      <c r="B5" s="70">
        <f>(B3-B2)*'Common Variables'!C14/(2*('Common Variables'!D6*'Common Variables'!D7/'Common Variables'!D8))</f>
        <v>10.18538810444088</v>
      </c>
      <c r="C5" s="71" t="s">
        <v>16</v>
      </c>
      <c r="E5" s="1367" t="s">
        <v>56</v>
      </c>
      <c r="F5" s="69">
        <f>(F3-F2)*2.16</f>
        <v>10.3032</v>
      </c>
      <c r="G5" s="2" t="s">
        <v>16</v>
      </c>
      <c r="I5" s="1240" t="s">
        <v>1642</v>
      </c>
      <c r="J5" s="70">
        <f>(J$3-J$2)/(0.5*0.91)</f>
        <v>10.483516483516482</v>
      </c>
      <c r="K5" s="71" t="s">
        <v>16</v>
      </c>
      <c r="O5" s="2">
        <v>2</v>
      </c>
      <c r="P5" s="7">
        <f t="shared" si="0"/>
        <v>35.6</v>
      </c>
      <c r="Q5" s="6">
        <v>3.14</v>
      </c>
      <c r="R5" s="6">
        <v>1.6</v>
      </c>
      <c r="T5" s="1" t="s">
        <v>31</v>
      </c>
      <c r="U5" s="2" t="s">
        <v>27</v>
      </c>
      <c r="V5" s="2" t="s">
        <v>23</v>
      </c>
    </row>
    <row r="6" spans="1:22" ht="13.8" thickBot="1" x14ac:dyDescent="0.3">
      <c r="A6" s="1368"/>
      <c r="B6" s="74">
        <f>B5*$B$4</f>
        <v>0</v>
      </c>
      <c r="C6" s="67" t="s">
        <v>1639</v>
      </c>
      <c r="E6" s="1369"/>
      <c r="F6" s="74">
        <f>F5*$B$4</f>
        <v>0</v>
      </c>
      <c r="G6" s="67" t="s">
        <v>1639</v>
      </c>
      <c r="I6" s="1368"/>
      <c r="J6" s="74">
        <f>J5*$B$4</f>
        <v>0</v>
      </c>
      <c r="K6" s="67" t="s">
        <v>1639</v>
      </c>
      <c r="O6" s="2">
        <v>4</v>
      </c>
      <c r="P6" s="7">
        <f t="shared" si="0"/>
        <v>39.200000000000003</v>
      </c>
      <c r="Q6" s="6">
        <v>2.95</v>
      </c>
      <c r="R6" s="6">
        <v>1.5</v>
      </c>
      <c r="T6" s="1" t="s">
        <v>30</v>
      </c>
      <c r="U6" s="2" t="s">
        <v>48</v>
      </c>
      <c r="V6" s="2" t="s">
        <v>24</v>
      </c>
    </row>
    <row r="7" spans="1:22" ht="13.8" thickBot="1" x14ac:dyDescent="0.3">
      <c r="A7" s="1369"/>
      <c r="B7" s="72">
        <f>B5/28.34952/1.056688</f>
        <v>0.34000483779648361</v>
      </c>
      <c r="C7" s="14" t="s">
        <v>1638</v>
      </c>
      <c r="E7" s="1369"/>
      <c r="F7" s="72">
        <f>F5/28.34952/1.056688</f>
        <v>0.34393759068025542</v>
      </c>
      <c r="G7" s="14" t="s">
        <v>1638</v>
      </c>
      <c r="I7" s="1369"/>
      <c r="J7" s="72">
        <f>J5/28.34952/1.056688</f>
        <v>0.34995684847400826</v>
      </c>
      <c r="K7" s="14" t="s">
        <v>1638</v>
      </c>
      <c r="O7" s="2">
        <v>6</v>
      </c>
      <c r="P7" s="7">
        <f t="shared" si="0"/>
        <v>42.8</v>
      </c>
      <c r="Q7" s="6">
        <v>2.75</v>
      </c>
      <c r="R7" s="6">
        <v>1.4</v>
      </c>
      <c r="T7" s="1" t="s">
        <v>29</v>
      </c>
      <c r="U7" s="2" t="s">
        <v>49</v>
      </c>
      <c r="V7" s="14" t="s">
        <v>74</v>
      </c>
    </row>
    <row r="8" spans="1:22" ht="13.8" thickBot="1" x14ac:dyDescent="0.3">
      <c r="A8" s="1368"/>
      <c r="B8" s="75">
        <f>$B$4*B7</f>
        <v>0</v>
      </c>
      <c r="C8" s="67" t="s">
        <v>1635</v>
      </c>
      <c r="E8" s="1370"/>
      <c r="F8" s="75">
        <f>$B$4*F7</f>
        <v>0</v>
      </c>
      <c r="G8" s="14" t="s">
        <v>1635</v>
      </c>
      <c r="I8" s="1368"/>
      <c r="J8" s="75">
        <f>$B$4*J7</f>
        <v>0</v>
      </c>
      <c r="K8" s="67" t="s">
        <v>1635</v>
      </c>
      <c r="O8" s="2">
        <v>8</v>
      </c>
      <c r="P8" s="7">
        <f t="shared" si="0"/>
        <v>46.4</v>
      </c>
      <c r="Q8" s="6">
        <v>2.5499999999999998</v>
      </c>
      <c r="R8" s="6">
        <v>1.3</v>
      </c>
      <c r="T8" s="13" t="s">
        <v>68</v>
      </c>
      <c r="U8" s="2" t="s">
        <v>50</v>
      </c>
      <c r="V8" s="14" t="s">
        <v>72</v>
      </c>
    </row>
    <row r="9" spans="1:22" ht="16.2" customHeight="1" thickBot="1" x14ac:dyDescent="0.4">
      <c r="A9" s="1367" t="s">
        <v>57</v>
      </c>
      <c r="B9" s="73">
        <f>B5*1.15</f>
        <v>11.713196320107011</v>
      </c>
      <c r="C9" s="2" t="s">
        <v>16</v>
      </c>
      <c r="E9" s="1367" t="s">
        <v>57</v>
      </c>
      <c r="F9" s="69">
        <f>F5*1.15</f>
        <v>11.84868</v>
      </c>
      <c r="G9" s="2" t="s">
        <v>16</v>
      </c>
      <c r="I9" s="1375" t="s">
        <v>1643</v>
      </c>
      <c r="J9" s="70">
        <f>(J$3-J$2)/(0.5*0.82*0.8)</f>
        <v>14.542682926829267</v>
      </c>
      <c r="K9" s="2" t="s">
        <v>16</v>
      </c>
      <c r="O9" s="2">
        <v>10</v>
      </c>
      <c r="P9" s="7">
        <f t="shared" si="0"/>
        <v>50</v>
      </c>
      <c r="Q9" s="6">
        <v>2.36</v>
      </c>
      <c r="R9" s="6">
        <v>1.2</v>
      </c>
      <c r="T9" s="13" t="s">
        <v>69</v>
      </c>
      <c r="U9" s="2"/>
      <c r="V9" s="14" t="s">
        <v>73</v>
      </c>
    </row>
    <row r="10" spans="1:22" ht="13.8" thickBot="1" x14ac:dyDescent="0.3">
      <c r="A10" s="1369"/>
      <c r="B10" s="74">
        <f>B9*$B$4</f>
        <v>0</v>
      </c>
      <c r="C10" s="14" t="s">
        <v>1639</v>
      </c>
      <c r="E10" s="1369"/>
      <c r="F10" s="74">
        <f>F9*$B$4</f>
        <v>0</v>
      </c>
      <c r="G10" s="14" t="s">
        <v>1639</v>
      </c>
      <c r="I10" s="1364"/>
      <c r="J10" s="74">
        <f>J9*$B$4</f>
        <v>0</v>
      </c>
      <c r="K10" s="14" t="s">
        <v>1639</v>
      </c>
      <c r="O10" s="2">
        <v>12</v>
      </c>
      <c r="P10" s="7">
        <f t="shared" si="0"/>
        <v>53.6</v>
      </c>
      <c r="Q10" s="6">
        <v>2.2000000000000002</v>
      </c>
      <c r="R10" s="6">
        <v>1.1200000000000001</v>
      </c>
      <c r="T10" s="1" t="s">
        <v>32</v>
      </c>
      <c r="U10" s="2" t="s">
        <v>50</v>
      </c>
      <c r="V10" s="2" t="s">
        <v>25</v>
      </c>
    </row>
    <row r="11" spans="1:22" ht="13.8" thickBot="1" x14ac:dyDescent="0.3">
      <c r="A11" s="1369"/>
      <c r="B11" s="46">
        <f>B9/28.34952/1.056688</f>
        <v>0.39100556346595611</v>
      </c>
      <c r="C11" s="14" t="s">
        <v>1638</v>
      </c>
      <c r="E11" s="1369"/>
      <c r="F11" s="46">
        <f>F9/28.34952/1.056688</f>
        <v>0.3955282292822937</v>
      </c>
      <c r="G11" s="14" t="s">
        <v>1638</v>
      </c>
      <c r="I11" s="1364"/>
      <c r="J11" s="46">
        <f>J9/28.34952/1.056688</f>
        <v>0.48545843309656644</v>
      </c>
      <c r="K11" s="14" t="s">
        <v>1638</v>
      </c>
      <c r="O11" s="2">
        <v>14</v>
      </c>
      <c r="P11" s="7">
        <f t="shared" si="0"/>
        <v>57.2</v>
      </c>
      <c r="Q11" s="6">
        <v>2.06</v>
      </c>
      <c r="R11" s="6">
        <v>1.05</v>
      </c>
      <c r="T11" s="1" t="s">
        <v>33</v>
      </c>
      <c r="U11" s="2" t="s">
        <v>52</v>
      </c>
      <c r="V11" s="2" t="s">
        <v>26</v>
      </c>
    </row>
    <row r="12" spans="1:22" ht="13.8" thickBot="1" x14ac:dyDescent="0.3">
      <c r="A12" s="1370"/>
      <c r="B12" s="75">
        <f>$B$4*B11</f>
        <v>0</v>
      </c>
      <c r="C12" s="67" t="s">
        <v>1635</v>
      </c>
      <c r="E12" s="1370"/>
      <c r="F12" s="75">
        <f>$B$4*F11</f>
        <v>0</v>
      </c>
      <c r="G12" s="67" t="s">
        <v>1635</v>
      </c>
      <c r="I12" s="1365"/>
      <c r="J12" s="75">
        <f>$B$4*J11</f>
        <v>0</v>
      </c>
      <c r="K12" s="67" t="s">
        <v>1635</v>
      </c>
      <c r="O12" s="2">
        <v>16</v>
      </c>
      <c r="P12" s="7">
        <f t="shared" si="0"/>
        <v>60.8</v>
      </c>
      <c r="Q12" s="6">
        <v>1.94</v>
      </c>
      <c r="R12" s="6">
        <v>0.99</v>
      </c>
      <c r="T12" s="1" t="s">
        <v>34</v>
      </c>
      <c r="U12" s="2" t="s">
        <v>51</v>
      </c>
      <c r="V12" s="14" t="s">
        <v>71</v>
      </c>
    </row>
    <row r="13" spans="1:22" ht="15" customHeight="1" thickBot="1" x14ac:dyDescent="0.4">
      <c r="A13" s="1363" t="s">
        <v>62</v>
      </c>
      <c r="B13" s="69">
        <f>B5*1.3</f>
        <v>13.241004535773145</v>
      </c>
      <c r="C13" s="2" t="s">
        <v>16</v>
      </c>
      <c r="E13" s="1363" t="s">
        <v>62</v>
      </c>
      <c r="F13" s="69">
        <f>F5*1.3</f>
        <v>13.394160000000001</v>
      </c>
      <c r="G13" s="2" t="s">
        <v>16</v>
      </c>
      <c r="O13" s="2">
        <v>18</v>
      </c>
      <c r="P13" s="7">
        <f t="shared" si="0"/>
        <v>64.400000000000006</v>
      </c>
      <c r="Q13" s="6">
        <v>1.83</v>
      </c>
      <c r="R13" s="6">
        <v>0.93</v>
      </c>
      <c r="T13" s="1"/>
      <c r="U13" s="2"/>
      <c r="V13" s="2"/>
    </row>
    <row r="14" spans="1:22" ht="15" customHeight="1" thickBot="1" x14ac:dyDescent="0.3">
      <c r="A14" s="1364"/>
      <c r="B14" s="74">
        <f>B13*$B$4</f>
        <v>0</v>
      </c>
      <c r="C14" s="67" t="s">
        <v>1639</v>
      </c>
      <c r="E14" s="1364"/>
      <c r="F14" s="74">
        <f>F13*$B$4</f>
        <v>0</v>
      </c>
      <c r="G14" s="67" t="s">
        <v>1639</v>
      </c>
      <c r="O14" s="2">
        <v>20</v>
      </c>
      <c r="P14" s="7">
        <f t="shared" si="0"/>
        <v>68</v>
      </c>
      <c r="Q14" s="6">
        <v>1.73</v>
      </c>
      <c r="R14" s="6">
        <v>0.88</v>
      </c>
      <c r="T14" s="1"/>
      <c r="U14" s="2"/>
      <c r="V14" s="2"/>
    </row>
    <row r="15" spans="1:22" ht="13.8" thickBot="1" x14ac:dyDescent="0.3">
      <c r="A15" s="1364"/>
      <c r="B15" s="46">
        <f>B13/28.34952/1.056688</f>
        <v>0.44200628913542872</v>
      </c>
      <c r="C15" s="14" t="s">
        <v>1638</v>
      </c>
      <c r="E15" s="1364"/>
      <c r="F15" s="46">
        <f>F13/28.34952/1.056688</f>
        <v>0.44711886788433203</v>
      </c>
      <c r="G15" s="14" t="s">
        <v>1638</v>
      </c>
      <c r="O15" s="2">
        <v>22</v>
      </c>
      <c r="P15" s="7">
        <f t="shared" si="0"/>
        <v>71.599999999999994</v>
      </c>
      <c r="Q15" s="6">
        <v>1.63</v>
      </c>
      <c r="R15" s="6">
        <v>0.83</v>
      </c>
    </row>
    <row r="16" spans="1:22" ht="13.8" thickBot="1" x14ac:dyDescent="0.3">
      <c r="A16" s="1365"/>
      <c r="B16" s="75">
        <f>$B$4*B15</f>
        <v>0</v>
      </c>
      <c r="C16" s="67" t="s">
        <v>1635</v>
      </c>
      <c r="E16" s="1365"/>
      <c r="F16" s="75">
        <f>$B$4*F15</f>
        <v>0</v>
      </c>
      <c r="G16" s="67" t="s">
        <v>1635</v>
      </c>
    </row>
    <row r="17" spans="1:17" ht="16.2" thickBot="1" x14ac:dyDescent="0.4">
      <c r="A17" s="1366" t="s">
        <v>63</v>
      </c>
      <c r="B17" s="69">
        <f>B5*1.4</f>
        <v>14.259543346217232</v>
      </c>
      <c r="C17" s="2" t="s">
        <v>16</v>
      </c>
      <c r="E17" s="1366" t="s">
        <v>63</v>
      </c>
      <c r="F17" s="69">
        <f>F5*1.4</f>
        <v>14.424479999999999</v>
      </c>
      <c r="G17" s="2" t="s">
        <v>16</v>
      </c>
      <c r="Q17" s="4"/>
    </row>
    <row r="18" spans="1:17" ht="13.8" thickBot="1" x14ac:dyDescent="0.3">
      <c r="A18" s="1366"/>
      <c r="B18" s="74">
        <f>B17*$B$4</f>
        <v>0</v>
      </c>
      <c r="C18" s="67" t="s">
        <v>1639</v>
      </c>
      <c r="E18" s="1366"/>
      <c r="F18" s="74">
        <f>F17*$B$4</f>
        <v>0</v>
      </c>
      <c r="G18" s="67" t="s">
        <v>1639</v>
      </c>
      <c r="Q18" s="4"/>
    </row>
    <row r="19" spans="1:17" ht="13.8" thickBot="1" x14ac:dyDescent="0.3">
      <c r="A19" s="1366"/>
      <c r="B19" s="46">
        <f>B17/28.34952/1.056688</f>
        <v>0.47600677291507704</v>
      </c>
      <c r="C19" s="2" t="s">
        <v>17</v>
      </c>
      <c r="E19" s="1366"/>
      <c r="F19" s="46">
        <f>F17/28.34952/1.056688</f>
        <v>0.48151262695235753</v>
      </c>
      <c r="G19" s="2" t="s">
        <v>17</v>
      </c>
    </row>
    <row r="20" spans="1:17" ht="13.8" thickBot="1" x14ac:dyDescent="0.3">
      <c r="A20" s="1366"/>
      <c r="B20" s="75">
        <f>$B$4*B19</f>
        <v>0</v>
      </c>
      <c r="C20" s="67" t="s">
        <v>1635</v>
      </c>
      <c r="E20" s="1366"/>
      <c r="F20" s="75">
        <f>$B$4*F19</f>
        <v>0</v>
      </c>
      <c r="G20" s="67" t="s">
        <v>1635</v>
      </c>
    </row>
    <row r="22" spans="1:17" ht="15.6" x14ac:dyDescent="0.25">
      <c r="A22" s="12" t="s">
        <v>58</v>
      </c>
    </row>
    <row r="23" spans="1:17" ht="15.6" x14ac:dyDescent="0.25">
      <c r="A23" s="12" t="s">
        <v>59</v>
      </c>
    </row>
    <row r="24" spans="1:17" ht="15.6" x14ac:dyDescent="0.25">
      <c r="A24" s="12" t="s">
        <v>60</v>
      </c>
    </row>
    <row r="25" spans="1:17" ht="15.6" x14ac:dyDescent="0.25">
      <c r="A25" s="12" t="s">
        <v>1641</v>
      </c>
    </row>
    <row r="32" spans="1:17" x14ac:dyDescent="0.25">
      <c r="E32" s="1254" t="s">
        <v>1516</v>
      </c>
      <c r="F32" s="1254"/>
      <c r="G32" s="1254"/>
    </row>
    <row r="33" spans="5:7" x14ac:dyDescent="0.25">
      <c r="E33" s="1374" t="s">
        <v>1517</v>
      </c>
      <c r="F33" s="1374"/>
      <c r="G33" s="61">
        <v>2.8</v>
      </c>
    </row>
    <row r="34" spans="5:7" x14ac:dyDescent="0.25">
      <c r="E34" s="1374" t="s">
        <v>1518</v>
      </c>
      <c r="F34" s="1374"/>
      <c r="G34" s="62">
        <v>38</v>
      </c>
    </row>
    <row r="35" spans="5:7" x14ac:dyDescent="0.25">
      <c r="E35" s="1374" t="s">
        <v>1519</v>
      </c>
      <c r="F35" s="1374"/>
      <c r="G35" s="63">
        <f xml:space="preserve"> -16.6999 - 0.0101059*G34 + 0.00116512*G34^2 + 0.173354*G34*G33 + 4.24267*G33 - 0.0684226*G33^2</f>
        <v>14.386417496000002</v>
      </c>
    </row>
    <row r="36" spans="5:7" x14ac:dyDescent="0.25">
      <c r="E36" s="59" t="s">
        <v>1520</v>
      </c>
    </row>
  </sheetData>
  <sheetProtection sheet="1" objects="1" scenarios="1" selectLockedCell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4" sqref="C4"/>
    </sheetView>
  </sheetViews>
  <sheetFormatPr defaultRowHeight="13.2" x14ac:dyDescent="0.25"/>
  <cols>
    <col min="3" max="3" width="9.44140625" customWidth="1"/>
    <col min="4" max="4" width="32.88671875" bestFit="1" customWidth="1"/>
    <col min="5" max="5" width="93.33203125" customWidth="1"/>
  </cols>
  <sheetData>
    <row r="2" spans="2:5" x14ac:dyDescent="0.25">
      <c r="B2" s="1376" t="s">
        <v>1545</v>
      </c>
      <c r="C2" s="1377"/>
      <c r="D2" s="1378"/>
      <c r="E2" s="26" t="s">
        <v>1546</v>
      </c>
    </row>
    <row r="3" spans="2:5" x14ac:dyDescent="0.25">
      <c r="B3" s="57" t="s">
        <v>1527</v>
      </c>
      <c r="C3" s="57" t="s">
        <v>101</v>
      </c>
      <c r="D3" s="57" t="s">
        <v>67</v>
      </c>
      <c r="E3" s="65" t="s">
        <v>1549</v>
      </c>
    </row>
    <row r="4" spans="2:5" x14ac:dyDescent="0.25">
      <c r="B4" s="14" t="s">
        <v>1528</v>
      </c>
      <c r="C4" s="30">
        <v>0.79</v>
      </c>
      <c r="D4" s="13" t="s">
        <v>1529</v>
      </c>
      <c r="E4" s="45" t="s">
        <v>1547</v>
      </c>
    </row>
    <row r="5" spans="2:5" x14ac:dyDescent="0.25">
      <c r="B5" s="2" t="s">
        <v>1524</v>
      </c>
      <c r="C5" s="30">
        <v>4.2000000000000003E-2</v>
      </c>
      <c r="D5" s="1" t="s">
        <v>1236</v>
      </c>
      <c r="E5" s="45" t="s">
        <v>1548</v>
      </c>
    </row>
    <row r="6" spans="2:5" x14ac:dyDescent="0.25">
      <c r="B6" s="2" t="s">
        <v>1525</v>
      </c>
      <c r="C6" s="64">
        <f>((C4-C5-0.002)*46.214)/1000+1</f>
        <v>1.034475644</v>
      </c>
      <c r="D6" s="1" t="s">
        <v>1526</v>
      </c>
    </row>
    <row r="8" spans="2:5" x14ac:dyDescent="0.25">
      <c r="B8" s="1376" t="s">
        <v>1544</v>
      </c>
      <c r="C8" s="1377"/>
      <c r="D8" s="1378"/>
      <c r="E8" s="26" t="s">
        <v>1546</v>
      </c>
    </row>
    <row r="9" spans="2:5" x14ac:dyDescent="0.25">
      <c r="B9" s="57" t="s">
        <v>1527</v>
      </c>
      <c r="C9" s="57" t="s">
        <v>101</v>
      </c>
      <c r="D9" s="57" t="s">
        <v>67</v>
      </c>
      <c r="E9" s="20" t="s">
        <v>1550</v>
      </c>
    </row>
    <row r="10" spans="2:5" x14ac:dyDescent="0.25">
      <c r="B10" s="14" t="s">
        <v>1528</v>
      </c>
      <c r="C10" s="30">
        <v>0.79</v>
      </c>
      <c r="D10" s="13" t="s">
        <v>1529</v>
      </c>
    </row>
    <row r="11" spans="2:5" x14ac:dyDescent="0.25">
      <c r="B11" s="2"/>
      <c r="C11" s="66"/>
      <c r="D11" s="1"/>
    </row>
    <row r="12" spans="2:5" x14ac:dyDescent="0.25">
      <c r="B12" s="2" t="s">
        <v>1525</v>
      </c>
      <c r="C12" s="64">
        <f>((C10)*46.214)/1000+1</f>
        <v>1.03650906</v>
      </c>
      <c r="D12" s="1" t="s">
        <v>1526</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F11" sqref="F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6640625" style="49" bestFit="1" customWidth="1"/>
    <col min="8" max="8" width="13.6640625" customWidth="1"/>
    <col min="12" max="12" width="32.88671875" bestFit="1" customWidth="1"/>
  </cols>
  <sheetData>
    <row r="1" spans="1:8" x14ac:dyDescent="0.25">
      <c r="A1" s="1359" t="s">
        <v>78</v>
      </c>
      <c r="B1" s="1359"/>
      <c r="C1" s="1359"/>
      <c r="D1" s="1359"/>
    </row>
    <row r="2" spans="1:8" x14ac:dyDescent="0.25">
      <c r="A2" s="16" t="s">
        <v>76</v>
      </c>
      <c r="B2" s="3"/>
      <c r="C2" s="19" t="s">
        <v>79</v>
      </c>
      <c r="D2" s="3" t="s">
        <v>80</v>
      </c>
      <c r="F2" s="48" t="s">
        <v>1121</v>
      </c>
      <c r="G2" s="49">
        <v>0.45359237000000002</v>
      </c>
    </row>
    <row r="3" spans="1:8" x14ac:dyDescent="0.25">
      <c r="A3" s="42">
        <v>8.73</v>
      </c>
      <c r="B3" s="15" t="s">
        <v>0</v>
      </c>
      <c r="C3" s="18">
        <f>A3*0.8125</f>
        <v>7.0931250000000006</v>
      </c>
      <c r="D3" s="18">
        <f>A3*0.6875</f>
        <v>6.0018750000000001</v>
      </c>
      <c r="F3" s="35" t="s">
        <v>1122</v>
      </c>
      <c r="G3" s="49">
        <v>2.20462262185</v>
      </c>
    </row>
    <row r="4" spans="1:8" ht="26.4" x14ac:dyDescent="0.25">
      <c r="A4" s="16" t="s">
        <v>77</v>
      </c>
      <c r="B4" s="3"/>
      <c r="C4" s="19" t="s">
        <v>81</v>
      </c>
      <c r="D4" s="3" t="s">
        <v>82</v>
      </c>
      <c r="F4" s="48" t="s">
        <v>1123</v>
      </c>
      <c r="G4" s="49">
        <v>1.0566882049699999</v>
      </c>
    </row>
    <row r="5" spans="1:8" x14ac:dyDescent="0.25">
      <c r="A5" s="42">
        <v>7.57</v>
      </c>
      <c r="B5" s="15" t="s">
        <v>0</v>
      </c>
      <c r="C5" s="18">
        <f>A5*0.937</f>
        <v>7.093090000000001</v>
      </c>
      <c r="D5" s="18">
        <f>A5*0.7929</f>
        <v>6.0022530000000005</v>
      </c>
      <c r="F5" s="35" t="s">
        <v>1124</v>
      </c>
      <c r="G5" s="49">
        <v>0.94635294999999997</v>
      </c>
    </row>
    <row r="6" spans="1:8" x14ac:dyDescent="0.25">
      <c r="F6" s="23" t="s">
        <v>1125</v>
      </c>
      <c r="G6" s="49">
        <v>2.0863511218233199</v>
      </c>
    </row>
    <row r="7" spans="1:8" x14ac:dyDescent="0.25">
      <c r="A7" s="1359" t="s">
        <v>75</v>
      </c>
      <c r="B7" s="1359"/>
      <c r="C7" s="1359"/>
      <c r="D7" s="1359"/>
      <c r="F7" s="35" t="s">
        <v>1126</v>
      </c>
      <c r="G7" s="50">
        <v>154</v>
      </c>
      <c r="H7" s="51">
        <f>5/9*(G7-32)</f>
        <v>67.777777777777786</v>
      </c>
    </row>
    <row r="8" spans="1:8" x14ac:dyDescent="0.25">
      <c r="A8" s="17" t="s">
        <v>79</v>
      </c>
      <c r="B8" s="3"/>
      <c r="C8" s="1381" t="s">
        <v>76</v>
      </c>
      <c r="D8" s="1382"/>
      <c r="F8" s="23" t="s">
        <v>1127</v>
      </c>
      <c r="G8" s="49">
        <v>28.349519999999998</v>
      </c>
    </row>
    <row r="9" spans="1:8" x14ac:dyDescent="0.25">
      <c r="A9" s="42">
        <v>6.6</v>
      </c>
      <c r="B9" s="15" t="s">
        <v>0</v>
      </c>
      <c r="C9" s="1379">
        <f>A9/0.8125</f>
        <v>8.1230769230769226</v>
      </c>
      <c r="D9" s="1380"/>
      <c r="F9" s="35" t="s">
        <v>1128</v>
      </c>
      <c r="G9" s="49">
        <v>0.26417205124199999</v>
      </c>
    </row>
    <row r="10" spans="1:8" ht="26.4" x14ac:dyDescent="0.25">
      <c r="A10" s="17" t="s">
        <v>80</v>
      </c>
      <c r="B10" s="3"/>
      <c r="C10" s="1381" t="s">
        <v>76</v>
      </c>
      <c r="D10" s="1382"/>
      <c r="F10" s="52" t="s">
        <v>1130</v>
      </c>
      <c r="G10" s="49">
        <v>4.5100000000000001E-4</v>
      </c>
    </row>
    <row r="11" spans="1:8" ht="26.4" x14ac:dyDescent="0.25">
      <c r="A11" s="42">
        <v>2</v>
      </c>
      <c r="B11" s="15" t="s">
        <v>0</v>
      </c>
      <c r="C11" s="1379">
        <f>A11/0.6875</f>
        <v>2.9090909090909092</v>
      </c>
      <c r="D11" s="1380"/>
      <c r="F11" s="52" t="s">
        <v>1129</v>
      </c>
      <c r="G11" s="49">
        <f>G10*17.22</f>
        <v>7.7662199999999999E-3</v>
      </c>
    </row>
    <row r="12" spans="1:8" x14ac:dyDescent="0.25">
      <c r="A12" s="17" t="s">
        <v>81</v>
      </c>
      <c r="B12" s="3"/>
      <c r="C12" s="1381" t="s">
        <v>76</v>
      </c>
      <c r="D12" s="1382"/>
    </row>
    <row r="13" spans="1:8" x14ac:dyDescent="0.25">
      <c r="A13" s="42">
        <v>6</v>
      </c>
      <c r="B13" s="15" t="s">
        <v>0</v>
      </c>
      <c r="C13" s="1379">
        <f>A13/0.937</f>
        <v>6.4034151547491991</v>
      </c>
      <c r="D13" s="1380"/>
      <c r="F13" s="36" t="s">
        <v>1229</v>
      </c>
      <c r="G13" s="58" t="s">
        <v>89</v>
      </c>
    </row>
    <row r="14" spans="1:8" x14ac:dyDescent="0.25">
      <c r="A14" s="17" t="s">
        <v>82</v>
      </c>
      <c r="B14" s="3"/>
      <c r="C14" s="1381" t="s">
        <v>76</v>
      </c>
      <c r="D14" s="1382"/>
      <c r="G14" s="58">
        <v>1.6</v>
      </c>
      <c r="H14" s="20" t="s">
        <v>1230</v>
      </c>
    </row>
    <row r="15" spans="1:8" x14ac:dyDescent="0.25">
      <c r="A15" s="42">
        <v>6</v>
      </c>
      <c r="B15" s="15" t="s">
        <v>0</v>
      </c>
      <c r="C15" s="1379">
        <f>A15/0.7929</f>
        <v>7.567158531971244</v>
      </c>
      <c r="D15" s="1380"/>
      <c r="G15" s="49">
        <v>0.38</v>
      </c>
      <c r="H15" s="20" t="s">
        <v>1231</v>
      </c>
    </row>
    <row r="16" spans="1:8" x14ac:dyDescent="0.25">
      <c r="G16" s="58" t="s">
        <v>1232</v>
      </c>
    </row>
    <row r="17" spans="1:8" x14ac:dyDescent="0.25">
      <c r="A17" s="20" t="s">
        <v>84</v>
      </c>
      <c r="G17" s="49">
        <v>4.18</v>
      </c>
      <c r="H17" s="20" t="s">
        <v>1230</v>
      </c>
    </row>
    <row r="18" spans="1:8" x14ac:dyDescent="0.25">
      <c r="A18" s="20" t="s">
        <v>83</v>
      </c>
      <c r="G18" s="49">
        <v>0.99904397700000003</v>
      </c>
      <c r="H18" s="20" t="s">
        <v>1231</v>
      </c>
    </row>
    <row r="19" spans="1:8" x14ac:dyDescent="0.25">
      <c r="A19" s="20" t="s">
        <v>85</v>
      </c>
    </row>
    <row r="20" spans="1:8" x14ac:dyDescent="0.25">
      <c r="A20" s="20" t="s">
        <v>86</v>
      </c>
    </row>
    <row r="23" spans="1:8" x14ac:dyDescent="0.25">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2"/>
  <sheetViews>
    <sheetView workbookViewId="0">
      <pane ySplit="1" topLeftCell="A2" activePane="bottomLeft" state="frozen"/>
      <selection pane="bottomLeft"/>
    </sheetView>
  </sheetViews>
  <sheetFormatPr defaultColWidth="8.88671875" defaultRowHeight="13.2" x14ac:dyDescent="0.25"/>
  <cols>
    <col min="1" max="1" width="31.88671875" style="432" bestFit="1" customWidth="1"/>
    <col min="2" max="2" width="14.33203125" style="239" customWidth="1"/>
    <col min="3" max="3" width="12.5546875" style="239" customWidth="1"/>
    <col min="4" max="4" width="11.33203125" style="239" customWidth="1"/>
    <col min="5" max="5" width="12.6640625" style="239" customWidth="1"/>
    <col min="6" max="6" width="11.6640625" style="239" customWidth="1"/>
    <col min="7" max="7" width="12.88671875" style="239" customWidth="1"/>
    <col min="8" max="8" width="15" style="239" customWidth="1"/>
    <col min="9" max="9" width="13.88671875" style="239" customWidth="1"/>
    <col min="10" max="11" width="13.33203125" style="239" customWidth="1"/>
    <col min="12" max="12" width="9.5546875" style="444" bestFit="1" customWidth="1"/>
    <col min="13" max="16384" width="8.88671875" style="225"/>
  </cols>
  <sheetData>
    <row r="1" spans="1:12" ht="13.8" thickBot="1" x14ac:dyDescent="0.3">
      <c r="A1" s="461" t="s">
        <v>21</v>
      </c>
      <c r="B1" s="459" t="s">
        <v>2143</v>
      </c>
      <c r="C1" s="459" t="s">
        <v>2144</v>
      </c>
      <c r="D1" s="459" t="s">
        <v>2145</v>
      </c>
      <c r="E1" s="459" t="s">
        <v>2146</v>
      </c>
      <c r="F1" s="459" t="s">
        <v>2147</v>
      </c>
      <c r="G1" s="459" t="s">
        <v>2148</v>
      </c>
      <c r="H1" s="459" t="s">
        <v>2149</v>
      </c>
      <c r="I1" s="459" t="s">
        <v>2150</v>
      </c>
      <c r="J1" s="459" t="s">
        <v>2152</v>
      </c>
      <c r="K1" s="459" t="s">
        <v>2151</v>
      </c>
      <c r="L1"/>
    </row>
    <row r="2" spans="1:12" ht="15" thickTop="1" x14ac:dyDescent="0.25">
      <c r="A2" s="460" t="s">
        <v>595</v>
      </c>
      <c r="B2" s="454">
        <v>1.028</v>
      </c>
      <c r="C2" s="454">
        <v>1.04</v>
      </c>
      <c r="D2" s="454">
        <v>0.998</v>
      </c>
      <c r="E2" s="454">
        <v>1.008</v>
      </c>
      <c r="F2" s="455">
        <v>8</v>
      </c>
      <c r="G2" s="456">
        <v>12</v>
      </c>
      <c r="H2" s="457">
        <v>2.8</v>
      </c>
      <c r="I2" s="458">
        <v>4.2</v>
      </c>
      <c r="J2" s="458">
        <v>2</v>
      </c>
      <c r="K2" s="458">
        <v>3</v>
      </c>
      <c r="L2"/>
    </row>
    <row r="3" spans="1:12" ht="14.4" x14ac:dyDescent="0.25">
      <c r="A3" s="1" t="s">
        <v>596</v>
      </c>
      <c r="B3" s="447">
        <v>1.04</v>
      </c>
      <c r="C3" s="447">
        <v>1.05</v>
      </c>
      <c r="D3" s="447">
        <v>1.004</v>
      </c>
      <c r="E3" s="447">
        <v>1.01</v>
      </c>
      <c r="F3" s="448">
        <v>8</v>
      </c>
      <c r="G3" s="449">
        <v>18</v>
      </c>
      <c r="H3" s="450">
        <v>4.2</v>
      </c>
      <c r="I3" s="451">
        <v>5.3</v>
      </c>
      <c r="J3" s="451">
        <v>2</v>
      </c>
      <c r="K3" s="451">
        <v>4</v>
      </c>
      <c r="L3"/>
    </row>
    <row r="4" spans="1:12" ht="14.4" x14ac:dyDescent="0.25">
      <c r="A4" s="1" t="s">
        <v>597</v>
      </c>
      <c r="B4" s="447">
        <v>1.042</v>
      </c>
      <c r="C4" s="447">
        <v>1.0549999999999999</v>
      </c>
      <c r="D4" s="447">
        <v>1.006</v>
      </c>
      <c r="E4" s="447">
        <v>1.012</v>
      </c>
      <c r="F4" s="448">
        <v>8</v>
      </c>
      <c r="G4" s="449">
        <v>20</v>
      </c>
      <c r="H4" s="450">
        <v>4.2</v>
      </c>
      <c r="I4" s="451">
        <v>5.6</v>
      </c>
      <c r="J4" s="451">
        <v>2.5</v>
      </c>
      <c r="K4" s="451">
        <v>5</v>
      </c>
      <c r="L4"/>
    </row>
    <row r="5" spans="1:12" ht="14.4" x14ac:dyDescent="0.25">
      <c r="A5" s="1" t="s">
        <v>598</v>
      </c>
      <c r="B5" s="447">
        <v>1.04</v>
      </c>
      <c r="C5" s="447">
        <v>1.0549999999999999</v>
      </c>
      <c r="D5" s="447">
        <v>1.008</v>
      </c>
      <c r="E5" s="447">
        <v>1.0129999999999999</v>
      </c>
      <c r="F5" s="448">
        <v>15</v>
      </c>
      <c r="G5" s="449">
        <v>30</v>
      </c>
      <c r="H5" s="450">
        <v>4</v>
      </c>
      <c r="I5" s="451">
        <v>5.5</v>
      </c>
      <c r="J5" s="451">
        <v>3</v>
      </c>
      <c r="K5" s="451">
        <v>6</v>
      </c>
      <c r="L5"/>
    </row>
    <row r="6" spans="1:12" ht="14.4" x14ac:dyDescent="0.25">
      <c r="A6" s="1" t="s">
        <v>599</v>
      </c>
      <c r="B6" s="447">
        <v>1.042</v>
      </c>
      <c r="C6" s="447">
        <v>1.05</v>
      </c>
      <c r="D6" s="447">
        <v>1.008</v>
      </c>
      <c r="E6" s="447">
        <v>1.012</v>
      </c>
      <c r="F6" s="448">
        <v>18</v>
      </c>
      <c r="G6" s="449">
        <v>25</v>
      </c>
      <c r="H6" s="450">
        <v>4.5999999999999996</v>
      </c>
      <c r="I6" s="451">
        <v>6</v>
      </c>
      <c r="J6" s="451">
        <v>2</v>
      </c>
      <c r="K6" s="451">
        <v>6</v>
      </c>
      <c r="L6"/>
    </row>
    <row r="7" spans="1:12" ht="14.4" x14ac:dyDescent="0.25">
      <c r="A7" s="1" t="s">
        <v>600</v>
      </c>
      <c r="B7" s="447">
        <v>1.042</v>
      </c>
      <c r="C7" s="447">
        <v>1.0549999999999999</v>
      </c>
      <c r="D7" s="447">
        <v>1.008</v>
      </c>
      <c r="E7" s="447">
        <v>1.014</v>
      </c>
      <c r="F7" s="448">
        <v>8</v>
      </c>
      <c r="G7" s="449">
        <v>25</v>
      </c>
      <c r="H7" s="450">
        <v>4.5999999999999996</v>
      </c>
      <c r="I7" s="451">
        <v>6</v>
      </c>
      <c r="J7" s="451">
        <v>7</v>
      </c>
      <c r="K7" s="451">
        <v>14</v>
      </c>
      <c r="L7"/>
    </row>
    <row r="8" spans="1:12" ht="14.4" x14ac:dyDescent="0.25">
      <c r="A8" s="1" t="s">
        <v>601</v>
      </c>
      <c r="B8" s="447">
        <v>1.044</v>
      </c>
      <c r="C8" s="447">
        <v>1.056</v>
      </c>
      <c r="D8" s="447">
        <v>1.008</v>
      </c>
      <c r="E8" s="447">
        <v>1.012</v>
      </c>
      <c r="F8" s="448">
        <v>8</v>
      </c>
      <c r="G8" s="449">
        <v>20</v>
      </c>
      <c r="H8" s="450">
        <v>4.2</v>
      </c>
      <c r="I8" s="451">
        <v>6</v>
      </c>
      <c r="J8" s="451">
        <v>14</v>
      </c>
      <c r="K8" s="451">
        <v>22</v>
      </c>
      <c r="L8"/>
    </row>
    <row r="9" spans="1:12" ht="14.4" x14ac:dyDescent="0.25">
      <c r="A9" s="1" t="s">
        <v>602</v>
      </c>
      <c r="B9" s="447">
        <v>1.028</v>
      </c>
      <c r="C9" s="447">
        <v>1.044</v>
      </c>
      <c r="D9" s="447">
        <v>1.008</v>
      </c>
      <c r="E9" s="447">
        <v>1.014</v>
      </c>
      <c r="F9" s="448">
        <v>20</v>
      </c>
      <c r="G9" s="449">
        <v>35</v>
      </c>
      <c r="H9" s="450">
        <v>3</v>
      </c>
      <c r="I9" s="451">
        <v>4.0999999999999996</v>
      </c>
      <c r="J9" s="451">
        <v>3</v>
      </c>
      <c r="K9" s="451">
        <v>6</v>
      </c>
      <c r="L9"/>
    </row>
    <row r="10" spans="1:12" ht="14.4" x14ac:dyDescent="0.25">
      <c r="A10" s="1" t="s">
        <v>603</v>
      </c>
      <c r="B10" s="447">
        <v>1.044</v>
      </c>
      <c r="C10" s="447">
        <v>1.06</v>
      </c>
      <c r="D10" s="447">
        <v>1.0129999999999999</v>
      </c>
      <c r="E10" s="447">
        <v>1.0169999999999999</v>
      </c>
      <c r="F10" s="448">
        <v>30</v>
      </c>
      <c r="G10" s="449">
        <v>45</v>
      </c>
      <c r="H10" s="450">
        <v>4.2</v>
      </c>
      <c r="I10" s="451">
        <v>5.8</v>
      </c>
      <c r="J10" s="451">
        <v>3.5</v>
      </c>
      <c r="K10" s="451">
        <v>6</v>
      </c>
      <c r="L10"/>
    </row>
    <row r="11" spans="1:12" ht="14.4" x14ac:dyDescent="0.25">
      <c r="A11" s="1" t="s">
        <v>604</v>
      </c>
      <c r="B11" s="447">
        <v>1.044</v>
      </c>
      <c r="C11" s="447">
        <v>1.06</v>
      </c>
      <c r="D11" s="447">
        <v>1.0129999999999999</v>
      </c>
      <c r="E11" s="447">
        <v>1.0169999999999999</v>
      </c>
      <c r="F11" s="448">
        <v>20</v>
      </c>
      <c r="G11" s="449">
        <v>35</v>
      </c>
      <c r="H11" s="450">
        <v>4.4000000000000004</v>
      </c>
      <c r="I11" s="451">
        <v>5.8</v>
      </c>
      <c r="J11" s="451">
        <v>10</v>
      </c>
      <c r="K11" s="451">
        <v>16</v>
      </c>
      <c r="L11"/>
    </row>
    <row r="12" spans="1:12" ht="14.4" x14ac:dyDescent="0.25">
      <c r="A12" s="1" t="s">
        <v>605</v>
      </c>
      <c r="B12" s="447">
        <v>1.044</v>
      </c>
      <c r="C12" s="447">
        <v>1.06</v>
      </c>
      <c r="D12" s="447">
        <v>1.0129999999999999</v>
      </c>
      <c r="E12" s="447">
        <v>1.0169999999999999</v>
      </c>
      <c r="F12" s="448">
        <v>18</v>
      </c>
      <c r="G12" s="449">
        <v>34</v>
      </c>
      <c r="H12" s="450">
        <v>4.4000000000000004</v>
      </c>
      <c r="I12" s="451">
        <v>5.8</v>
      </c>
      <c r="J12" s="451">
        <v>14</v>
      </c>
      <c r="K12" s="451">
        <v>35</v>
      </c>
      <c r="L12"/>
    </row>
    <row r="13" spans="1:12" ht="14.4" x14ac:dyDescent="0.25">
      <c r="A13" s="1" t="s">
        <v>606</v>
      </c>
      <c r="B13" s="447">
        <v>1.044</v>
      </c>
      <c r="C13" s="447">
        <v>1.048</v>
      </c>
      <c r="D13" s="447">
        <v>1.006</v>
      </c>
      <c r="E13" s="447">
        <v>1.012</v>
      </c>
      <c r="F13" s="448">
        <v>16</v>
      </c>
      <c r="G13" s="449">
        <v>22</v>
      </c>
      <c r="H13" s="450">
        <v>4.7</v>
      </c>
      <c r="I13" s="451">
        <v>5.4</v>
      </c>
      <c r="J13" s="451">
        <v>3</v>
      </c>
      <c r="K13" s="451">
        <v>5</v>
      </c>
      <c r="L13"/>
    </row>
    <row r="14" spans="1:12" ht="14.4" x14ac:dyDescent="0.25">
      <c r="A14" s="1" t="s">
        <v>607</v>
      </c>
      <c r="B14" s="447">
        <v>1.054</v>
      </c>
      <c r="C14" s="447">
        <v>1.0569999999999999</v>
      </c>
      <c r="D14" s="447">
        <v>1.01</v>
      </c>
      <c r="E14" s="447">
        <v>1.012</v>
      </c>
      <c r="F14" s="448">
        <v>18</v>
      </c>
      <c r="G14" s="449">
        <v>25</v>
      </c>
      <c r="H14" s="450">
        <v>5.8</v>
      </c>
      <c r="I14" s="451">
        <v>6.3</v>
      </c>
      <c r="J14" s="451">
        <v>4</v>
      </c>
      <c r="K14" s="451">
        <v>7</v>
      </c>
      <c r="L14"/>
    </row>
    <row r="15" spans="1:12" ht="14.4" x14ac:dyDescent="0.25">
      <c r="A15" s="1" t="s">
        <v>608</v>
      </c>
      <c r="B15" s="447">
        <v>1.0640000000000001</v>
      </c>
      <c r="C15" s="447">
        <v>1.0720000000000001</v>
      </c>
      <c r="D15" s="447">
        <v>1.0109999999999999</v>
      </c>
      <c r="E15" s="447">
        <v>1.018</v>
      </c>
      <c r="F15" s="448">
        <v>23</v>
      </c>
      <c r="G15" s="449">
        <v>35</v>
      </c>
      <c r="H15" s="450">
        <v>6.3</v>
      </c>
      <c r="I15" s="451">
        <v>7.4</v>
      </c>
      <c r="J15" s="451">
        <v>6</v>
      </c>
      <c r="K15" s="451">
        <v>11</v>
      </c>
      <c r="L15"/>
    </row>
    <row r="16" spans="1:12" ht="14.4" x14ac:dyDescent="0.25">
      <c r="A16" s="1" t="s">
        <v>609</v>
      </c>
      <c r="B16" s="447">
        <v>1.026</v>
      </c>
      <c r="C16" s="447">
        <v>1.034</v>
      </c>
      <c r="D16" s="447">
        <v>1.006</v>
      </c>
      <c r="E16" s="447">
        <v>1.01</v>
      </c>
      <c r="F16" s="448">
        <v>15</v>
      </c>
      <c r="G16" s="449">
        <v>28</v>
      </c>
      <c r="H16" s="450">
        <v>2.4</v>
      </c>
      <c r="I16" s="451">
        <v>3.6</v>
      </c>
      <c r="J16" s="451">
        <v>2</v>
      </c>
      <c r="K16" s="451">
        <v>5</v>
      </c>
      <c r="L16"/>
    </row>
    <row r="17" spans="1:12" ht="14.4" x14ac:dyDescent="0.25">
      <c r="A17" s="1" t="s">
        <v>610</v>
      </c>
      <c r="B17" s="447">
        <v>1.044</v>
      </c>
      <c r="C17" s="447">
        <v>1.05</v>
      </c>
      <c r="D17" s="447">
        <v>1.0069999999999999</v>
      </c>
      <c r="E17" s="447">
        <v>1.0109999999999999</v>
      </c>
      <c r="F17" s="448">
        <v>18</v>
      </c>
      <c r="G17" s="449">
        <v>30</v>
      </c>
      <c r="H17" s="450">
        <v>4.4000000000000004</v>
      </c>
      <c r="I17" s="451">
        <v>5.2</v>
      </c>
      <c r="J17" s="451">
        <v>3.5</v>
      </c>
      <c r="K17" s="451">
        <v>5</v>
      </c>
      <c r="L17"/>
    </row>
    <row r="18" spans="1:12" ht="14.4" x14ac:dyDescent="0.25">
      <c r="A18" s="1" t="s">
        <v>611</v>
      </c>
      <c r="B18" s="447">
        <v>1.048</v>
      </c>
      <c r="C18" s="447">
        <v>1.056</v>
      </c>
      <c r="D18" s="447">
        <v>1.01</v>
      </c>
      <c r="E18" s="447">
        <v>1.0149999999999999</v>
      </c>
      <c r="F18" s="448">
        <v>20</v>
      </c>
      <c r="G18" s="449">
        <v>30</v>
      </c>
      <c r="H18" s="450">
        <v>4.8</v>
      </c>
      <c r="I18" s="451">
        <v>6</v>
      </c>
      <c r="J18" s="451">
        <v>4</v>
      </c>
      <c r="K18" s="451">
        <v>7</v>
      </c>
      <c r="L18"/>
    </row>
    <row r="19" spans="1:12" ht="14.4" x14ac:dyDescent="0.25">
      <c r="A19" s="1" t="s">
        <v>612</v>
      </c>
      <c r="B19" s="447">
        <v>1.044</v>
      </c>
      <c r="C19" s="447">
        <v>1.05</v>
      </c>
      <c r="D19" s="447">
        <v>1.008</v>
      </c>
      <c r="E19" s="447">
        <v>1.0129999999999999</v>
      </c>
      <c r="F19" s="448">
        <v>22</v>
      </c>
      <c r="G19" s="449">
        <v>40</v>
      </c>
      <c r="H19" s="450">
        <v>4.4000000000000004</v>
      </c>
      <c r="I19" s="451">
        <v>5.2</v>
      </c>
      <c r="J19" s="451">
        <v>2</v>
      </c>
      <c r="K19" s="451">
        <v>5</v>
      </c>
      <c r="L19"/>
    </row>
    <row r="20" spans="1:12" ht="14.4" x14ac:dyDescent="0.25">
      <c r="A20" s="1" t="s">
        <v>617</v>
      </c>
      <c r="B20" s="447">
        <v>1.054</v>
      </c>
      <c r="C20" s="447">
        <v>1.06</v>
      </c>
      <c r="D20" s="447">
        <v>1.01</v>
      </c>
      <c r="E20" s="447">
        <v>1.014</v>
      </c>
      <c r="F20" s="448">
        <v>18</v>
      </c>
      <c r="G20" s="449">
        <v>24</v>
      </c>
      <c r="H20" s="450">
        <v>5.8</v>
      </c>
      <c r="I20" s="451">
        <v>6.3</v>
      </c>
      <c r="J20" s="451">
        <v>8</v>
      </c>
      <c r="K20" s="451">
        <v>17</v>
      </c>
      <c r="L20"/>
    </row>
    <row r="21" spans="1:12" ht="14.4" x14ac:dyDescent="0.25">
      <c r="A21" s="1" t="s">
        <v>618</v>
      </c>
      <c r="B21" s="447">
        <v>1.05</v>
      </c>
      <c r="C21" s="447">
        <v>1.0569999999999999</v>
      </c>
      <c r="D21" s="447">
        <v>1.012</v>
      </c>
      <c r="E21" s="447">
        <v>1.016</v>
      </c>
      <c r="F21" s="448">
        <v>20</v>
      </c>
      <c r="G21" s="449">
        <v>30</v>
      </c>
      <c r="H21" s="450">
        <v>4.8</v>
      </c>
      <c r="I21" s="451">
        <v>6</v>
      </c>
      <c r="J21" s="451">
        <v>12</v>
      </c>
      <c r="K21" s="451">
        <v>22</v>
      </c>
      <c r="L21"/>
    </row>
    <row r="22" spans="1:12" ht="14.4" x14ac:dyDescent="0.25">
      <c r="A22" s="1" t="s">
        <v>619</v>
      </c>
      <c r="B22" s="447">
        <v>1.0640000000000001</v>
      </c>
      <c r="C22" s="447">
        <v>1.0720000000000001</v>
      </c>
      <c r="D22" s="447">
        <v>1.0129999999999999</v>
      </c>
      <c r="E22" s="447">
        <v>1.0189999999999999</v>
      </c>
      <c r="F22" s="448">
        <v>20</v>
      </c>
      <c r="G22" s="449">
        <v>27</v>
      </c>
      <c r="H22" s="450">
        <v>6.3</v>
      </c>
      <c r="I22" s="451">
        <v>7.2</v>
      </c>
      <c r="J22" s="451">
        <v>14</v>
      </c>
      <c r="K22" s="451">
        <v>22</v>
      </c>
      <c r="L22"/>
    </row>
    <row r="23" spans="1:12" ht="14.4" x14ac:dyDescent="0.25">
      <c r="A23" s="1" t="s">
        <v>613</v>
      </c>
      <c r="B23" s="447">
        <v>1.048</v>
      </c>
      <c r="C23" s="447">
        <v>1.0549999999999999</v>
      </c>
      <c r="D23" s="447">
        <v>1.01</v>
      </c>
      <c r="E23" s="447">
        <v>1.014</v>
      </c>
      <c r="F23" s="448">
        <v>18</v>
      </c>
      <c r="G23" s="449">
        <v>30</v>
      </c>
      <c r="H23" s="450">
        <v>4.7</v>
      </c>
      <c r="I23" s="451">
        <v>5.5</v>
      </c>
      <c r="J23" s="451">
        <v>9</v>
      </c>
      <c r="K23" s="451">
        <v>15</v>
      </c>
      <c r="L23"/>
    </row>
    <row r="24" spans="1:12" ht="14.4" x14ac:dyDescent="0.25">
      <c r="A24" s="1" t="s">
        <v>614</v>
      </c>
      <c r="B24" s="447">
        <v>1.044</v>
      </c>
      <c r="C24" s="447">
        <v>1.052</v>
      </c>
      <c r="D24" s="447">
        <v>1.008</v>
      </c>
      <c r="E24" s="447">
        <v>1.014</v>
      </c>
      <c r="F24" s="448">
        <v>25</v>
      </c>
      <c r="G24" s="449">
        <v>50</v>
      </c>
      <c r="H24" s="450">
        <v>4.3</v>
      </c>
      <c r="I24" s="451">
        <v>5.5</v>
      </c>
      <c r="J24" s="451">
        <v>11</v>
      </c>
      <c r="K24" s="451">
        <v>17</v>
      </c>
      <c r="L24"/>
    </row>
    <row r="25" spans="1:12" ht="14.4" x14ac:dyDescent="0.25">
      <c r="A25" s="1" t="s">
        <v>615</v>
      </c>
      <c r="B25" s="447">
        <v>1.0449999999999999</v>
      </c>
      <c r="C25" s="447">
        <v>1.0509999999999999</v>
      </c>
      <c r="D25" s="447">
        <v>1.008</v>
      </c>
      <c r="E25" s="447">
        <v>1.012</v>
      </c>
      <c r="F25" s="448">
        <v>20</v>
      </c>
      <c r="G25" s="449">
        <v>35</v>
      </c>
      <c r="H25" s="450">
        <v>4.7</v>
      </c>
      <c r="I25" s="451">
        <v>5.4</v>
      </c>
      <c r="J25" s="451">
        <v>3</v>
      </c>
      <c r="K25" s="451">
        <v>7</v>
      </c>
      <c r="L25"/>
    </row>
    <row r="26" spans="1:12" ht="14.4" x14ac:dyDescent="0.25">
      <c r="A26" s="1" t="s">
        <v>616</v>
      </c>
      <c r="B26" s="447">
        <v>1.048</v>
      </c>
      <c r="C26" s="447">
        <v>1.054</v>
      </c>
      <c r="D26" s="447">
        <v>1.012</v>
      </c>
      <c r="E26" s="447">
        <v>1.016</v>
      </c>
      <c r="F26" s="448">
        <v>25</v>
      </c>
      <c r="G26" s="449">
        <v>40</v>
      </c>
      <c r="H26" s="450">
        <v>4.8</v>
      </c>
      <c r="I26" s="451">
        <v>5.4</v>
      </c>
      <c r="J26" s="451">
        <v>7</v>
      </c>
      <c r="K26" s="451">
        <v>17</v>
      </c>
      <c r="L26"/>
    </row>
    <row r="27" spans="1:12" ht="14.4" x14ac:dyDescent="0.25">
      <c r="A27" s="1" t="s">
        <v>620</v>
      </c>
      <c r="B27" s="447">
        <v>1.048</v>
      </c>
      <c r="C27" s="447">
        <v>1.056</v>
      </c>
      <c r="D27" s="447">
        <v>1.01</v>
      </c>
      <c r="E27" s="447">
        <v>1.016</v>
      </c>
      <c r="F27" s="448">
        <v>18</v>
      </c>
      <c r="G27" s="449">
        <v>28</v>
      </c>
      <c r="H27" s="450">
        <v>4.5</v>
      </c>
      <c r="I27" s="451">
        <v>5.6</v>
      </c>
      <c r="J27" s="451">
        <v>14</v>
      </c>
      <c r="K27" s="451">
        <v>28</v>
      </c>
      <c r="L27"/>
    </row>
    <row r="28" spans="1:12" ht="14.4" x14ac:dyDescent="0.25">
      <c r="A28" s="1" t="s">
        <v>621</v>
      </c>
      <c r="B28" s="447">
        <v>1.046</v>
      </c>
      <c r="C28" s="447">
        <v>1.052</v>
      </c>
      <c r="D28" s="447">
        <v>1.01</v>
      </c>
      <c r="E28" s="447">
        <v>1.016</v>
      </c>
      <c r="F28" s="448">
        <v>20</v>
      </c>
      <c r="G28" s="449">
        <v>30</v>
      </c>
      <c r="H28" s="450">
        <v>4.4000000000000004</v>
      </c>
      <c r="I28" s="451">
        <v>5.4</v>
      </c>
      <c r="J28" s="451">
        <v>17</v>
      </c>
      <c r="K28" s="451">
        <v>30</v>
      </c>
      <c r="L28"/>
    </row>
    <row r="29" spans="1:12" ht="14.4" x14ac:dyDescent="0.25">
      <c r="A29" s="1" t="s">
        <v>622</v>
      </c>
      <c r="B29" s="447">
        <v>1.0720000000000001</v>
      </c>
      <c r="C29" s="447">
        <v>1.1120000000000001</v>
      </c>
      <c r="D29" s="447">
        <v>1.016</v>
      </c>
      <c r="E29" s="447">
        <v>1.024</v>
      </c>
      <c r="F29" s="448">
        <v>16</v>
      </c>
      <c r="G29" s="449">
        <v>26</v>
      </c>
      <c r="H29" s="450">
        <v>7</v>
      </c>
      <c r="I29" s="451">
        <v>10</v>
      </c>
      <c r="J29" s="451">
        <v>6</v>
      </c>
      <c r="K29" s="451">
        <v>25</v>
      </c>
      <c r="L29"/>
    </row>
    <row r="30" spans="1:12" ht="14.4" x14ac:dyDescent="0.25">
      <c r="A30" s="1" t="s">
        <v>623</v>
      </c>
      <c r="B30" s="447">
        <v>1.0780000000000001</v>
      </c>
      <c r="C30" s="447">
        <v>1.1200000000000001</v>
      </c>
      <c r="D30" s="447">
        <v>1.02</v>
      </c>
      <c r="E30" s="447">
        <v>1.0349999999999999</v>
      </c>
      <c r="F30" s="448">
        <v>25</v>
      </c>
      <c r="G30" s="449">
        <v>35</v>
      </c>
      <c r="H30" s="450">
        <v>9</v>
      </c>
      <c r="I30" s="451">
        <v>14</v>
      </c>
      <c r="J30" s="451">
        <v>18</v>
      </c>
      <c r="K30" s="451">
        <v>30</v>
      </c>
      <c r="L30"/>
    </row>
    <row r="31" spans="1:12" ht="14.4" x14ac:dyDescent="0.25">
      <c r="A31" s="1" t="s">
        <v>624</v>
      </c>
      <c r="B31" s="447">
        <v>1.06</v>
      </c>
      <c r="C31" s="447">
        <v>1.0900000000000001</v>
      </c>
      <c r="D31" s="447">
        <v>1.016</v>
      </c>
      <c r="E31" s="447">
        <v>1.024</v>
      </c>
      <c r="F31" s="448">
        <v>20</v>
      </c>
      <c r="G31" s="449">
        <v>40</v>
      </c>
      <c r="H31" s="450">
        <v>6.5</v>
      </c>
      <c r="I31" s="451">
        <v>9.5</v>
      </c>
      <c r="J31" s="451">
        <v>17</v>
      </c>
      <c r="K31" s="451">
        <v>30</v>
      </c>
      <c r="L31"/>
    </row>
    <row r="32" spans="1:12" ht="14.4" x14ac:dyDescent="0.25">
      <c r="A32" s="1" t="s">
        <v>625</v>
      </c>
      <c r="B32" s="447">
        <v>1.044</v>
      </c>
      <c r="C32" s="447">
        <v>1.052</v>
      </c>
      <c r="D32" s="447">
        <v>1.01</v>
      </c>
      <c r="E32" s="447">
        <v>1.014</v>
      </c>
      <c r="F32" s="448">
        <v>8</v>
      </c>
      <c r="G32" s="449">
        <v>15</v>
      </c>
      <c r="H32" s="450">
        <v>4.3</v>
      </c>
      <c r="I32" s="451">
        <v>5.6</v>
      </c>
      <c r="J32" s="451">
        <v>2</v>
      </c>
      <c r="K32" s="451">
        <v>6</v>
      </c>
      <c r="L32"/>
    </row>
    <row r="33" spans="1:12" ht="14.4" x14ac:dyDescent="0.25">
      <c r="A33" s="1" t="s">
        <v>626</v>
      </c>
      <c r="B33" s="447">
        <v>1.044</v>
      </c>
      <c r="C33" s="447">
        <v>1.056</v>
      </c>
      <c r="D33" s="447">
        <v>1.01</v>
      </c>
      <c r="E33" s="447">
        <v>1.014</v>
      </c>
      <c r="F33" s="448">
        <v>10</v>
      </c>
      <c r="G33" s="449">
        <v>18</v>
      </c>
      <c r="H33" s="450">
        <v>4.3</v>
      </c>
      <c r="I33" s="451">
        <v>5.6</v>
      </c>
      <c r="J33" s="451">
        <v>14</v>
      </c>
      <c r="K33" s="451">
        <v>23</v>
      </c>
      <c r="L33"/>
    </row>
    <row r="34" spans="1:12" ht="14.4" x14ac:dyDescent="0.25">
      <c r="A34" s="1" t="s">
        <v>627</v>
      </c>
      <c r="B34" s="447">
        <v>1.0640000000000001</v>
      </c>
      <c r="C34" s="447">
        <v>1.0900000000000001</v>
      </c>
      <c r="D34" s="447">
        <v>1.0149999999999999</v>
      </c>
      <c r="E34" s="447">
        <v>1.022</v>
      </c>
      <c r="F34" s="448">
        <v>15</v>
      </c>
      <c r="G34" s="449">
        <v>30</v>
      </c>
      <c r="H34" s="450">
        <v>6.5</v>
      </c>
      <c r="I34" s="451">
        <v>9</v>
      </c>
      <c r="J34" s="451">
        <v>6</v>
      </c>
      <c r="K34" s="451">
        <v>25</v>
      </c>
      <c r="L34"/>
    </row>
    <row r="35" spans="1:12" ht="14.4" x14ac:dyDescent="0.25">
      <c r="A35" s="1" t="s">
        <v>628</v>
      </c>
      <c r="B35" s="447">
        <v>1.03</v>
      </c>
      <c r="C35" s="447">
        <v>1.0389999999999999</v>
      </c>
      <c r="D35" s="447">
        <v>1.0069999999999999</v>
      </c>
      <c r="E35" s="447">
        <v>1.0109999999999999</v>
      </c>
      <c r="F35" s="448">
        <v>25</v>
      </c>
      <c r="G35" s="449">
        <v>35</v>
      </c>
      <c r="H35" s="450">
        <v>3.2</v>
      </c>
      <c r="I35" s="451">
        <v>3.8</v>
      </c>
      <c r="J35" s="451">
        <v>8</v>
      </c>
      <c r="K35" s="451">
        <v>14</v>
      </c>
      <c r="L35"/>
    </row>
    <row r="36" spans="1:12" ht="14.4" x14ac:dyDescent="0.25">
      <c r="A36" s="1" t="s">
        <v>629</v>
      </c>
      <c r="B36" s="447">
        <v>1.04</v>
      </c>
      <c r="C36" s="447">
        <v>1.048</v>
      </c>
      <c r="D36" s="447">
        <v>1.008</v>
      </c>
      <c r="E36" s="447">
        <v>1.012</v>
      </c>
      <c r="F36" s="448">
        <v>25</v>
      </c>
      <c r="G36" s="449">
        <v>40</v>
      </c>
      <c r="H36" s="450">
        <v>3.8</v>
      </c>
      <c r="I36" s="451">
        <v>4.5999999999999996</v>
      </c>
      <c r="J36" s="451">
        <v>8</v>
      </c>
      <c r="K36" s="451">
        <v>16</v>
      </c>
      <c r="L36"/>
    </row>
    <row r="37" spans="1:12" ht="14.4" x14ac:dyDescent="0.25">
      <c r="A37" s="1" t="s">
        <v>630</v>
      </c>
      <c r="B37" s="447">
        <v>1.048</v>
      </c>
      <c r="C37" s="447">
        <v>1.06</v>
      </c>
      <c r="D37" s="447">
        <v>1.01</v>
      </c>
      <c r="E37" s="447">
        <v>1.016</v>
      </c>
      <c r="F37" s="448">
        <v>30</v>
      </c>
      <c r="G37" s="449">
        <v>50</v>
      </c>
      <c r="H37" s="450">
        <v>4.5999999999999996</v>
      </c>
      <c r="I37" s="451">
        <v>6.2</v>
      </c>
      <c r="J37" s="451">
        <v>8</v>
      </c>
      <c r="K37" s="451">
        <v>18</v>
      </c>
      <c r="L37"/>
    </row>
    <row r="38" spans="1:12" ht="14.4" x14ac:dyDescent="0.25">
      <c r="A38" s="1" t="s">
        <v>631</v>
      </c>
      <c r="B38" s="447">
        <v>1.038</v>
      </c>
      <c r="C38" s="447">
        <v>1.0529999999999999</v>
      </c>
      <c r="D38" s="447">
        <v>1.006</v>
      </c>
      <c r="E38" s="447">
        <v>1.012</v>
      </c>
      <c r="F38" s="448">
        <v>20</v>
      </c>
      <c r="G38" s="449">
        <v>45</v>
      </c>
      <c r="H38" s="450">
        <v>3.8</v>
      </c>
      <c r="I38" s="451">
        <v>5</v>
      </c>
      <c r="J38" s="451">
        <v>2</v>
      </c>
      <c r="K38" s="451">
        <v>6</v>
      </c>
      <c r="L38"/>
    </row>
    <row r="39" spans="1:12" ht="14.4" x14ac:dyDescent="0.25">
      <c r="A39" s="1" t="s">
        <v>632</v>
      </c>
      <c r="B39" s="447">
        <v>1.038</v>
      </c>
      <c r="C39" s="447">
        <v>1.05</v>
      </c>
      <c r="D39" s="447">
        <v>1.004</v>
      </c>
      <c r="E39" s="447">
        <v>1.006</v>
      </c>
      <c r="F39" s="448">
        <v>20</v>
      </c>
      <c r="G39" s="449">
        <v>35</v>
      </c>
      <c r="H39" s="450">
        <v>4.5</v>
      </c>
      <c r="I39" s="451">
        <v>6</v>
      </c>
      <c r="J39" s="451">
        <v>4</v>
      </c>
      <c r="K39" s="451">
        <v>7</v>
      </c>
      <c r="L39"/>
    </row>
    <row r="40" spans="1:12" ht="14.4" x14ac:dyDescent="0.25">
      <c r="A40" s="1" t="s">
        <v>633</v>
      </c>
      <c r="B40" s="447">
        <v>1.05</v>
      </c>
      <c r="C40" s="447">
        <v>1.075</v>
      </c>
      <c r="D40" s="447">
        <v>1.01</v>
      </c>
      <c r="E40" s="447">
        <v>1.018</v>
      </c>
      <c r="F40" s="448">
        <v>40</v>
      </c>
      <c r="G40" s="449">
        <v>60</v>
      </c>
      <c r="H40" s="450">
        <v>5</v>
      </c>
      <c r="I40" s="451">
        <v>7.5</v>
      </c>
      <c r="J40" s="451">
        <v>6</v>
      </c>
      <c r="K40" s="451">
        <v>14</v>
      </c>
      <c r="L40"/>
    </row>
    <row r="41" spans="1:12" ht="14.4" x14ac:dyDescent="0.25">
      <c r="A41" s="1" t="s">
        <v>634</v>
      </c>
      <c r="B41" s="447">
        <v>1.03</v>
      </c>
      <c r="C41" s="447">
        <v>1.038</v>
      </c>
      <c r="D41" s="447">
        <v>1.008</v>
      </c>
      <c r="E41" s="447">
        <v>1.0129999999999999</v>
      </c>
      <c r="F41" s="448">
        <v>10</v>
      </c>
      <c r="G41" s="449">
        <v>25</v>
      </c>
      <c r="H41" s="450">
        <v>3</v>
      </c>
      <c r="I41" s="451">
        <v>3.8</v>
      </c>
      <c r="J41" s="451">
        <v>12</v>
      </c>
      <c r="K41" s="451">
        <v>25</v>
      </c>
      <c r="L41"/>
    </row>
    <row r="42" spans="1:12" ht="14.4" x14ac:dyDescent="0.25">
      <c r="A42" s="1" t="s">
        <v>635</v>
      </c>
      <c r="B42" s="447">
        <v>1.04</v>
      </c>
      <c r="C42" s="447">
        <v>1.052</v>
      </c>
      <c r="D42" s="447">
        <v>1.008</v>
      </c>
      <c r="E42" s="447">
        <v>1.0129999999999999</v>
      </c>
      <c r="F42" s="448">
        <v>20</v>
      </c>
      <c r="G42" s="449">
        <v>30</v>
      </c>
      <c r="H42" s="450">
        <v>4.2</v>
      </c>
      <c r="I42" s="451">
        <v>5.4</v>
      </c>
      <c r="J42" s="451">
        <v>12</v>
      </c>
      <c r="K42" s="451">
        <v>22</v>
      </c>
      <c r="L42"/>
    </row>
    <row r="43" spans="1:12" ht="14.4" x14ac:dyDescent="0.25">
      <c r="A43" s="1" t="s">
        <v>636</v>
      </c>
      <c r="B43" s="447">
        <v>1.04</v>
      </c>
      <c r="C43" s="447">
        <v>1.052</v>
      </c>
      <c r="D43" s="447">
        <v>1.008</v>
      </c>
      <c r="E43" s="447">
        <v>1.014</v>
      </c>
      <c r="F43" s="448">
        <v>18</v>
      </c>
      <c r="G43" s="449">
        <v>35</v>
      </c>
      <c r="H43" s="450">
        <v>4</v>
      </c>
      <c r="I43" s="451">
        <v>5.4</v>
      </c>
      <c r="J43" s="451">
        <v>20</v>
      </c>
      <c r="K43" s="451">
        <v>30</v>
      </c>
      <c r="L43"/>
    </row>
    <row r="44" spans="1:12" ht="14.4" x14ac:dyDescent="0.25">
      <c r="A44" s="1" t="s">
        <v>637</v>
      </c>
      <c r="B44" s="447">
        <v>1.03</v>
      </c>
      <c r="C44" s="447">
        <v>1.0349999999999999</v>
      </c>
      <c r="D44" s="447">
        <v>1.01</v>
      </c>
      <c r="E44" s="447">
        <v>1.0129999999999999</v>
      </c>
      <c r="F44" s="448">
        <v>10</v>
      </c>
      <c r="G44" s="449">
        <v>20</v>
      </c>
      <c r="H44" s="450">
        <v>2.5</v>
      </c>
      <c r="I44" s="451">
        <v>3.2</v>
      </c>
      <c r="J44" s="451">
        <v>17</v>
      </c>
      <c r="K44" s="451">
        <v>22</v>
      </c>
      <c r="L44"/>
    </row>
    <row r="45" spans="1:12" ht="14.4" x14ac:dyDescent="0.25">
      <c r="A45" s="1" t="s">
        <v>638</v>
      </c>
      <c r="B45" s="447">
        <v>1.0349999999999999</v>
      </c>
      <c r="C45" s="447">
        <v>1.04</v>
      </c>
      <c r="D45" s="447">
        <v>1.01</v>
      </c>
      <c r="E45" s="447">
        <v>1.0149999999999999</v>
      </c>
      <c r="F45" s="448">
        <v>10</v>
      </c>
      <c r="G45" s="449">
        <v>20</v>
      </c>
      <c r="H45" s="450">
        <v>3.2</v>
      </c>
      <c r="I45" s="451">
        <v>3.9</v>
      </c>
      <c r="J45" s="451">
        <v>13</v>
      </c>
      <c r="K45" s="451">
        <v>22</v>
      </c>
      <c r="L45"/>
    </row>
    <row r="46" spans="1:12" ht="14.4" x14ac:dyDescent="0.25">
      <c r="A46" s="1" t="s">
        <v>639</v>
      </c>
      <c r="B46" s="447">
        <v>1.04</v>
      </c>
      <c r="C46" s="447">
        <v>1.06</v>
      </c>
      <c r="D46" s="447">
        <v>1.01</v>
      </c>
      <c r="E46" s="447">
        <v>1.016</v>
      </c>
      <c r="F46" s="448">
        <v>15</v>
      </c>
      <c r="G46" s="449">
        <v>30</v>
      </c>
      <c r="H46" s="450">
        <v>3.9</v>
      </c>
      <c r="I46" s="451">
        <v>6</v>
      </c>
      <c r="J46" s="451">
        <v>13</v>
      </c>
      <c r="K46" s="451">
        <v>22</v>
      </c>
      <c r="L46"/>
    </row>
    <row r="47" spans="1:12" ht="14.4" x14ac:dyDescent="0.25">
      <c r="A47" s="1" t="s">
        <v>640</v>
      </c>
      <c r="B47" s="447">
        <v>1.036</v>
      </c>
      <c r="C47" s="447">
        <v>1.046</v>
      </c>
      <c r="D47" s="447">
        <v>1.01</v>
      </c>
      <c r="E47" s="447">
        <v>1.014</v>
      </c>
      <c r="F47" s="448">
        <v>18</v>
      </c>
      <c r="G47" s="449">
        <v>28</v>
      </c>
      <c r="H47" s="450">
        <v>3.8</v>
      </c>
      <c r="I47" s="451">
        <v>5</v>
      </c>
      <c r="J47" s="451">
        <v>9</v>
      </c>
      <c r="K47" s="451">
        <v>14</v>
      </c>
      <c r="L47"/>
    </row>
    <row r="48" spans="1:12" ht="14.4" x14ac:dyDescent="0.25">
      <c r="A48" s="1" t="s">
        <v>641</v>
      </c>
      <c r="B48" s="447">
        <v>1.036</v>
      </c>
      <c r="C48" s="447">
        <v>1.044</v>
      </c>
      <c r="D48" s="447">
        <v>1.0069999999999999</v>
      </c>
      <c r="E48" s="447">
        <v>1.0109999999999999</v>
      </c>
      <c r="F48" s="448">
        <v>25</v>
      </c>
      <c r="G48" s="449">
        <v>45</v>
      </c>
      <c r="H48" s="450">
        <v>4</v>
      </c>
      <c r="I48" s="451">
        <v>4.5</v>
      </c>
      <c r="J48" s="451">
        <v>25</v>
      </c>
      <c r="K48" s="451">
        <v>40</v>
      </c>
      <c r="L48"/>
    </row>
    <row r="49" spans="1:12" ht="14.4" x14ac:dyDescent="0.25">
      <c r="A49" s="1" t="s">
        <v>642</v>
      </c>
      <c r="B49" s="447">
        <v>1.052</v>
      </c>
      <c r="C49" s="447">
        <v>1.0620000000000001</v>
      </c>
      <c r="D49" s="447">
        <v>1.01</v>
      </c>
      <c r="E49" s="447">
        <v>1.014</v>
      </c>
      <c r="F49" s="448">
        <v>35</v>
      </c>
      <c r="G49" s="449">
        <v>50</v>
      </c>
      <c r="H49" s="450">
        <v>5.5</v>
      </c>
      <c r="I49" s="451">
        <v>6.5</v>
      </c>
      <c r="J49" s="451">
        <v>25</v>
      </c>
      <c r="K49" s="451">
        <v>40</v>
      </c>
      <c r="L49"/>
    </row>
    <row r="50" spans="1:12" ht="14.4" x14ac:dyDescent="0.25">
      <c r="A50" s="1" t="s">
        <v>643</v>
      </c>
      <c r="B50" s="447">
        <v>1.044</v>
      </c>
      <c r="C50" s="447">
        <v>1.06</v>
      </c>
      <c r="D50" s="447">
        <v>1.012</v>
      </c>
      <c r="E50" s="447">
        <v>1.024</v>
      </c>
      <c r="F50" s="448">
        <v>20</v>
      </c>
      <c r="G50" s="449">
        <v>40</v>
      </c>
      <c r="H50" s="450">
        <v>4</v>
      </c>
      <c r="I50" s="451">
        <v>6</v>
      </c>
      <c r="J50" s="451">
        <v>30</v>
      </c>
      <c r="K50" s="451">
        <v>40</v>
      </c>
      <c r="L50"/>
    </row>
    <row r="51" spans="1:12" ht="14.4" x14ac:dyDescent="0.25">
      <c r="A51" s="1" t="s">
        <v>644</v>
      </c>
      <c r="B51" s="447">
        <v>1.0449999999999999</v>
      </c>
      <c r="C51" s="447">
        <v>1.0649999999999999</v>
      </c>
      <c r="D51" s="447">
        <v>1.01</v>
      </c>
      <c r="E51" s="447">
        <v>1.018</v>
      </c>
      <c r="F51" s="448">
        <v>25</v>
      </c>
      <c r="G51" s="449">
        <v>40</v>
      </c>
      <c r="H51" s="450">
        <v>4.2</v>
      </c>
      <c r="I51" s="451">
        <v>5.9</v>
      </c>
      <c r="J51" s="451">
        <v>22</v>
      </c>
      <c r="K51" s="451">
        <v>40</v>
      </c>
      <c r="L51"/>
    </row>
    <row r="52" spans="1:12" ht="14.4" x14ac:dyDescent="0.25">
      <c r="A52" s="1" t="s">
        <v>645</v>
      </c>
      <c r="B52" s="447">
        <v>1.056</v>
      </c>
      <c r="C52" s="447">
        <v>1.075</v>
      </c>
      <c r="D52" s="447">
        <v>1.01</v>
      </c>
      <c r="E52" s="447">
        <v>1.018</v>
      </c>
      <c r="F52" s="448">
        <v>30</v>
      </c>
      <c r="G52" s="449">
        <v>50</v>
      </c>
      <c r="H52" s="450">
        <v>5.5</v>
      </c>
      <c r="I52" s="451">
        <v>8</v>
      </c>
      <c r="J52" s="451">
        <v>30</v>
      </c>
      <c r="K52" s="451">
        <v>40</v>
      </c>
      <c r="L52"/>
    </row>
    <row r="53" spans="1:12" ht="14.4" x14ac:dyDescent="0.25">
      <c r="A53" s="1" t="s">
        <v>646</v>
      </c>
      <c r="B53" s="447">
        <v>1.056</v>
      </c>
      <c r="C53" s="447">
        <v>1.075</v>
      </c>
      <c r="D53" s="447">
        <v>1.01</v>
      </c>
      <c r="E53" s="447">
        <v>1.018</v>
      </c>
      <c r="F53" s="448">
        <v>50</v>
      </c>
      <c r="G53" s="449">
        <v>70</v>
      </c>
      <c r="H53" s="450">
        <v>6.3</v>
      </c>
      <c r="I53" s="451">
        <v>8</v>
      </c>
      <c r="J53" s="451">
        <v>30</v>
      </c>
      <c r="K53" s="451">
        <v>40</v>
      </c>
      <c r="L53"/>
    </row>
    <row r="54" spans="1:12" ht="14.4" x14ac:dyDescent="0.25">
      <c r="A54" s="1" t="s">
        <v>647</v>
      </c>
      <c r="B54" s="447">
        <v>1.0549999999999999</v>
      </c>
      <c r="C54" s="447">
        <v>1.08</v>
      </c>
      <c r="D54" s="447">
        <v>1.0149999999999999</v>
      </c>
      <c r="E54" s="447">
        <v>1.022</v>
      </c>
      <c r="F54" s="448">
        <v>30</v>
      </c>
      <c r="G54" s="449">
        <v>60</v>
      </c>
      <c r="H54" s="450">
        <v>5.5</v>
      </c>
      <c r="I54" s="451">
        <v>8</v>
      </c>
      <c r="J54" s="451">
        <v>8</v>
      </c>
      <c r="K54" s="451">
        <v>22</v>
      </c>
      <c r="L54"/>
    </row>
    <row r="55" spans="1:12" ht="14.4" x14ac:dyDescent="0.25">
      <c r="A55" s="1" t="s">
        <v>648</v>
      </c>
      <c r="B55" s="447">
        <v>1.0549999999999999</v>
      </c>
      <c r="C55" s="447">
        <v>1.0880000000000001</v>
      </c>
      <c r="D55" s="447">
        <v>1.0149999999999999</v>
      </c>
      <c r="E55" s="447">
        <v>1.022</v>
      </c>
      <c r="F55" s="448">
        <v>30</v>
      </c>
      <c r="G55" s="449">
        <v>60</v>
      </c>
      <c r="H55" s="450">
        <v>5.5</v>
      </c>
      <c r="I55" s="451">
        <v>9</v>
      </c>
      <c r="J55" s="451">
        <v>10</v>
      </c>
      <c r="K55" s="451">
        <v>22</v>
      </c>
      <c r="L55"/>
    </row>
    <row r="56" spans="1:12" ht="14.4" x14ac:dyDescent="0.25">
      <c r="A56" s="1" t="s">
        <v>649</v>
      </c>
      <c r="B56" s="447">
        <v>1.07</v>
      </c>
      <c r="C56" s="447">
        <v>1.1299999999999999</v>
      </c>
      <c r="D56" s="447">
        <v>1.018</v>
      </c>
      <c r="E56" s="447">
        <v>1.04</v>
      </c>
      <c r="F56" s="448">
        <v>17</v>
      </c>
      <c r="G56" s="449">
        <v>35</v>
      </c>
      <c r="H56" s="450">
        <v>6.5</v>
      </c>
      <c r="I56" s="451">
        <v>10</v>
      </c>
      <c r="J56" s="451">
        <v>14</v>
      </c>
      <c r="K56" s="451">
        <v>25</v>
      </c>
      <c r="L56"/>
    </row>
    <row r="57" spans="1:12" ht="14.4" x14ac:dyDescent="0.25">
      <c r="A57" s="1" t="s">
        <v>650</v>
      </c>
      <c r="B57" s="447">
        <v>1.08</v>
      </c>
      <c r="C57" s="447">
        <v>1.1200000000000001</v>
      </c>
      <c r="D57" s="447">
        <v>1.018</v>
      </c>
      <c r="E57" s="447">
        <v>1.03</v>
      </c>
      <c r="F57" s="448">
        <v>35</v>
      </c>
      <c r="G57" s="449">
        <v>70</v>
      </c>
      <c r="H57" s="450">
        <v>8</v>
      </c>
      <c r="I57" s="451">
        <v>12</v>
      </c>
      <c r="J57" s="451">
        <v>8</v>
      </c>
      <c r="K57" s="451">
        <v>22</v>
      </c>
      <c r="L57"/>
    </row>
    <row r="58" spans="1:12" ht="14.4" x14ac:dyDescent="0.25">
      <c r="A58" s="1" t="s">
        <v>651</v>
      </c>
      <c r="B58" s="447">
        <v>1.038</v>
      </c>
      <c r="C58" s="447">
        <v>1.054</v>
      </c>
      <c r="D58" s="447">
        <v>1.008</v>
      </c>
      <c r="E58" s="447">
        <v>1.0129999999999999</v>
      </c>
      <c r="F58" s="448">
        <v>15</v>
      </c>
      <c r="G58" s="449">
        <v>28</v>
      </c>
      <c r="H58" s="450">
        <v>3.8</v>
      </c>
      <c r="I58" s="451">
        <v>5.5</v>
      </c>
      <c r="J58" s="451">
        <v>3</v>
      </c>
      <c r="K58" s="451">
        <v>6</v>
      </c>
      <c r="L58"/>
    </row>
    <row r="59" spans="1:12" ht="14.4" x14ac:dyDescent="0.25">
      <c r="A59" s="1" t="s">
        <v>652</v>
      </c>
      <c r="B59" s="447">
        <v>1.0449999999999999</v>
      </c>
      <c r="C59" s="447">
        <v>1.06</v>
      </c>
      <c r="D59" s="447">
        <v>1.01</v>
      </c>
      <c r="E59" s="447">
        <v>1.0149999999999999</v>
      </c>
      <c r="F59" s="448">
        <v>30</v>
      </c>
      <c r="G59" s="449">
        <v>50</v>
      </c>
      <c r="H59" s="450">
        <v>4.5</v>
      </c>
      <c r="I59" s="451">
        <v>6.2</v>
      </c>
      <c r="J59" s="451">
        <v>5</v>
      </c>
      <c r="K59" s="451">
        <v>10</v>
      </c>
      <c r="L59"/>
    </row>
    <row r="60" spans="1:12" ht="14.4" x14ac:dyDescent="0.25">
      <c r="A60" s="1" t="s">
        <v>653</v>
      </c>
      <c r="B60" s="447">
        <v>1.0449999999999999</v>
      </c>
      <c r="C60" s="447">
        <v>1.06</v>
      </c>
      <c r="D60" s="447">
        <v>1.01</v>
      </c>
      <c r="E60" s="447">
        <v>1.0149999999999999</v>
      </c>
      <c r="F60" s="448">
        <v>25</v>
      </c>
      <c r="G60" s="449">
        <v>40</v>
      </c>
      <c r="H60" s="450">
        <v>4.5</v>
      </c>
      <c r="I60" s="451">
        <v>6.2</v>
      </c>
      <c r="J60" s="451">
        <v>10</v>
      </c>
      <c r="K60" s="451">
        <v>17</v>
      </c>
      <c r="L60"/>
    </row>
    <row r="61" spans="1:12" ht="14.4" x14ac:dyDescent="0.25">
      <c r="A61" s="1" t="s">
        <v>654</v>
      </c>
      <c r="B61" s="447">
        <v>1.048</v>
      </c>
      <c r="C61" s="447">
        <v>1.054</v>
      </c>
      <c r="D61" s="447">
        <v>1.0109999999999999</v>
      </c>
      <c r="E61" s="447">
        <v>1.014</v>
      </c>
      <c r="F61" s="448">
        <v>30</v>
      </c>
      <c r="G61" s="449">
        <v>45</v>
      </c>
      <c r="H61" s="450">
        <v>4.5</v>
      </c>
      <c r="I61" s="451">
        <v>5.5</v>
      </c>
      <c r="J61" s="451">
        <v>10</v>
      </c>
      <c r="K61" s="451">
        <v>14</v>
      </c>
      <c r="L61"/>
    </row>
    <row r="62" spans="1:12" ht="14.4" x14ac:dyDescent="0.25">
      <c r="A62" s="1" t="s">
        <v>655</v>
      </c>
      <c r="B62" s="447">
        <v>1.0449999999999999</v>
      </c>
      <c r="C62" s="447">
        <v>1.06</v>
      </c>
      <c r="D62" s="447">
        <v>1.01</v>
      </c>
      <c r="E62" s="447">
        <v>1.016</v>
      </c>
      <c r="F62" s="448">
        <v>20</v>
      </c>
      <c r="G62" s="449">
        <v>30</v>
      </c>
      <c r="H62" s="450">
        <v>4.3</v>
      </c>
      <c r="I62" s="451">
        <v>6.2</v>
      </c>
      <c r="J62" s="451">
        <v>18</v>
      </c>
      <c r="K62" s="451">
        <v>35</v>
      </c>
      <c r="L62"/>
    </row>
    <row r="63" spans="1:12" ht="14.4" x14ac:dyDescent="0.25">
      <c r="A63" s="1" t="s">
        <v>656</v>
      </c>
      <c r="B63" s="447">
        <v>1.05</v>
      </c>
      <c r="C63" s="447">
        <v>1.07</v>
      </c>
      <c r="D63" s="447">
        <v>1.012</v>
      </c>
      <c r="E63" s="447">
        <v>1.018</v>
      </c>
      <c r="F63" s="448">
        <v>25</v>
      </c>
      <c r="G63" s="449">
        <v>50</v>
      </c>
      <c r="H63" s="450">
        <v>4.8</v>
      </c>
      <c r="I63" s="451">
        <v>6.5</v>
      </c>
      <c r="J63" s="451">
        <v>22</v>
      </c>
      <c r="K63" s="451">
        <v>40</v>
      </c>
      <c r="L63"/>
    </row>
    <row r="64" spans="1:12" ht="14.4" x14ac:dyDescent="0.25">
      <c r="A64" s="1" t="s">
        <v>657</v>
      </c>
      <c r="B64" s="447">
        <v>1.05</v>
      </c>
      <c r="C64" s="447">
        <v>1.075</v>
      </c>
      <c r="D64" s="447">
        <v>1.01</v>
      </c>
      <c r="E64" s="447">
        <v>1.022</v>
      </c>
      <c r="F64" s="448">
        <v>35</v>
      </c>
      <c r="G64" s="449">
        <v>75</v>
      </c>
      <c r="H64" s="450">
        <v>5</v>
      </c>
      <c r="I64" s="451">
        <v>7</v>
      </c>
      <c r="J64" s="451">
        <v>30</v>
      </c>
      <c r="K64" s="451">
        <v>40</v>
      </c>
      <c r="L64"/>
    </row>
    <row r="65" spans="1:12" ht="14.4" x14ac:dyDescent="0.25">
      <c r="A65" s="1" t="s">
        <v>658</v>
      </c>
      <c r="B65" s="447">
        <v>1.075</v>
      </c>
      <c r="C65" s="447">
        <v>1.115</v>
      </c>
      <c r="D65" s="447">
        <v>1.018</v>
      </c>
      <c r="E65" s="447">
        <v>1.03</v>
      </c>
      <c r="F65" s="448">
        <v>50</v>
      </c>
      <c r="G65" s="449">
        <v>90</v>
      </c>
      <c r="H65" s="450">
        <v>8</v>
      </c>
      <c r="I65" s="451">
        <v>12</v>
      </c>
      <c r="J65" s="451">
        <v>30</v>
      </c>
      <c r="K65" s="451">
        <v>40</v>
      </c>
      <c r="L65"/>
    </row>
    <row r="66" spans="1:12" ht="14.4" x14ac:dyDescent="0.25">
      <c r="A66" s="1" t="s">
        <v>659</v>
      </c>
      <c r="B66" s="447">
        <v>1.056</v>
      </c>
      <c r="C66" s="447">
        <v>1.07</v>
      </c>
      <c r="D66" s="447">
        <v>1.008</v>
      </c>
      <c r="E66" s="447">
        <v>1.014</v>
      </c>
      <c r="F66" s="448">
        <v>40</v>
      </c>
      <c r="G66" s="449">
        <v>70</v>
      </c>
      <c r="H66" s="450">
        <v>5.5</v>
      </c>
      <c r="I66" s="451">
        <v>7.5</v>
      </c>
      <c r="J66" s="451">
        <v>6</v>
      </c>
      <c r="K66" s="451">
        <v>14</v>
      </c>
      <c r="L66"/>
    </row>
    <row r="67" spans="1:12" ht="14.4" x14ac:dyDescent="0.25">
      <c r="A67" s="1" t="s">
        <v>660</v>
      </c>
      <c r="B67" s="447">
        <v>1.0580000000000001</v>
      </c>
      <c r="C67" s="447">
        <v>1.08</v>
      </c>
      <c r="D67" s="447">
        <v>1.008</v>
      </c>
      <c r="E67" s="447">
        <v>1.016</v>
      </c>
      <c r="F67" s="448">
        <v>50</v>
      </c>
      <c r="G67" s="449">
        <v>100</v>
      </c>
      <c r="H67" s="450">
        <v>6.2</v>
      </c>
      <c r="I67" s="451">
        <v>9.5</v>
      </c>
      <c r="J67" s="451">
        <v>5</v>
      </c>
      <c r="K67" s="451">
        <v>15</v>
      </c>
      <c r="L67"/>
    </row>
    <row r="68" spans="1:12" ht="14.4" x14ac:dyDescent="0.25">
      <c r="A68" s="1" t="s">
        <v>661</v>
      </c>
      <c r="B68" s="447">
        <v>1.05</v>
      </c>
      <c r="C68" s="447">
        <v>1.085</v>
      </c>
      <c r="D68" s="447">
        <v>1.01</v>
      </c>
      <c r="E68" s="447">
        <v>1.018</v>
      </c>
      <c r="F68" s="448">
        <v>50</v>
      </c>
      <c r="G68" s="449">
        <v>90</v>
      </c>
      <c r="H68" s="450">
        <v>5.5</v>
      </c>
      <c r="I68" s="451">
        <v>9</v>
      </c>
      <c r="J68" s="451">
        <v>25</v>
      </c>
      <c r="K68" s="451">
        <v>40</v>
      </c>
      <c r="L68"/>
    </row>
    <row r="69" spans="1:12" ht="14.4" x14ac:dyDescent="0.25">
      <c r="A69" s="1" t="s">
        <v>662</v>
      </c>
      <c r="B69" s="447">
        <v>1.056</v>
      </c>
      <c r="C69" s="447">
        <v>1.07</v>
      </c>
      <c r="D69" s="447">
        <v>1.008</v>
      </c>
      <c r="E69" s="447">
        <v>1.016</v>
      </c>
      <c r="F69" s="448">
        <v>40</v>
      </c>
      <c r="G69" s="449">
        <v>70</v>
      </c>
      <c r="H69" s="450">
        <v>5.5</v>
      </c>
      <c r="I69" s="451">
        <v>7.5</v>
      </c>
      <c r="J69" s="451">
        <v>11</v>
      </c>
      <c r="K69" s="451">
        <v>19</v>
      </c>
      <c r="L69"/>
    </row>
    <row r="70" spans="1:12" ht="14.4" x14ac:dyDescent="0.25">
      <c r="A70" s="1" t="s">
        <v>2157</v>
      </c>
      <c r="B70" s="447">
        <v>1.06</v>
      </c>
      <c r="C70" s="447">
        <v>1.085</v>
      </c>
      <c r="D70" s="447">
        <v>1.01</v>
      </c>
      <c r="E70" s="447">
        <v>1.0149999999999999</v>
      </c>
      <c r="F70" s="448">
        <v>25</v>
      </c>
      <c r="G70" s="449">
        <v>60</v>
      </c>
      <c r="H70" s="450">
        <v>6</v>
      </c>
      <c r="I70" s="451">
        <v>9</v>
      </c>
      <c r="J70" s="451">
        <v>3</v>
      </c>
      <c r="K70" s="451">
        <v>7</v>
      </c>
      <c r="L70"/>
    </row>
    <row r="71" spans="1:12" ht="14.4" x14ac:dyDescent="0.25">
      <c r="A71" s="1" t="s">
        <v>663</v>
      </c>
      <c r="B71" s="447">
        <v>1.056</v>
      </c>
      <c r="C71" s="447">
        <v>1.07</v>
      </c>
      <c r="D71" s="447">
        <v>1.008</v>
      </c>
      <c r="E71" s="447">
        <v>1.016</v>
      </c>
      <c r="F71" s="448">
        <v>40</v>
      </c>
      <c r="G71" s="449">
        <v>70</v>
      </c>
      <c r="H71" s="450">
        <v>5.5</v>
      </c>
      <c r="I71" s="451">
        <v>7.5</v>
      </c>
      <c r="J71" s="451">
        <v>11</v>
      </c>
      <c r="K71" s="451">
        <v>19</v>
      </c>
      <c r="L71"/>
    </row>
    <row r="72" spans="1:12" ht="14.4" x14ac:dyDescent="0.25">
      <c r="A72" s="1" t="s">
        <v>664</v>
      </c>
      <c r="B72" s="447">
        <v>1.056</v>
      </c>
      <c r="C72" s="447">
        <v>1.075</v>
      </c>
      <c r="D72" s="447">
        <v>1.008</v>
      </c>
      <c r="E72" s="447">
        <v>1.014</v>
      </c>
      <c r="F72" s="448">
        <v>50</v>
      </c>
      <c r="G72" s="449">
        <v>75</v>
      </c>
      <c r="H72" s="450">
        <v>5.5</v>
      </c>
      <c r="I72" s="451">
        <v>8</v>
      </c>
      <c r="J72" s="451">
        <v>6</v>
      </c>
      <c r="K72" s="451">
        <v>14</v>
      </c>
      <c r="L72"/>
    </row>
    <row r="73" spans="1:12" ht="14.4" x14ac:dyDescent="0.25">
      <c r="A73" s="1" t="s">
        <v>665</v>
      </c>
      <c r="B73" s="447">
        <v>1.056</v>
      </c>
      <c r="C73" s="447">
        <v>1.0649999999999999</v>
      </c>
      <c r="D73" s="447">
        <v>1.01</v>
      </c>
      <c r="E73" s="447">
        <v>1.016</v>
      </c>
      <c r="F73" s="448">
        <v>40</v>
      </c>
      <c r="G73" s="449">
        <v>70</v>
      </c>
      <c r="H73" s="450">
        <v>5.5</v>
      </c>
      <c r="I73" s="451">
        <v>7</v>
      </c>
      <c r="J73" s="451">
        <v>5</v>
      </c>
      <c r="K73" s="451">
        <v>8</v>
      </c>
      <c r="L73"/>
    </row>
    <row r="74" spans="1:12" ht="14.4" x14ac:dyDescent="0.25">
      <c r="A74" s="1" t="s">
        <v>666</v>
      </c>
      <c r="B74" s="447">
        <v>1.0649999999999999</v>
      </c>
      <c r="C74" s="447">
        <v>1.085</v>
      </c>
      <c r="D74" s="447">
        <v>1.008</v>
      </c>
      <c r="E74" s="447">
        <v>1.018</v>
      </c>
      <c r="F74" s="448">
        <v>60</v>
      </c>
      <c r="G74" s="449">
        <v>120</v>
      </c>
      <c r="H74" s="450">
        <v>7.5</v>
      </c>
      <c r="I74" s="451">
        <v>10</v>
      </c>
      <c r="J74" s="451">
        <v>6</v>
      </c>
      <c r="K74" s="451">
        <v>14</v>
      </c>
      <c r="L74"/>
    </row>
    <row r="75" spans="1:12" ht="14.4" x14ac:dyDescent="0.25">
      <c r="A75" s="1" t="s">
        <v>667</v>
      </c>
      <c r="B75" s="447">
        <v>1.0620000000000001</v>
      </c>
      <c r="C75" s="447">
        <v>1.0900000000000001</v>
      </c>
      <c r="D75" s="447">
        <v>1.014</v>
      </c>
      <c r="E75" s="447">
        <v>1.024</v>
      </c>
      <c r="F75" s="448">
        <v>50</v>
      </c>
      <c r="G75" s="449">
        <v>100</v>
      </c>
      <c r="H75" s="450">
        <v>6.3</v>
      </c>
      <c r="I75" s="451">
        <v>10</v>
      </c>
      <c r="J75" s="451">
        <v>7</v>
      </c>
      <c r="K75" s="451">
        <v>19</v>
      </c>
      <c r="L75"/>
    </row>
    <row r="76" spans="1:12" ht="14.4" x14ac:dyDescent="0.25">
      <c r="A76" s="1" t="s">
        <v>668</v>
      </c>
      <c r="B76" s="447">
        <v>1.08</v>
      </c>
      <c r="C76" s="447">
        <v>1.1200000000000001</v>
      </c>
      <c r="D76" s="447">
        <v>1.016</v>
      </c>
      <c r="E76" s="447">
        <v>1.03</v>
      </c>
      <c r="F76" s="448">
        <v>50</v>
      </c>
      <c r="G76" s="449">
        <v>100</v>
      </c>
      <c r="H76" s="450">
        <v>8</v>
      </c>
      <c r="I76" s="451">
        <v>12</v>
      </c>
      <c r="J76" s="451">
        <v>10</v>
      </c>
      <c r="K76" s="451">
        <v>19</v>
      </c>
      <c r="L76"/>
    </row>
    <row r="77" spans="1:12" ht="14.4" x14ac:dyDescent="0.25">
      <c r="A77" s="1" t="s">
        <v>669</v>
      </c>
      <c r="B77" s="447">
        <v>1.08</v>
      </c>
      <c r="C77" s="447">
        <v>1.1200000000000001</v>
      </c>
      <c r="D77" s="447">
        <v>1.016</v>
      </c>
      <c r="E77" s="447">
        <v>1.03</v>
      </c>
      <c r="F77" s="448">
        <v>30</v>
      </c>
      <c r="G77" s="449">
        <v>60</v>
      </c>
      <c r="H77" s="450">
        <v>8</v>
      </c>
      <c r="I77" s="451">
        <v>12</v>
      </c>
      <c r="J77" s="451">
        <v>8</v>
      </c>
      <c r="K77" s="451">
        <v>15</v>
      </c>
      <c r="L77"/>
    </row>
    <row r="78" spans="1:12" ht="14.4" x14ac:dyDescent="0.25">
      <c r="A78" s="1" t="s">
        <v>670</v>
      </c>
      <c r="B78" s="447">
        <v>1.028</v>
      </c>
      <c r="C78" s="447">
        <v>1.032</v>
      </c>
      <c r="D78" s="447">
        <v>1.0029999999999999</v>
      </c>
      <c r="E78" s="447">
        <v>1.006</v>
      </c>
      <c r="F78" s="448">
        <v>3</v>
      </c>
      <c r="G78" s="449">
        <v>8</v>
      </c>
      <c r="H78" s="450">
        <v>2.8</v>
      </c>
      <c r="I78" s="451">
        <v>3.8</v>
      </c>
      <c r="J78" s="451">
        <v>2</v>
      </c>
      <c r="K78" s="451">
        <v>3</v>
      </c>
      <c r="L78"/>
    </row>
    <row r="79" spans="1:12" ht="14.4" x14ac:dyDescent="0.25">
      <c r="A79" s="1" t="s">
        <v>671</v>
      </c>
      <c r="B79" s="447">
        <v>1.048</v>
      </c>
      <c r="C79" s="447">
        <v>1.0569999999999999</v>
      </c>
      <c r="D79" s="447">
        <v>1.002</v>
      </c>
      <c r="E79" s="447">
        <v>1.012</v>
      </c>
      <c r="F79" s="448">
        <v>10</v>
      </c>
      <c r="G79" s="449">
        <v>25</v>
      </c>
      <c r="H79" s="450">
        <v>4.5999999999999996</v>
      </c>
      <c r="I79" s="451">
        <v>6.5</v>
      </c>
      <c r="J79" s="451">
        <v>10</v>
      </c>
      <c r="K79" s="451">
        <v>16</v>
      </c>
      <c r="L79"/>
    </row>
    <row r="80" spans="1:12" ht="14.4" x14ac:dyDescent="0.25">
      <c r="A80" s="1" t="s">
        <v>672</v>
      </c>
      <c r="B80" s="447">
        <v>1.04</v>
      </c>
      <c r="C80" s="447">
        <v>1.0740000000000001</v>
      </c>
      <c r="D80" s="447">
        <v>1.008</v>
      </c>
      <c r="E80" s="447">
        <v>1.012</v>
      </c>
      <c r="F80" s="448">
        <v>20</v>
      </c>
      <c r="G80" s="449">
        <v>25</v>
      </c>
      <c r="H80" s="450">
        <v>4</v>
      </c>
      <c r="I80" s="451">
        <v>8</v>
      </c>
      <c r="J80" s="451">
        <v>15</v>
      </c>
      <c r="K80" s="451">
        <v>22</v>
      </c>
      <c r="L80"/>
    </row>
    <row r="81" spans="1:12" ht="14.4" x14ac:dyDescent="0.25">
      <c r="A81" s="1" t="s">
        <v>673</v>
      </c>
      <c r="B81" s="447">
        <v>1.04</v>
      </c>
      <c r="C81" s="447">
        <v>1.054</v>
      </c>
      <c r="D81" s="447">
        <v>1.0009999999999999</v>
      </c>
      <c r="E81" s="447">
        <v>1.01</v>
      </c>
      <c r="F81" s="448">
        <v>0</v>
      </c>
      <c r="G81" s="449">
        <v>10</v>
      </c>
      <c r="H81" s="450">
        <v>5</v>
      </c>
      <c r="I81" s="451">
        <v>6.5</v>
      </c>
      <c r="J81" s="451">
        <v>3</v>
      </c>
      <c r="K81" s="451">
        <v>7</v>
      </c>
      <c r="L81"/>
    </row>
    <row r="82" spans="1:12" ht="14.4" x14ac:dyDescent="0.25">
      <c r="A82" s="1" t="s">
        <v>674</v>
      </c>
      <c r="B82" s="447">
        <v>1.04</v>
      </c>
      <c r="C82" s="447">
        <v>1.06</v>
      </c>
      <c r="D82" s="447">
        <v>1</v>
      </c>
      <c r="E82" s="447">
        <v>1.006</v>
      </c>
      <c r="F82" s="448">
        <v>0</v>
      </c>
      <c r="G82" s="449">
        <v>10</v>
      </c>
      <c r="H82" s="450">
        <v>5</v>
      </c>
      <c r="I82" s="451">
        <v>8</v>
      </c>
      <c r="J82" s="451">
        <v>3</v>
      </c>
      <c r="K82" s="451">
        <v>7</v>
      </c>
      <c r="L82"/>
    </row>
    <row r="83" spans="1:12" ht="14.4" x14ac:dyDescent="0.25">
      <c r="A83" s="1" t="s">
        <v>675</v>
      </c>
      <c r="B83" s="447">
        <v>1.04</v>
      </c>
      <c r="C83" s="447">
        <v>1.06</v>
      </c>
      <c r="D83" s="447">
        <v>1</v>
      </c>
      <c r="E83" s="447">
        <v>1.01</v>
      </c>
      <c r="F83" s="448">
        <v>0</v>
      </c>
      <c r="G83" s="449">
        <v>10</v>
      </c>
      <c r="H83" s="450">
        <v>5</v>
      </c>
      <c r="I83" s="451">
        <v>7</v>
      </c>
      <c r="J83" s="451">
        <v>3</v>
      </c>
      <c r="K83" s="451">
        <v>7</v>
      </c>
      <c r="L83"/>
    </row>
    <row r="84" spans="1:12" ht="14.4" x14ac:dyDescent="0.25">
      <c r="A84" s="1" t="s">
        <v>676</v>
      </c>
      <c r="B84" s="447">
        <v>1.044</v>
      </c>
      <c r="C84" s="447">
        <v>1.052</v>
      </c>
      <c r="D84" s="447">
        <v>1.008</v>
      </c>
      <c r="E84" s="447">
        <v>1.012</v>
      </c>
      <c r="F84" s="448">
        <v>8</v>
      </c>
      <c r="G84" s="449">
        <v>20</v>
      </c>
      <c r="H84" s="450">
        <v>4.5</v>
      </c>
      <c r="I84" s="451">
        <v>5.5</v>
      </c>
      <c r="J84" s="451">
        <v>2</v>
      </c>
      <c r="K84" s="451">
        <v>4</v>
      </c>
      <c r="L84"/>
    </row>
    <row r="85" spans="1:12" ht="14.4" x14ac:dyDescent="0.25">
      <c r="A85" s="1" t="s">
        <v>677</v>
      </c>
      <c r="B85" s="447">
        <v>1.048</v>
      </c>
      <c r="C85" s="447">
        <v>1.054</v>
      </c>
      <c r="D85" s="447">
        <v>1.01</v>
      </c>
      <c r="E85" s="447">
        <v>1.014</v>
      </c>
      <c r="F85" s="448">
        <v>20</v>
      </c>
      <c r="G85" s="449">
        <v>30</v>
      </c>
      <c r="H85" s="450">
        <v>4.8</v>
      </c>
      <c r="I85" s="451">
        <v>5.5</v>
      </c>
      <c r="J85" s="451">
        <v>8</v>
      </c>
      <c r="K85" s="451">
        <v>14</v>
      </c>
      <c r="L85"/>
    </row>
    <row r="86" spans="1:12" ht="14.4" x14ac:dyDescent="0.25">
      <c r="A86" s="1" t="s">
        <v>678</v>
      </c>
      <c r="B86" s="447">
        <v>1.06</v>
      </c>
      <c r="C86" s="447">
        <v>1.08</v>
      </c>
      <c r="D86" s="447">
        <v>1.008</v>
      </c>
      <c r="E86" s="447">
        <v>1.016</v>
      </c>
      <c r="F86" s="448">
        <v>18</v>
      </c>
      <c r="G86" s="449">
        <v>28</v>
      </c>
      <c r="H86" s="450">
        <v>6</v>
      </c>
      <c r="I86" s="451">
        <v>8.5</v>
      </c>
      <c r="J86" s="451">
        <v>6</v>
      </c>
      <c r="K86" s="451">
        <v>19</v>
      </c>
      <c r="L86"/>
    </row>
    <row r="87" spans="1:12" ht="14.4" x14ac:dyDescent="0.25">
      <c r="A87" s="1" t="s">
        <v>679</v>
      </c>
      <c r="B87" s="447">
        <v>1.0620000000000001</v>
      </c>
      <c r="C87" s="447">
        <v>1.075</v>
      </c>
      <c r="D87" s="447">
        <v>1.008</v>
      </c>
      <c r="E87" s="447">
        <v>1.018</v>
      </c>
      <c r="F87" s="448">
        <v>15</v>
      </c>
      <c r="G87" s="449">
        <v>30</v>
      </c>
      <c r="H87" s="450">
        <v>6</v>
      </c>
      <c r="I87" s="451">
        <v>7.5</v>
      </c>
      <c r="J87" s="451">
        <v>4</v>
      </c>
      <c r="K87" s="451">
        <v>7</v>
      </c>
      <c r="L87"/>
    </row>
    <row r="88" spans="1:12" ht="14.4" x14ac:dyDescent="0.25">
      <c r="A88" s="1" t="s">
        <v>680</v>
      </c>
      <c r="B88" s="447">
        <v>1.048</v>
      </c>
      <c r="C88" s="447">
        <v>1.0649999999999999</v>
      </c>
      <c r="D88" s="447">
        <v>1.002</v>
      </c>
      <c r="E88" s="447">
        <v>1.008</v>
      </c>
      <c r="F88" s="448">
        <v>20</v>
      </c>
      <c r="G88" s="449">
        <v>35</v>
      </c>
      <c r="H88" s="450">
        <v>3.5</v>
      </c>
      <c r="I88" s="451">
        <v>9.5</v>
      </c>
      <c r="J88" s="451">
        <v>5</v>
      </c>
      <c r="K88" s="451">
        <v>22</v>
      </c>
      <c r="L88"/>
    </row>
    <row r="89" spans="1:12" ht="14.4" x14ac:dyDescent="0.25">
      <c r="A89" s="1" t="s">
        <v>681</v>
      </c>
      <c r="B89" s="447">
        <v>1.07</v>
      </c>
      <c r="C89" s="447">
        <v>1.095</v>
      </c>
      <c r="D89" s="447">
        <v>1.0049999999999999</v>
      </c>
      <c r="E89" s="447">
        <v>1.016</v>
      </c>
      <c r="F89" s="448">
        <v>22</v>
      </c>
      <c r="G89" s="449">
        <v>35</v>
      </c>
      <c r="H89" s="450">
        <v>7.5</v>
      </c>
      <c r="I89" s="451">
        <v>10.5</v>
      </c>
      <c r="J89" s="451">
        <v>3</v>
      </c>
      <c r="K89" s="451">
        <v>6</v>
      </c>
      <c r="L89"/>
    </row>
    <row r="90" spans="1:12" ht="14.4" x14ac:dyDescent="0.25">
      <c r="A90" s="1" t="s">
        <v>682</v>
      </c>
      <c r="B90" s="447">
        <v>1.044</v>
      </c>
      <c r="C90" s="447">
        <v>1.054</v>
      </c>
      <c r="D90" s="447">
        <v>1.004</v>
      </c>
      <c r="E90" s="447">
        <v>1.01</v>
      </c>
      <c r="F90" s="448">
        <v>25</v>
      </c>
      <c r="G90" s="449">
        <v>45</v>
      </c>
      <c r="H90" s="450">
        <v>4.8</v>
      </c>
      <c r="I90" s="451">
        <v>6</v>
      </c>
      <c r="J90" s="451">
        <v>3</v>
      </c>
      <c r="K90" s="451">
        <v>5</v>
      </c>
      <c r="L90"/>
    </row>
    <row r="91" spans="1:12" ht="14.4" x14ac:dyDescent="0.25">
      <c r="A91" s="1" t="s">
        <v>683</v>
      </c>
      <c r="B91" s="447">
        <v>1.0620000000000001</v>
      </c>
      <c r="C91" s="447">
        <v>1.075</v>
      </c>
      <c r="D91" s="447">
        <v>1.008</v>
      </c>
      <c r="E91" s="447">
        <v>1.018</v>
      </c>
      <c r="F91" s="448">
        <v>15</v>
      </c>
      <c r="G91" s="449">
        <v>25</v>
      </c>
      <c r="H91" s="450">
        <v>6</v>
      </c>
      <c r="I91" s="451">
        <v>7.6</v>
      </c>
      <c r="J91" s="451">
        <v>10</v>
      </c>
      <c r="K91" s="451">
        <v>17</v>
      </c>
      <c r="L91"/>
    </row>
    <row r="92" spans="1:12" ht="14.4" x14ac:dyDescent="0.25">
      <c r="A92" s="1" t="s">
        <v>684</v>
      </c>
      <c r="B92" s="447">
        <v>1.075</v>
      </c>
      <c r="C92" s="447">
        <v>1.085</v>
      </c>
      <c r="D92" s="447">
        <v>1.008</v>
      </c>
      <c r="E92" s="447">
        <v>1.014</v>
      </c>
      <c r="F92" s="448">
        <v>20</v>
      </c>
      <c r="G92" s="449">
        <v>40</v>
      </c>
      <c r="H92" s="450">
        <v>7.5</v>
      </c>
      <c r="I92" s="451">
        <v>9.5</v>
      </c>
      <c r="J92" s="451">
        <v>4.5</v>
      </c>
      <c r="K92" s="451">
        <v>7</v>
      </c>
      <c r="L92"/>
    </row>
    <row r="93" spans="1:12" ht="14.4" x14ac:dyDescent="0.25">
      <c r="A93" s="1" t="s">
        <v>685</v>
      </c>
      <c r="B93" s="447">
        <v>1.075</v>
      </c>
      <c r="C93" s="447">
        <v>1.1100000000000001</v>
      </c>
      <c r="D93" s="447">
        <v>1.01</v>
      </c>
      <c r="E93" s="447">
        <v>1.024</v>
      </c>
      <c r="F93" s="448">
        <v>20</v>
      </c>
      <c r="G93" s="449">
        <v>35</v>
      </c>
      <c r="H93" s="450">
        <v>8</v>
      </c>
      <c r="I93" s="451">
        <v>12</v>
      </c>
      <c r="J93" s="451">
        <v>12</v>
      </c>
      <c r="K93" s="451">
        <v>22</v>
      </c>
      <c r="L93"/>
    </row>
    <row r="94" spans="1:12" ht="14.4" x14ac:dyDescent="0.25">
      <c r="A94" s="1" t="s">
        <v>2158</v>
      </c>
      <c r="B94" s="447">
        <v>1.036</v>
      </c>
      <c r="C94" s="447">
        <v>1.056</v>
      </c>
      <c r="D94" s="447">
        <v>1.006</v>
      </c>
      <c r="E94" s="447">
        <v>1.01</v>
      </c>
      <c r="F94" s="448">
        <v>5</v>
      </c>
      <c r="G94" s="449">
        <v>12</v>
      </c>
      <c r="H94" s="450">
        <v>4.2</v>
      </c>
      <c r="I94" s="451">
        <v>4.8</v>
      </c>
      <c r="J94" s="451">
        <v>3</v>
      </c>
      <c r="K94" s="451">
        <v>4</v>
      </c>
      <c r="L94"/>
    </row>
    <row r="95" spans="1:12" ht="14.4" x14ac:dyDescent="0.25">
      <c r="A95" s="1" t="s">
        <v>2159</v>
      </c>
      <c r="B95" s="447">
        <v>1.044</v>
      </c>
      <c r="C95" s="447">
        <v>1.0549999999999999</v>
      </c>
      <c r="D95" s="447">
        <v>1.01</v>
      </c>
      <c r="E95" s="447">
        <v>1.018</v>
      </c>
      <c r="F95" s="448">
        <v>15</v>
      </c>
      <c r="G95" s="449">
        <v>30</v>
      </c>
      <c r="H95" s="450">
        <v>4</v>
      </c>
      <c r="I95" s="451">
        <v>5.5</v>
      </c>
      <c r="J95" s="451">
        <v>11</v>
      </c>
      <c r="K95" s="451">
        <v>20</v>
      </c>
      <c r="L95"/>
    </row>
    <row r="96" spans="1:12" ht="14.4" x14ac:dyDescent="0.25">
      <c r="A96" s="1" t="s">
        <v>2160</v>
      </c>
      <c r="B96" s="447">
        <v>1.032</v>
      </c>
      <c r="C96" s="447">
        <v>1.04</v>
      </c>
      <c r="D96" s="447">
        <v>1.004</v>
      </c>
      <c r="E96" s="447">
        <v>1.008</v>
      </c>
      <c r="F96" s="448">
        <v>5</v>
      </c>
      <c r="G96" s="449">
        <v>12</v>
      </c>
      <c r="H96" s="450">
        <v>3.5</v>
      </c>
      <c r="I96" s="451">
        <v>4.7</v>
      </c>
      <c r="J96" s="451">
        <v>3</v>
      </c>
      <c r="K96" s="451">
        <v>6</v>
      </c>
      <c r="L96"/>
    </row>
    <row r="97" spans="1:12" ht="14.4" x14ac:dyDescent="0.25">
      <c r="A97" s="1" t="s">
        <v>2161</v>
      </c>
      <c r="B97" s="447">
        <v>1.0329999999999999</v>
      </c>
      <c r="C97" s="447">
        <v>1.038</v>
      </c>
      <c r="D97" s="447">
        <v>1.012</v>
      </c>
      <c r="E97" s="447">
        <v>1.0149999999999999</v>
      </c>
      <c r="F97" s="448">
        <v>15</v>
      </c>
      <c r="G97" s="449">
        <v>20</v>
      </c>
      <c r="H97" s="450">
        <v>2.8</v>
      </c>
      <c r="I97" s="451">
        <v>3.6</v>
      </c>
      <c r="J97" s="451">
        <v>22</v>
      </c>
      <c r="K97" s="451">
        <v>35</v>
      </c>
      <c r="L97"/>
    </row>
    <row r="98" spans="1:12" ht="14.4" x14ac:dyDescent="0.25">
      <c r="A98" s="1" t="s">
        <v>2162</v>
      </c>
      <c r="B98" s="447">
        <v>1.028</v>
      </c>
      <c r="C98" s="447">
        <v>1.032</v>
      </c>
      <c r="D98" s="447">
        <v>1.006</v>
      </c>
      <c r="E98" s="447">
        <v>1.012</v>
      </c>
      <c r="F98" s="448">
        <v>20</v>
      </c>
      <c r="G98" s="449">
        <v>35</v>
      </c>
      <c r="H98" s="450">
        <v>2.5</v>
      </c>
      <c r="I98" s="451">
        <v>3.3</v>
      </c>
      <c r="J98" s="451">
        <v>3</v>
      </c>
      <c r="K98" s="451">
        <v>6</v>
      </c>
      <c r="L98"/>
    </row>
    <row r="99" spans="1:12" ht="14.4" x14ac:dyDescent="0.25">
      <c r="A99" s="1" t="s">
        <v>2163</v>
      </c>
      <c r="B99" s="447">
        <v>1.044</v>
      </c>
      <c r="C99" s="447">
        <v>1.06</v>
      </c>
      <c r="D99" s="447">
        <v>1.01</v>
      </c>
      <c r="E99" s="447">
        <v>1.0149999999999999</v>
      </c>
      <c r="F99" s="448">
        <v>25</v>
      </c>
      <c r="G99" s="449">
        <v>40</v>
      </c>
      <c r="H99" s="450">
        <v>4.5</v>
      </c>
      <c r="I99" s="451">
        <v>6</v>
      </c>
      <c r="J99" s="451">
        <v>3</v>
      </c>
      <c r="K99" s="451">
        <v>6</v>
      </c>
      <c r="L99"/>
    </row>
    <row r="100" spans="1:12" ht="14.4" x14ac:dyDescent="0.25">
      <c r="A100" s="1" t="s">
        <v>2166</v>
      </c>
      <c r="B100" s="447">
        <v>1.046</v>
      </c>
      <c r="C100" s="447">
        <v>1.06</v>
      </c>
      <c r="D100" s="447">
        <v>1.01</v>
      </c>
      <c r="E100" s="447">
        <v>1.016</v>
      </c>
      <c r="F100" s="448">
        <v>20</v>
      </c>
      <c r="G100" s="449">
        <v>30</v>
      </c>
      <c r="H100" s="450">
        <v>4.5</v>
      </c>
      <c r="I100" s="451">
        <v>6</v>
      </c>
      <c r="J100" s="451">
        <v>18</v>
      </c>
      <c r="K100" s="451">
        <v>30</v>
      </c>
      <c r="L100"/>
    </row>
    <row r="101" spans="1:12" ht="14.4" x14ac:dyDescent="0.25">
      <c r="A101" s="1" t="s">
        <v>2164</v>
      </c>
      <c r="B101" s="447">
        <v>1.046</v>
      </c>
      <c r="C101" s="447">
        <v>1.056</v>
      </c>
      <c r="D101" s="447">
        <v>1.01</v>
      </c>
      <c r="E101" s="447">
        <v>1.014</v>
      </c>
      <c r="F101" s="448">
        <v>10</v>
      </c>
      <c r="G101" s="449">
        <v>20</v>
      </c>
      <c r="H101" s="450">
        <v>4.5</v>
      </c>
      <c r="I101" s="451">
        <v>6</v>
      </c>
      <c r="J101" s="451">
        <v>14</v>
      </c>
      <c r="K101" s="451">
        <v>19</v>
      </c>
      <c r="L101"/>
    </row>
    <row r="102" spans="1:12" ht="14.4" x14ac:dyDescent="0.25">
      <c r="A102" s="1" t="s">
        <v>2165</v>
      </c>
      <c r="B102" s="447">
        <v>1.0760000000000001</v>
      </c>
      <c r="C102" s="447">
        <v>1.1200000000000001</v>
      </c>
      <c r="D102" s="447">
        <v>1.016</v>
      </c>
      <c r="E102" s="447">
        <v>1.02</v>
      </c>
      <c r="F102" s="448">
        <v>7</v>
      </c>
      <c r="G102" s="449">
        <v>15</v>
      </c>
      <c r="H102" s="450">
        <v>7</v>
      </c>
      <c r="I102" s="451">
        <v>11</v>
      </c>
      <c r="J102" s="451">
        <v>4</v>
      </c>
      <c r="K102" s="451">
        <v>22</v>
      </c>
      <c r="L102"/>
    </row>
    <row r="103" spans="1:12" x14ac:dyDescent="0.25">
      <c r="A103" s="452" t="s">
        <v>686</v>
      </c>
      <c r="B103" s="453" t="s">
        <v>125</v>
      </c>
      <c r="C103" s="453" t="s">
        <v>125</v>
      </c>
      <c r="D103" s="453" t="s">
        <v>125</v>
      </c>
      <c r="E103" s="453" t="s">
        <v>125</v>
      </c>
      <c r="F103" s="453" t="s">
        <v>125</v>
      </c>
      <c r="G103" s="453" t="s">
        <v>125</v>
      </c>
      <c r="H103" s="453" t="s">
        <v>125</v>
      </c>
      <c r="I103" s="453" t="s">
        <v>125</v>
      </c>
      <c r="J103" s="453" t="s">
        <v>125</v>
      </c>
      <c r="K103" s="453" t="s">
        <v>125</v>
      </c>
      <c r="L103"/>
    </row>
    <row r="104" spans="1:12" x14ac:dyDescent="0.25">
      <c r="A104" s="452" t="s">
        <v>687</v>
      </c>
      <c r="B104" s="453" t="s">
        <v>125</v>
      </c>
      <c r="C104" s="453" t="s">
        <v>125</v>
      </c>
      <c r="D104" s="453" t="s">
        <v>125</v>
      </c>
      <c r="E104" s="453" t="s">
        <v>125</v>
      </c>
      <c r="F104" s="453" t="s">
        <v>125</v>
      </c>
      <c r="G104" s="453" t="s">
        <v>125</v>
      </c>
      <c r="H104" s="453" t="s">
        <v>125</v>
      </c>
      <c r="I104" s="453" t="s">
        <v>125</v>
      </c>
      <c r="J104" s="453" t="s">
        <v>125</v>
      </c>
      <c r="K104" s="453" t="s">
        <v>125</v>
      </c>
    </row>
    <row r="105" spans="1:12" x14ac:dyDescent="0.25">
      <c r="A105" s="452" t="s">
        <v>688</v>
      </c>
      <c r="B105" s="453" t="s">
        <v>125</v>
      </c>
      <c r="C105" s="453" t="s">
        <v>125</v>
      </c>
      <c r="D105" s="453" t="s">
        <v>125</v>
      </c>
      <c r="E105" s="453" t="s">
        <v>125</v>
      </c>
      <c r="F105" s="453" t="s">
        <v>125</v>
      </c>
      <c r="G105" s="453" t="s">
        <v>125</v>
      </c>
      <c r="H105" s="453" t="s">
        <v>125</v>
      </c>
      <c r="I105" s="453" t="s">
        <v>125</v>
      </c>
      <c r="J105" s="453" t="s">
        <v>125</v>
      </c>
      <c r="K105" s="453" t="s">
        <v>125</v>
      </c>
    </row>
    <row r="106" spans="1:12" x14ac:dyDescent="0.25">
      <c r="A106" s="452" t="s">
        <v>689</v>
      </c>
      <c r="B106" s="453" t="s">
        <v>125</v>
      </c>
      <c r="C106" s="453" t="s">
        <v>125</v>
      </c>
      <c r="D106" s="453" t="s">
        <v>125</v>
      </c>
      <c r="E106" s="453" t="s">
        <v>125</v>
      </c>
      <c r="F106" s="453" t="s">
        <v>125</v>
      </c>
      <c r="G106" s="453" t="s">
        <v>125</v>
      </c>
      <c r="H106" s="453" t="s">
        <v>125</v>
      </c>
      <c r="I106" s="453" t="s">
        <v>125</v>
      </c>
      <c r="J106" s="453" t="s">
        <v>125</v>
      </c>
      <c r="K106" s="453" t="s">
        <v>125</v>
      </c>
    </row>
    <row r="107" spans="1:12" x14ac:dyDescent="0.25">
      <c r="A107" s="452" t="s">
        <v>690</v>
      </c>
      <c r="B107" s="453" t="s">
        <v>125</v>
      </c>
      <c r="C107" s="453" t="s">
        <v>125</v>
      </c>
      <c r="D107" s="453" t="s">
        <v>125</v>
      </c>
      <c r="E107" s="453" t="s">
        <v>125</v>
      </c>
      <c r="F107" s="453" t="s">
        <v>125</v>
      </c>
      <c r="G107" s="453" t="s">
        <v>125</v>
      </c>
      <c r="H107" s="453" t="s">
        <v>125</v>
      </c>
      <c r="I107" s="453" t="s">
        <v>125</v>
      </c>
      <c r="J107" s="453" t="s">
        <v>125</v>
      </c>
      <c r="K107" s="453" t="s">
        <v>125</v>
      </c>
    </row>
    <row r="108" spans="1:12" x14ac:dyDescent="0.25">
      <c r="A108" s="452" t="s">
        <v>691</v>
      </c>
      <c r="B108" s="453" t="s">
        <v>125</v>
      </c>
      <c r="C108" s="453" t="s">
        <v>125</v>
      </c>
      <c r="D108" s="453" t="s">
        <v>125</v>
      </c>
      <c r="E108" s="453" t="s">
        <v>125</v>
      </c>
      <c r="F108" s="453" t="s">
        <v>125</v>
      </c>
      <c r="G108" s="453" t="s">
        <v>125</v>
      </c>
      <c r="H108" s="453" t="s">
        <v>125</v>
      </c>
      <c r="I108" s="453" t="s">
        <v>125</v>
      </c>
      <c r="J108" s="453" t="s">
        <v>125</v>
      </c>
      <c r="K108" s="453" t="s">
        <v>125</v>
      </c>
    </row>
    <row r="109" spans="1:12" x14ac:dyDescent="0.25">
      <c r="A109" s="452" t="s">
        <v>692</v>
      </c>
      <c r="B109" s="453" t="s">
        <v>125</v>
      </c>
      <c r="C109" s="453" t="s">
        <v>125</v>
      </c>
      <c r="D109" s="453" t="s">
        <v>125</v>
      </c>
      <c r="E109" s="453" t="s">
        <v>125</v>
      </c>
      <c r="F109" s="453" t="s">
        <v>125</v>
      </c>
      <c r="G109" s="453" t="s">
        <v>125</v>
      </c>
      <c r="H109" s="453" t="s">
        <v>125</v>
      </c>
      <c r="I109" s="453" t="s">
        <v>125</v>
      </c>
      <c r="J109" s="453" t="s">
        <v>125</v>
      </c>
      <c r="K109" s="453" t="s">
        <v>125</v>
      </c>
    </row>
    <row r="110" spans="1:12" x14ac:dyDescent="0.25">
      <c r="A110" s="452" t="s">
        <v>693</v>
      </c>
      <c r="B110" s="453" t="s">
        <v>125</v>
      </c>
      <c r="C110" s="453" t="s">
        <v>125</v>
      </c>
      <c r="D110" s="453" t="s">
        <v>125</v>
      </c>
      <c r="E110" s="453" t="s">
        <v>125</v>
      </c>
      <c r="F110" s="453" t="s">
        <v>125</v>
      </c>
      <c r="G110" s="453" t="s">
        <v>125</v>
      </c>
      <c r="H110" s="453" t="s">
        <v>125</v>
      </c>
      <c r="I110" s="453" t="s">
        <v>125</v>
      </c>
      <c r="J110" s="453" t="s">
        <v>125</v>
      </c>
      <c r="K110" s="453" t="s">
        <v>125</v>
      </c>
    </row>
    <row r="111" spans="1:12" x14ac:dyDescent="0.25">
      <c r="A111" s="452" t="s">
        <v>694</v>
      </c>
      <c r="B111" s="453" t="s">
        <v>125</v>
      </c>
      <c r="C111" s="453" t="s">
        <v>125</v>
      </c>
      <c r="D111" s="453" t="s">
        <v>125</v>
      </c>
      <c r="E111" s="453" t="s">
        <v>125</v>
      </c>
      <c r="F111" s="453" t="s">
        <v>125</v>
      </c>
      <c r="G111" s="453" t="s">
        <v>125</v>
      </c>
      <c r="H111" s="453" t="s">
        <v>125</v>
      </c>
      <c r="I111" s="453" t="s">
        <v>125</v>
      </c>
      <c r="J111" s="453" t="s">
        <v>125</v>
      </c>
      <c r="K111" s="453" t="s">
        <v>125</v>
      </c>
    </row>
    <row r="112" spans="1:12" x14ac:dyDescent="0.25">
      <c r="A112" s="452" t="s">
        <v>695</v>
      </c>
      <c r="B112" s="453" t="s">
        <v>125</v>
      </c>
      <c r="C112" s="453" t="s">
        <v>125</v>
      </c>
      <c r="D112" s="453" t="s">
        <v>125</v>
      </c>
      <c r="E112" s="453" t="s">
        <v>125</v>
      </c>
      <c r="F112" s="453" t="s">
        <v>125</v>
      </c>
      <c r="G112" s="453" t="s">
        <v>125</v>
      </c>
      <c r="H112" s="453" t="s">
        <v>125</v>
      </c>
      <c r="I112" s="453" t="s">
        <v>125</v>
      </c>
      <c r="J112" s="453" t="s">
        <v>125</v>
      </c>
      <c r="K112" s="453" t="s">
        <v>125</v>
      </c>
    </row>
    <row r="113" spans="1:11" x14ac:dyDescent="0.25">
      <c r="A113" s="452" t="s">
        <v>696</v>
      </c>
      <c r="B113" s="453" t="s">
        <v>125</v>
      </c>
      <c r="C113" s="453" t="s">
        <v>125</v>
      </c>
      <c r="D113" s="453" t="s">
        <v>125</v>
      </c>
      <c r="E113" s="453" t="s">
        <v>125</v>
      </c>
      <c r="F113" s="453" t="s">
        <v>125</v>
      </c>
      <c r="G113" s="453" t="s">
        <v>125</v>
      </c>
      <c r="H113" s="453" t="s">
        <v>125</v>
      </c>
      <c r="I113" s="453" t="s">
        <v>125</v>
      </c>
      <c r="J113" s="453" t="s">
        <v>125</v>
      </c>
      <c r="K113" s="453" t="s">
        <v>125</v>
      </c>
    </row>
    <row r="114" spans="1:11" x14ac:dyDescent="0.25">
      <c r="A114" s="452" t="s">
        <v>697</v>
      </c>
      <c r="B114" s="453" t="s">
        <v>125</v>
      </c>
      <c r="C114" s="453" t="s">
        <v>125</v>
      </c>
      <c r="D114" s="453" t="s">
        <v>125</v>
      </c>
      <c r="E114" s="453" t="s">
        <v>125</v>
      </c>
      <c r="F114" s="453" t="s">
        <v>125</v>
      </c>
      <c r="G114" s="453" t="s">
        <v>125</v>
      </c>
      <c r="H114" s="453" t="s">
        <v>125</v>
      </c>
      <c r="I114" s="453" t="s">
        <v>125</v>
      </c>
      <c r="J114" s="453" t="s">
        <v>125</v>
      </c>
      <c r="K114" s="453" t="s">
        <v>125</v>
      </c>
    </row>
    <row r="115" spans="1:11" x14ac:dyDescent="0.25">
      <c r="A115" s="452" t="s">
        <v>698</v>
      </c>
      <c r="B115" s="453" t="s">
        <v>125</v>
      </c>
      <c r="C115" s="453" t="s">
        <v>125</v>
      </c>
      <c r="D115" s="453" t="s">
        <v>125</v>
      </c>
      <c r="E115" s="453" t="s">
        <v>125</v>
      </c>
      <c r="F115" s="453" t="s">
        <v>125</v>
      </c>
      <c r="G115" s="453" t="s">
        <v>125</v>
      </c>
      <c r="H115" s="453" t="s">
        <v>125</v>
      </c>
      <c r="I115" s="453" t="s">
        <v>125</v>
      </c>
      <c r="J115" s="453" t="s">
        <v>125</v>
      </c>
      <c r="K115" s="453" t="s">
        <v>125</v>
      </c>
    </row>
    <row r="116" spans="1:11" x14ac:dyDescent="0.25">
      <c r="A116" s="452" t="s">
        <v>699</v>
      </c>
      <c r="B116" s="453" t="s">
        <v>125</v>
      </c>
      <c r="C116" s="453" t="s">
        <v>125</v>
      </c>
      <c r="D116" s="453" t="s">
        <v>125</v>
      </c>
      <c r="E116" s="453" t="s">
        <v>125</v>
      </c>
      <c r="F116" s="453" t="s">
        <v>125</v>
      </c>
      <c r="G116" s="453" t="s">
        <v>125</v>
      </c>
      <c r="H116" s="453" t="s">
        <v>125</v>
      </c>
      <c r="I116" s="453" t="s">
        <v>125</v>
      </c>
      <c r="J116" s="453" t="s">
        <v>125</v>
      </c>
      <c r="K116" s="453" t="s">
        <v>125</v>
      </c>
    </row>
    <row r="117" spans="1:11" x14ac:dyDescent="0.25">
      <c r="A117" s="452" t="s">
        <v>700</v>
      </c>
      <c r="B117" s="453" t="s">
        <v>125</v>
      </c>
      <c r="C117" s="453" t="s">
        <v>125</v>
      </c>
      <c r="D117" s="453" t="s">
        <v>125</v>
      </c>
      <c r="E117" s="453" t="s">
        <v>125</v>
      </c>
      <c r="F117" s="453" t="s">
        <v>125</v>
      </c>
      <c r="G117" s="453" t="s">
        <v>125</v>
      </c>
      <c r="H117" s="453" t="s">
        <v>125</v>
      </c>
      <c r="I117" s="453" t="s">
        <v>125</v>
      </c>
      <c r="J117" s="453" t="s">
        <v>125</v>
      </c>
      <c r="K117" s="453" t="s">
        <v>125</v>
      </c>
    </row>
    <row r="118" spans="1:11" x14ac:dyDescent="0.25">
      <c r="A118" s="452" t="s">
        <v>701</v>
      </c>
      <c r="B118" s="453" t="s">
        <v>125</v>
      </c>
      <c r="C118" s="453" t="s">
        <v>125</v>
      </c>
      <c r="D118" s="453" t="s">
        <v>125</v>
      </c>
      <c r="E118" s="453" t="s">
        <v>125</v>
      </c>
      <c r="F118" s="453" t="s">
        <v>125</v>
      </c>
      <c r="G118" s="453" t="s">
        <v>125</v>
      </c>
      <c r="H118" s="453" t="s">
        <v>125</v>
      </c>
      <c r="I118" s="453" t="s">
        <v>125</v>
      </c>
      <c r="J118" s="453" t="s">
        <v>125</v>
      </c>
      <c r="K118" s="453" t="s">
        <v>125</v>
      </c>
    </row>
    <row r="119" spans="1:11" x14ac:dyDescent="0.25">
      <c r="A119" s="452" t="s">
        <v>702</v>
      </c>
      <c r="B119" s="453" t="s">
        <v>125</v>
      </c>
      <c r="C119" s="453" t="s">
        <v>125</v>
      </c>
      <c r="D119" s="453" t="s">
        <v>125</v>
      </c>
      <c r="E119" s="453" t="s">
        <v>125</v>
      </c>
      <c r="F119" s="453" t="s">
        <v>125</v>
      </c>
      <c r="G119" s="453" t="s">
        <v>125</v>
      </c>
      <c r="H119" s="453" t="s">
        <v>125</v>
      </c>
      <c r="I119" s="453" t="s">
        <v>125</v>
      </c>
      <c r="J119" s="453" t="s">
        <v>125</v>
      </c>
      <c r="K119" s="453" t="s">
        <v>125</v>
      </c>
    </row>
    <row r="120" spans="1:11" x14ac:dyDescent="0.25">
      <c r="A120" s="452" t="s">
        <v>703</v>
      </c>
      <c r="B120" s="453" t="s">
        <v>125</v>
      </c>
      <c r="C120" s="453" t="s">
        <v>125</v>
      </c>
      <c r="D120" s="453" t="s">
        <v>125</v>
      </c>
      <c r="E120" s="453" t="s">
        <v>125</v>
      </c>
      <c r="F120" s="453" t="s">
        <v>125</v>
      </c>
      <c r="G120" s="453" t="s">
        <v>125</v>
      </c>
      <c r="H120" s="453" t="s">
        <v>125</v>
      </c>
      <c r="I120" s="453" t="s">
        <v>125</v>
      </c>
      <c r="J120" s="453" t="s">
        <v>125</v>
      </c>
      <c r="K120" s="453" t="s">
        <v>125</v>
      </c>
    </row>
    <row r="121" spans="1:11" x14ac:dyDescent="0.25">
      <c r="B121" s="445"/>
      <c r="C121" s="445"/>
      <c r="D121" s="445"/>
      <c r="E121" s="445"/>
      <c r="H121"/>
      <c r="I121"/>
      <c r="J121"/>
      <c r="K121"/>
    </row>
    <row r="122" spans="1:11" x14ac:dyDescent="0.25">
      <c r="B122" s="445"/>
      <c r="C122" s="445"/>
      <c r="D122" s="445"/>
      <c r="E122" s="445"/>
      <c r="H122"/>
      <c r="I122"/>
      <c r="J122"/>
      <c r="K122"/>
    </row>
    <row r="123" spans="1:11" x14ac:dyDescent="0.25">
      <c r="H123"/>
      <c r="I123"/>
      <c r="J123"/>
      <c r="K123"/>
    </row>
    <row r="124" spans="1:11" x14ac:dyDescent="0.25">
      <c r="H124"/>
      <c r="I124"/>
      <c r="J124"/>
      <c r="K124"/>
    </row>
    <row r="125" spans="1:11" x14ac:dyDescent="0.25">
      <c r="H125"/>
      <c r="I125"/>
      <c r="J125"/>
      <c r="K125"/>
    </row>
    <row r="126" spans="1:11" x14ac:dyDescent="0.25">
      <c r="H126"/>
      <c r="I126"/>
      <c r="J126"/>
      <c r="K126"/>
    </row>
    <row r="127" spans="1:11" x14ac:dyDescent="0.25">
      <c r="H127"/>
      <c r="I127"/>
      <c r="J127"/>
      <c r="K127"/>
    </row>
    <row r="128" spans="1:11" x14ac:dyDescent="0.25">
      <c r="H128"/>
      <c r="I128"/>
      <c r="J128"/>
      <c r="K128"/>
    </row>
    <row r="129" spans="8:11" x14ac:dyDescent="0.25">
      <c r="H129"/>
      <c r="I129"/>
      <c r="J129"/>
      <c r="K129"/>
    </row>
    <row r="130" spans="8:11" x14ac:dyDescent="0.25">
      <c r="H130"/>
      <c r="I130"/>
      <c r="J130"/>
      <c r="K130"/>
    </row>
    <row r="131" spans="8:11" x14ac:dyDescent="0.25">
      <c r="H131"/>
      <c r="I131"/>
      <c r="J131"/>
      <c r="K131"/>
    </row>
    <row r="132" spans="8:11" x14ac:dyDescent="0.25">
      <c r="H132"/>
      <c r="I132"/>
      <c r="J132"/>
      <c r="K132"/>
    </row>
    <row r="133" spans="8:11" x14ac:dyDescent="0.25">
      <c r="H133"/>
      <c r="I133"/>
      <c r="J133"/>
      <c r="K133"/>
    </row>
    <row r="134" spans="8:11" x14ac:dyDescent="0.25">
      <c r="H134"/>
      <c r="I134"/>
      <c r="J134"/>
      <c r="K134"/>
    </row>
    <row r="135" spans="8:11" x14ac:dyDescent="0.25">
      <c r="H135"/>
      <c r="I135"/>
      <c r="J135"/>
      <c r="K135"/>
    </row>
    <row r="136" spans="8:11" x14ac:dyDescent="0.25">
      <c r="H136"/>
      <c r="I136"/>
      <c r="J136"/>
      <c r="K136"/>
    </row>
    <row r="137" spans="8:11" x14ac:dyDescent="0.25">
      <c r="H137"/>
      <c r="I137"/>
      <c r="J137"/>
      <c r="K137"/>
    </row>
    <row r="138" spans="8:11" x14ac:dyDescent="0.25">
      <c r="H138"/>
      <c r="I138"/>
      <c r="J138"/>
      <c r="K138"/>
    </row>
    <row r="139" spans="8:11" x14ac:dyDescent="0.25">
      <c r="H139"/>
      <c r="I139"/>
      <c r="J139"/>
      <c r="K139"/>
    </row>
    <row r="140" spans="8:11" x14ac:dyDescent="0.25">
      <c r="H140"/>
      <c r="I140"/>
      <c r="J140"/>
      <c r="K140"/>
    </row>
    <row r="141" spans="8:11" x14ac:dyDescent="0.25">
      <c r="H141"/>
      <c r="I141"/>
      <c r="J141"/>
      <c r="K141"/>
    </row>
    <row r="142" spans="8:11" x14ac:dyDescent="0.25">
      <c r="H142"/>
      <c r="I142"/>
      <c r="J142"/>
      <c r="K142"/>
    </row>
    <row r="143" spans="8:11" x14ac:dyDescent="0.25">
      <c r="H143"/>
      <c r="I143"/>
      <c r="J143"/>
      <c r="K143"/>
    </row>
    <row r="144" spans="8:11" x14ac:dyDescent="0.25">
      <c r="H144"/>
      <c r="I144"/>
      <c r="J144"/>
      <c r="K144"/>
    </row>
    <row r="145" spans="8:11" x14ac:dyDescent="0.25">
      <c r="H145"/>
      <c r="I145"/>
      <c r="J145"/>
      <c r="K145"/>
    </row>
    <row r="146" spans="8:11" x14ac:dyDescent="0.25">
      <c r="H146"/>
      <c r="I146"/>
      <c r="J146"/>
      <c r="K146"/>
    </row>
    <row r="147" spans="8:11" x14ac:dyDescent="0.25">
      <c r="H147"/>
      <c r="I147"/>
      <c r="J147"/>
      <c r="K147"/>
    </row>
    <row r="148" spans="8:11" x14ac:dyDescent="0.25">
      <c r="H148"/>
      <c r="I148"/>
      <c r="J148"/>
      <c r="K148"/>
    </row>
    <row r="149" spans="8:11" x14ac:dyDescent="0.25">
      <c r="H149"/>
      <c r="I149"/>
      <c r="J149"/>
      <c r="K149"/>
    </row>
    <row r="150" spans="8:11" x14ac:dyDescent="0.25">
      <c r="H150"/>
      <c r="I150"/>
      <c r="J150"/>
      <c r="K150"/>
    </row>
    <row r="151" spans="8:11" x14ac:dyDescent="0.25">
      <c r="H151"/>
      <c r="I151"/>
      <c r="J151"/>
      <c r="K151"/>
    </row>
    <row r="152" spans="8:11" x14ac:dyDescent="0.25">
      <c r="H152"/>
      <c r="I152"/>
      <c r="J152"/>
      <c r="K152"/>
    </row>
    <row r="153" spans="8:11" x14ac:dyDescent="0.25">
      <c r="H153"/>
      <c r="I153"/>
      <c r="J153"/>
      <c r="K153"/>
    </row>
    <row r="154" spans="8:11" x14ac:dyDescent="0.25">
      <c r="H154"/>
      <c r="I154"/>
      <c r="J154"/>
      <c r="K154"/>
    </row>
    <row r="155" spans="8:11" x14ac:dyDescent="0.25">
      <c r="H155"/>
      <c r="I155"/>
      <c r="J155"/>
      <c r="K155"/>
    </row>
    <row r="156" spans="8:11" x14ac:dyDescent="0.25">
      <c r="H156"/>
      <c r="I156"/>
      <c r="J156"/>
      <c r="K156"/>
    </row>
    <row r="157" spans="8:11" x14ac:dyDescent="0.25">
      <c r="H157"/>
      <c r="I157"/>
      <c r="J157"/>
      <c r="K157"/>
    </row>
    <row r="158" spans="8:11" x14ac:dyDescent="0.25">
      <c r="H158"/>
      <c r="I158"/>
      <c r="J158"/>
      <c r="K158"/>
    </row>
    <row r="159" spans="8:11" x14ac:dyDescent="0.25">
      <c r="H159"/>
      <c r="I159"/>
      <c r="J159"/>
      <c r="K159"/>
    </row>
    <row r="160" spans="8:11" x14ac:dyDescent="0.25">
      <c r="H160"/>
      <c r="I160"/>
      <c r="J160"/>
      <c r="K160"/>
    </row>
    <row r="161" spans="8:11" x14ac:dyDescent="0.25">
      <c r="H161"/>
      <c r="I161"/>
      <c r="J161"/>
      <c r="K161"/>
    </row>
    <row r="162" spans="8:11" x14ac:dyDescent="0.25">
      <c r="H162"/>
      <c r="I162"/>
      <c r="J162"/>
      <c r="K162"/>
    </row>
    <row r="163" spans="8:11" x14ac:dyDescent="0.25">
      <c r="H163"/>
      <c r="I163"/>
      <c r="J163"/>
      <c r="K163"/>
    </row>
    <row r="164" spans="8:11" x14ac:dyDescent="0.25">
      <c r="H164"/>
      <c r="I164"/>
      <c r="J164"/>
      <c r="K164"/>
    </row>
    <row r="165" spans="8:11" x14ac:dyDescent="0.25">
      <c r="H165"/>
      <c r="I165"/>
      <c r="J165"/>
      <c r="K165"/>
    </row>
    <row r="166" spans="8:11" x14ac:dyDescent="0.25">
      <c r="H166"/>
      <c r="I166"/>
      <c r="J166"/>
      <c r="K166"/>
    </row>
    <row r="167" spans="8:11" x14ac:dyDescent="0.25">
      <c r="H167" s="446"/>
      <c r="I167" s="446"/>
    </row>
    <row r="168" spans="8:11" x14ac:dyDescent="0.25">
      <c r="H168" s="446"/>
      <c r="I168" s="446"/>
    </row>
    <row r="169" spans="8:11" x14ac:dyDescent="0.25">
      <c r="H169" s="446"/>
      <c r="I169" s="446"/>
    </row>
    <row r="170" spans="8:11" x14ac:dyDescent="0.25">
      <c r="H170" s="446"/>
      <c r="I170" s="446"/>
    </row>
    <row r="171" spans="8:11" x14ac:dyDescent="0.25">
      <c r="H171" s="446"/>
      <c r="I171" s="446"/>
    </row>
    <row r="172" spans="8:11" x14ac:dyDescent="0.25">
      <c r="H172" s="446"/>
      <c r="I172" s="446"/>
    </row>
    <row r="173" spans="8:11" x14ac:dyDescent="0.25">
      <c r="H173" s="446"/>
      <c r="I173" s="446"/>
    </row>
    <row r="174" spans="8:11" x14ac:dyDescent="0.25">
      <c r="H174" s="446"/>
      <c r="I174" s="446"/>
    </row>
    <row r="175" spans="8:11" x14ac:dyDescent="0.25">
      <c r="H175" s="446"/>
      <c r="I175" s="446"/>
    </row>
    <row r="176" spans="8:11" x14ac:dyDescent="0.25">
      <c r="H176" s="446"/>
      <c r="I176" s="446"/>
    </row>
    <row r="177" spans="8:9" x14ac:dyDescent="0.25">
      <c r="H177" s="446"/>
      <c r="I177" s="446"/>
    </row>
    <row r="178" spans="8:9" x14ac:dyDescent="0.25">
      <c r="H178" s="446"/>
      <c r="I178" s="446"/>
    </row>
    <row r="179" spans="8:9" x14ac:dyDescent="0.25">
      <c r="H179" s="446"/>
      <c r="I179" s="446"/>
    </row>
    <row r="180" spans="8:9" x14ac:dyDescent="0.25">
      <c r="H180" s="446"/>
      <c r="I180" s="446"/>
    </row>
    <row r="181" spans="8:9" x14ac:dyDescent="0.25">
      <c r="H181" s="446"/>
      <c r="I181" s="446"/>
    </row>
    <row r="182" spans="8:9" x14ac:dyDescent="0.25">
      <c r="H182" s="446"/>
      <c r="I182" s="446"/>
    </row>
    <row r="183" spans="8:9" x14ac:dyDescent="0.25">
      <c r="H183" s="446"/>
      <c r="I183" s="446"/>
    </row>
    <row r="184" spans="8:9" x14ac:dyDescent="0.25">
      <c r="H184" s="446"/>
      <c r="I184" s="446"/>
    </row>
    <row r="185" spans="8:9" x14ac:dyDescent="0.25">
      <c r="H185" s="446"/>
      <c r="I185" s="446"/>
    </row>
    <row r="186" spans="8:9" x14ac:dyDescent="0.25">
      <c r="H186" s="446"/>
      <c r="I186" s="446"/>
    </row>
    <row r="187" spans="8:9" x14ac:dyDescent="0.25">
      <c r="H187" s="446"/>
      <c r="I187" s="446"/>
    </row>
    <row r="188" spans="8:9" x14ac:dyDescent="0.25">
      <c r="H188" s="446"/>
      <c r="I188" s="446"/>
    </row>
    <row r="189" spans="8:9" x14ac:dyDescent="0.25">
      <c r="H189" s="446"/>
      <c r="I189" s="446"/>
    </row>
    <row r="190" spans="8:9" x14ac:dyDescent="0.25">
      <c r="H190" s="446"/>
      <c r="I190" s="446"/>
    </row>
    <row r="191" spans="8:9" x14ac:dyDescent="0.25">
      <c r="H191" s="446"/>
      <c r="I191" s="446"/>
    </row>
    <row r="192" spans="8:9" x14ac:dyDescent="0.25">
      <c r="H192" s="446"/>
      <c r="I192" s="446"/>
    </row>
    <row r="193" spans="8:9" x14ac:dyDescent="0.25">
      <c r="H193" s="446"/>
      <c r="I193" s="446"/>
    </row>
    <row r="194" spans="8:9" x14ac:dyDescent="0.25">
      <c r="H194" s="446"/>
      <c r="I194" s="446"/>
    </row>
    <row r="195" spans="8:9" x14ac:dyDescent="0.25">
      <c r="H195" s="446"/>
      <c r="I195" s="446"/>
    </row>
    <row r="196" spans="8:9" x14ac:dyDescent="0.25">
      <c r="H196" s="446"/>
      <c r="I196" s="446"/>
    </row>
    <row r="197" spans="8:9" x14ac:dyDescent="0.25">
      <c r="H197" s="446"/>
      <c r="I197" s="446"/>
    </row>
    <row r="198" spans="8:9" x14ac:dyDescent="0.25">
      <c r="H198" s="446"/>
      <c r="I198" s="446"/>
    </row>
    <row r="199" spans="8:9" x14ac:dyDescent="0.25">
      <c r="H199" s="446"/>
      <c r="I199" s="446"/>
    </row>
    <row r="200" spans="8:9" x14ac:dyDescent="0.25">
      <c r="H200" s="446"/>
      <c r="I200" s="446"/>
    </row>
    <row r="201" spans="8:9" x14ac:dyDescent="0.25">
      <c r="H201" s="446"/>
      <c r="I201" s="446"/>
    </row>
    <row r="202" spans="8:9" x14ac:dyDescent="0.25">
      <c r="H202" s="446"/>
      <c r="I202" s="446"/>
    </row>
  </sheetData>
  <sheetProtection sheet="1" objects="1" scenarios="1"/>
  <autoFilter ref="A1:K120"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B4" sqref="B4:H4"/>
    </sheetView>
  </sheetViews>
  <sheetFormatPr defaultRowHeight="13.2" x14ac:dyDescent="0.25"/>
  <cols>
    <col min="1" max="1" width="5.44140625" customWidth="1"/>
    <col min="2" max="2" width="10.109375" customWidth="1"/>
    <col min="3" max="3" width="10.5546875" customWidth="1"/>
    <col min="4" max="4" width="15.5546875" style="531" customWidth="1"/>
    <col min="5" max="5" width="4.44140625" customWidth="1"/>
    <col min="6" max="6" width="8.5546875" customWidth="1"/>
    <col min="7" max="7" width="10.5546875" customWidth="1"/>
    <col min="8" max="8" width="10.6640625" customWidth="1"/>
    <col min="9" max="9" width="13.33203125" customWidth="1"/>
    <col min="10" max="10" width="17" customWidth="1"/>
  </cols>
  <sheetData>
    <row r="1" spans="2:8" x14ac:dyDescent="0.25">
      <c r="B1" s="666" t="s">
        <v>2276</v>
      </c>
      <c r="C1" s="1386" t="s">
        <v>2244</v>
      </c>
      <c r="D1" s="1386"/>
      <c r="E1" s="1386"/>
      <c r="F1" s="1386"/>
      <c r="G1" s="1386"/>
      <c r="H1" s="1386"/>
    </row>
    <row r="3" spans="2:8" ht="24" customHeight="1" x14ac:dyDescent="0.25">
      <c r="B3" s="534" t="s">
        <v>19</v>
      </c>
      <c r="C3" s="1383" t="s">
        <v>2275</v>
      </c>
      <c r="D3" s="1383"/>
      <c r="F3" s="534" t="s">
        <v>19</v>
      </c>
      <c r="G3" s="1384" t="s">
        <v>2275</v>
      </c>
      <c r="H3" s="1385"/>
    </row>
    <row r="4" spans="2:8" ht="16.8" x14ac:dyDescent="0.25">
      <c r="B4" s="821" t="s">
        <v>2241</v>
      </c>
      <c r="C4" s="821" t="s">
        <v>2242</v>
      </c>
      <c r="D4" s="821" t="s">
        <v>2246</v>
      </c>
      <c r="E4" s="822"/>
      <c r="F4" s="821" t="s">
        <v>2243</v>
      </c>
      <c r="G4" s="821" t="s">
        <v>2242</v>
      </c>
      <c r="H4" s="821" t="s">
        <v>2247</v>
      </c>
    </row>
    <row r="5" spans="2:8" x14ac:dyDescent="0.25">
      <c r="B5" s="19">
        <v>50</v>
      </c>
      <c r="C5" s="19">
        <v>0.88</v>
      </c>
      <c r="D5" s="535">
        <v>4.8888888888890001E-5</v>
      </c>
      <c r="E5" s="530"/>
      <c r="F5" s="19">
        <v>15</v>
      </c>
      <c r="G5" s="19">
        <v>1.51</v>
      </c>
      <c r="H5" s="1">
        <v>1.5100000000000001E-4</v>
      </c>
    </row>
    <row r="6" spans="2:8" x14ac:dyDescent="0.25">
      <c r="B6" s="19">
        <v>60</v>
      </c>
      <c r="C6" s="19">
        <v>1.59</v>
      </c>
      <c r="D6" s="535">
        <v>8.8333333333329996E-5</v>
      </c>
      <c r="E6" s="530"/>
      <c r="F6" s="19">
        <v>20</v>
      </c>
      <c r="G6" s="19">
        <v>2.0699999999999998</v>
      </c>
      <c r="H6" s="1">
        <v>2.0699999999999999E-4</v>
      </c>
    </row>
    <row r="7" spans="2:8" x14ac:dyDescent="0.25">
      <c r="B7" s="19">
        <v>70</v>
      </c>
      <c r="C7" s="19">
        <v>2.1800000000000002</v>
      </c>
      <c r="D7" s="535">
        <v>1.211111111111E-4</v>
      </c>
      <c r="E7" s="530"/>
      <c r="F7" s="19">
        <v>25</v>
      </c>
      <c r="G7" s="19">
        <v>2.57</v>
      </c>
      <c r="H7" s="1">
        <v>2.5700000000000001E-4</v>
      </c>
    </row>
    <row r="8" spans="2:8" x14ac:dyDescent="0.25">
      <c r="B8" s="19">
        <v>80</v>
      </c>
      <c r="C8" s="19">
        <v>2.72</v>
      </c>
      <c r="D8" s="535">
        <v>1.511111111111E-4</v>
      </c>
      <c r="E8" s="530"/>
      <c r="F8" s="19">
        <v>30</v>
      </c>
      <c r="G8" s="19">
        <v>3.03</v>
      </c>
      <c r="H8" s="1">
        <v>3.0299999999999999E-4</v>
      </c>
    </row>
    <row r="9" spans="2:8" x14ac:dyDescent="0.25">
      <c r="B9" s="19">
        <v>90</v>
      </c>
      <c r="C9" s="19">
        <v>3.21</v>
      </c>
      <c r="D9" s="535">
        <v>1.7833333333330001E-4</v>
      </c>
      <c r="E9" s="530"/>
      <c r="F9" s="19">
        <v>35</v>
      </c>
      <c r="G9" s="19">
        <v>3.45</v>
      </c>
      <c r="H9" s="1">
        <v>3.4500000000000004E-4</v>
      </c>
    </row>
    <row r="10" spans="2:8" x14ac:dyDescent="0.25">
      <c r="B10" s="19">
        <v>100</v>
      </c>
      <c r="C10" s="19">
        <v>3.66</v>
      </c>
      <c r="D10" s="535">
        <v>2.0333333333329999E-4</v>
      </c>
      <c r="E10" s="530"/>
      <c r="F10" s="19">
        <v>40</v>
      </c>
      <c r="G10" s="19">
        <v>3.84</v>
      </c>
      <c r="H10" s="1">
        <v>3.8400000000000001E-4</v>
      </c>
    </row>
    <row r="11" spans="2:8" x14ac:dyDescent="0.25">
      <c r="B11" s="19">
        <v>110</v>
      </c>
      <c r="C11" s="19">
        <v>4.08</v>
      </c>
      <c r="D11" s="535">
        <v>2.266666666667E-4</v>
      </c>
      <c r="E11" s="530"/>
      <c r="F11" s="19">
        <v>45</v>
      </c>
      <c r="G11" s="19">
        <v>4.2</v>
      </c>
      <c r="H11" s="1">
        <v>4.2000000000000002E-4</v>
      </c>
    </row>
    <row r="12" spans="2:8" x14ac:dyDescent="0.25">
      <c r="B12" s="19">
        <v>120</v>
      </c>
      <c r="C12" s="19">
        <v>4.46</v>
      </c>
      <c r="D12" s="535">
        <v>2.4777777777779998E-4</v>
      </c>
      <c r="E12" s="530"/>
      <c r="F12" s="19">
        <v>50</v>
      </c>
      <c r="G12" s="19">
        <v>4.54</v>
      </c>
      <c r="H12" s="1">
        <v>4.5400000000000003E-4</v>
      </c>
    </row>
    <row r="13" spans="2:8" x14ac:dyDescent="0.25">
      <c r="B13" s="19">
        <v>130</v>
      </c>
      <c r="C13" s="19">
        <v>4.8099999999999996</v>
      </c>
      <c r="D13" s="535">
        <v>2.6722222222220002E-4</v>
      </c>
      <c r="E13" s="530"/>
      <c r="F13" s="19">
        <v>55</v>
      </c>
      <c r="G13" s="19">
        <v>4.8600000000000003</v>
      </c>
      <c r="H13" s="1">
        <v>4.8600000000000005E-4</v>
      </c>
    </row>
    <row r="14" spans="2:8" x14ac:dyDescent="0.25">
      <c r="B14" s="19">
        <v>140</v>
      </c>
      <c r="C14" s="19">
        <v>5.16</v>
      </c>
      <c r="D14" s="535">
        <v>2.8666666666670002E-4</v>
      </c>
      <c r="E14" s="530"/>
      <c r="F14" s="19">
        <v>60</v>
      </c>
      <c r="G14" s="19">
        <v>5.16</v>
      </c>
      <c r="H14" s="1">
        <v>5.1600000000000007E-4</v>
      </c>
    </row>
    <row r="15" spans="2:8" x14ac:dyDescent="0.25">
      <c r="B15" s="19">
        <v>150</v>
      </c>
      <c r="C15" s="19">
        <v>5.47</v>
      </c>
      <c r="D15" s="535">
        <v>3.0388888888889997E-4</v>
      </c>
      <c r="E15" s="533"/>
      <c r="F15" s="19">
        <v>65</v>
      </c>
      <c r="G15" s="19">
        <v>5.44</v>
      </c>
      <c r="H15" s="1">
        <v>5.440000000000001E-4</v>
      </c>
    </row>
    <row r="16" spans="2:8" x14ac:dyDescent="0.25">
      <c r="B16" s="19">
        <v>160</v>
      </c>
      <c r="C16" s="19">
        <v>5.71</v>
      </c>
      <c r="D16" s="535">
        <v>3.1722222222219998E-4</v>
      </c>
      <c r="E16" s="530"/>
      <c r="F16" s="19">
        <v>70</v>
      </c>
      <c r="G16" s="19">
        <v>5.71</v>
      </c>
      <c r="H16" s="1">
        <v>5.71E-4</v>
      </c>
    </row>
    <row r="17" spans="2:8" x14ac:dyDescent="0.25">
      <c r="B17" s="19">
        <v>170</v>
      </c>
      <c r="C17" s="19">
        <v>6.05</v>
      </c>
      <c r="D17" s="535">
        <v>3.3611111111110002E-4</v>
      </c>
      <c r="E17" s="530"/>
      <c r="F17" s="19">
        <v>75</v>
      </c>
      <c r="G17" s="19">
        <v>5.97</v>
      </c>
      <c r="H17" s="1">
        <v>5.9699999999999998E-4</v>
      </c>
    </row>
    <row r="18" spans="2:8" x14ac:dyDescent="0.25">
      <c r="B18" s="19">
        <v>180</v>
      </c>
      <c r="C18" s="19">
        <v>6.31</v>
      </c>
      <c r="D18" s="535">
        <v>3.5055555555560001E-4</v>
      </c>
      <c r="E18" s="530"/>
      <c r="F18" s="19">
        <v>80</v>
      </c>
      <c r="G18" s="19">
        <v>6.21</v>
      </c>
      <c r="H18" s="1">
        <v>6.2100000000000002E-4</v>
      </c>
    </row>
    <row r="19" spans="2:8" x14ac:dyDescent="0.25">
      <c r="B19" s="19">
        <v>190</v>
      </c>
      <c r="C19" s="19">
        <v>6.57</v>
      </c>
      <c r="D19" s="535">
        <v>3.6499999999999998E-4</v>
      </c>
      <c r="E19" s="530"/>
      <c r="F19" s="19">
        <v>85</v>
      </c>
      <c r="G19" s="19">
        <v>6.44</v>
      </c>
      <c r="H19" s="1">
        <v>6.4400000000000004E-4</v>
      </c>
    </row>
    <row r="20" spans="2:8" x14ac:dyDescent="0.25">
      <c r="B20" s="19">
        <v>200</v>
      </c>
      <c r="C20" s="19">
        <v>6.79</v>
      </c>
      <c r="D20" s="535">
        <v>3.7722222222219998E-4</v>
      </c>
      <c r="E20" s="530"/>
      <c r="F20" s="19">
        <v>90</v>
      </c>
      <c r="G20" s="19">
        <v>6.66</v>
      </c>
      <c r="H20" s="1">
        <v>6.6600000000000003E-4</v>
      </c>
    </row>
    <row r="21" spans="2:8" x14ac:dyDescent="0.25">
      <c r="B21" s="19">
        <v>212</v>
      </c>
      <c r="C21" s="19">
        <v>7.07</v>
      </c>
      <c r="D21" s="535">
        <v>3.9277777777779998E-4</v>
      </c>
      <c r="E21" s="530"/>
      <c r="F21" s="19">
        <v>95</v>
      </c>
      <c r="G21" s="19">
        <v>6.87</v>
      </c>
      <c r="H21" s="1">
        <v>6.87E-4</v>
      </c>
    </row>
    <row r="22" spans="2:8" x14ac:dyDescent="0.25">
      <c r="B22" s="52"/>
      <c r="C22" s="23"/>
      <c r="D22" s="532"/>
      <c r="F22" s="19">
        <v>100</v>
      </c>
      <c r="G22" s="19">
        <v>7.03</v>
      </c>
      <c r="H22" s="1">
        <v>7.0300000000000007E-4</v>
      </c>
    </row>
    <row r="23" spans="2:8" x14ac:dyDescent="0.25">
      <c r="B23" s="529"/>
      <c r="C23" s="528"/>
      <c r="E23" s="529"/>
      <c r="F23" s="529"/>
    </row>
    <row r="24" spans="2:8" x14ac:dyDescent="0.25">
      <c r="B24" s="1374" t="s">
        <v>2281</v>
      </c>
      <c r="C24" s="1374"/>
      <c r="D24" s="1374"/>
      <c r="E24" s="1374"/>
      <c r="F24" s="529"/>
    </row>
    <row r="25" spans="2:8" x14ac:dyDescent="0.25">
      <c r="B25" s="28" t="s">
        <v>2278</v>
      </c>
      <c r="C25" s="1392" t="s">
        <v>2277</v>
      </c>
      <c r="D25" s="1393"/>
      <c r="E25" s="1394"/>
      <c r="F25" s="529"/>
    </row>
    <row r="26" spans="2:8" x14ac:dyDescent="0.25">
      <c r="B26" s="28" t="s">
        <v>2279</v>
      </c>
      <c r="C26" s="1392" t="s">
        <v>2280</v>
      </c>
      <c r="D26" s="1393"/>
      <c r="E26" s="1394"/>
      <c r="F26" s="529"/>
    </row>
    <row r="27" spans="2:8" ht="13.8" thickBot="1" x14ac:dyDescent="0.3">
      <c r="E27" s="529"/>
      <c r="F27" s="529"/>
    </row>
    <row r="28" spans="2:8" ht="13.5" customHeight="1" thickTop="1" x14ac:dyDescent="0.25">
      <c r="B28" s="1387" t="s">
        <v>2282</v>
      </c>
      <c r="C28" s="1388"/>
      <c r="D28" s="667" t="s">
        <v>2284</v>
      </c>
      <c r="E28" s="1048" t="s">
        <v>2283</v>
      </c>
      <c r="F28" s="1048"/>
      <c r="G28" s="1048" t="s">
        <v>2217</v>
      </c>
      <c r="H28" s="1049"/>
    </row>
    <row r="29" spans="2:8" x14ac:dyDescent="0.25">
      <c r="B29" s="1389"/>
      <c r="C29" s="937"/>
      <c r="D29" s="580" t="s">
        <v>1868</v>
      </c>
      <c r="E29" s="1395">
        <v>2.0499999999999999E-6</v>
      </c>
      <c r="F29" s="1395"/>
      <c r="G29" s="1395">
        <v>-1.596E-5</v>
      </c>
      <c r="H29" s="1396"/>
    </row>
    <row r="30" spans="2:8" ht="13.8" thickBot="1" x14ac:dyDescent="0.3">
      <c r="B30" s="1390"/>
      <c r="C30" s="1391"/>
      <c r="D30" s="668" t="s">
        <v>2285</v>
      </c>
      <c r="E30" s="1397">
        <v>6.3300000000000004E-6</v>
      </c>
      <c r="F30" s="1397"/>
      <c r="G30" s="1397">
        <v>1.1120000000000001E-4</v>
      </c>
      <c r="H30" s="1398"/>
    </row>
    <row r="31" spans="2:8" ht="13.8" thickTop="1" x14ac:dyDescent="0.25">
      <c r="E31" s="529"/>
      <c r="F31" s="529"/>
    </row>
    <row r="32" spans="2:8" x14ac:dyDescent="0.25">
      <c r="E32" s="529"/>
      <c r="F32" s="528"/>
    </row>
    <row r="33" spans="3:6" x14ac:dyDescent="0.25">
      <c r="E33" s="529"/>
      <c r="F33" s="528"/>
    </row>
    <row r="34" spans="3:6" x14ac:dyDescent="0.25">
      <c r="E34" s="529"/>
      <c r="F34" s="528"/>
    </row>
    <row r="35" spans="3:6" x14ac:dyDescent="0.25">
      <c r="E35" s="529"/>
      <c r="F35" s="528"/>
    </row>
    <row r="36" spans="3:6" x14ac:dyDescent="0.25">
      <c r="E36" s="529"/>
      <c r="F36" s="528"/>
    </row>
    <row r="37" spans="3:6" x14ac:dyDescent="0.25">
      <c r="E37" s="529"/>
      <c r="F37" s="528"/>
    </row>
    <row r="41" spans="3:6" x14ac:dyDescent="0.25">
      <c r="C41" s="528"/>
    </row>
    <row r="42" spans="3:6" x14ac:dyDescent="0.25">
      <c r="C42" s="528"/>
    </row>
    <row r="43" spans="3:6" x14ac:dyDescent="0.25">
      <c r="C43" s="528"/>
    </row>
    <row r="44" spans="3:6" x14ac:dyDescent="0.25">
      <c r="C44" s="528"/>
    </row>
    <row r="45" spans="3:6" x14ac:dyDescent="0.25">
      <c r="C45" s="52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1359" t="s">
        <v>13</v>
      </c>
      <c r="D1" s="1359"/>
      <c r="E1" s="1359"/>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1248" t="s">
        <v>1562</v>
      </c>
      <c r="B11" s="1248"/>
      <c r="C11" s="1248"/>
      <c r="D11" s="1248"/>
      <c r="E11" s="1248"/>
      <c r="F11" s="1248"/>
      <c r="G11" s="1248"/>
      <c r="H11" s="1248"/>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0" t="s">
        <v>1556</v>
      </c>
      <c r="C17" s="35" t="s">
        <v>1557</v>
      </c>
      <c r="E17" s="4" t="s">
        <v>7</v>
      </c>
      <c r="G17" t="s">
        <v>44</v>
      </c>
    </row>
    <row r="18" spans="1:7" ht="18.600000000000001" x14ac:dyDescent="0.25">
      <c r="A18" s="8" t="s">
        <v>1558</v>
      </c>
      <c r="B18" s="8" t="s">
        <v>6</v>
      </c>
      <c r="C18" s="8" t="s">
        <v>1559</v>
      </c>
      <c r="D18" s="8" t="s">
        <v>42</v>
      </c>
      <c r="E18" s="8" t="s">
        <v>1560</v>
      </c>
      <c r="F18" s="8" t="s">
        <v>6</v>
      </c>
      <c r="G18" s="8" t="s">
        <v>1561</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Z56"/>
  <sheetViews>
    <sheetView tabSelected="1" topLeftCell="A2" zoomScale="94" zoomScaleNormal="94" workbookViewId="0">
      <selection activeCell="A41" sqref="A41:R49"/>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3" width="6" customWidth="1"/>
    <col min="14" max="14" width="1.33203125" customWidth="1"/>
    <col min="15" max="18" width="5.88671875" customWidth="1"/>
    <col min="19" max="19" width="0.88671875" customWidth="1"/>
    <col min="20" max="26" width="6.6640625" customWidth="1"/>
    <col min="27" max="27" width="6.5546875" customWidth="1"/>
    <col min="28" max="28" width="7.5546875" customWidth="1"/>
    <col min="29" max="29" width="8.6640625" customWidth="1"/>
    <col min="30" max="30" width="4.6640625" bestFit="1" customWidth="1"/>
    <col min="31" max="31" width="7.88671875" customWidth="1"/>
    <col min="32" max="32" width="4.44140625" customWidth="1"/>
    <col min="33" max="37" width="8.33203125" customWidth="1"/>
    <col min="38" max="38" width="7.6640625" customWidth="1"/>
    <col min="39" max="39" width="3.6640625" customWidth="1"/>
    <col min="40" max="40" width="5.6640625" customWidth="1"/>
    <col min="41" max="41" width="1.6640625" bestFit="1" customWidth="1"/>
    <col min="42" max="43" width="5.6640625" customWidth="1"/>
    <col min="44" max="44" width="1.6640625" bestFit="1" customWidth="1"/>
    <col min="45" max="45" width="5.6640625" customWidth="1"/>
    <col min="46" max="46" width="6.5546875" customWidth="1"/>
    <col min="47" max="47" width="4.88671875" customWidth="1"/>
    <col min="48" max="48" width="4.44140625" customWidth="1"/>
  </cols>
  <sheetData>
    <row r="1" spans="1:52" x14ac:dyDescent="0.25">
      <c r="A1" s="757" t="s">
        <v>2310</v>
      </c>
      <c r="B1" s="925" t="s">
        <v>658</v>
      </c>
      <c r="C1" s="926"/>
      <c r="D1" s="926"/>
      <c r="E1" s="926"/>
      <c r="F1" s="927"/>
      <c r="G1" s="78"/>
      <c r="I1" s="758" t="s">
        <v>109</v>
      </c>
      <c r="J1" s="950" t="s">
        <v>2361</v>
      </c>
      <c r="K1" s="951"/>
      <c r="L1" s="951"/>
      <c r="M1" s="951"/>
      <c r="N1" s="951"/>
      <c r="O1" s="952"/>
      <c r="Q1" s="1014" t="s">
        <v>2250</v>
      </c>
      <c r="R1" s="1015"/>
      <c r="S1" s="1015"/>
      <c r="T1" s="895" t="str">
        <f>'Brewhouse Setup &amp; Calcs'!C11</f>
        <v>Blichmann BrewEasy, 10 Gal, Electric, 75% Power, HiGrav</v>
      </c>
      <c r="U1" s="896"/>
      <c r="V1" s="896"/>
      <c r="W1" s="896"/>
      <c r="X1" s="896"/>
      <c r="Y1" s="896"/>
      <c r="Z1" s="896"/>
      <c r="AA1" s="896"/>
      <c r="AB1" s="756"/>
      <c r="AC1" s="756"/>
    </row>
    <row r="2" spans="1:52" ht="13.2" customHeight="1" x14ac:dyDescent="0.25">
      <c r="A2" s="735"/>
      <c r="F2" s="78"/>
      <c r="G2" s="78"/>
      <c r="I2" s="758" t="s">
        <v>110</v>
      </c>
      <c r="J2" s="953">
        <v>44506</v>
      </c>
      <c r="K2" s="954"/>
      <c r="L2" s="954"/>
      <c r="M2" s="954"/>
      <c r="N2" s="954"/>
      <c r="O2" s="955"/>
      <c r="Q2" s="1014" t="s">
        <v>2252</v>
      </c>
      <c r="R2" s="1015"/>
      <c r="S2" s="1015"/>
      <c r="T2" s="895" t="str">
        <f>'Brewhouse Setup &amp; Calcs'!$C$13</f>
        <v>FK 35L Snubnose, Spike Flex+</v>
      </c>
      <c r="U2" s="896"/>
      <c r="V2" s="896"/>
      <c r="W2" s="896"/>
      <c r="X2" s="896"/>
      <c r="Y2" s="896"/>
      <c r="Z2" s="896"/>
      <c r="AA2" s="896"/>
    </row>
    <row r="3" spans="1:52" ht="6.6" customHeight="1" x14ac:dyDescent="0.25">
      <c r="A3" s="78"/>
      <c r="B3" s="78"/>
      <c r="C3" s="78"/>
      <c r="D3" s="78"/>
      <c r="E3" s="78"/>
      <c r="F3" s="78"/>
      <c r="G3" s="78"/>
      <c r="H3" s="78"/>
      <c r="I3" s="78"/>
      <c r="J3" s="78"/>
      <c r="K3" s="78"/>
      <c r="L3" s="78"/>
      <c r="M3" s="78"/>
      <c r="N3" s="78"/>
      <c r="O3" s="78"/>
      <c r="P3" s="78"/>
      <c r="Q3" s="78"/>
      <c r="R3" s="78"/>
      <c r="S3" s="78"/>
      <c r="T3" s="78"/>
      <c r="U3" s="78"/>
      <c r="V3" s="78"/>
      <c r="W3" s="78"/>
      <c r="X3" s="78"/>
    </row>
    <row r="4" spans="1:52" ht="12.75" customHeight="1" x14ac:dyDescent="0.25">
      <c r="A4" s="960" t="s">
        <v>1097</v>
      </c>
      <c r="B4" s="919"/>
      <c r="C4" s="919"/>
      <c r="D4" s="919"/>
      <c r="E4" s="919"/>
      <c r="F4" s="920"/>
      <c r="G4" s="368"/>
      <c r="H4" s="961" t="s">
        <v>1679</v>
      </c>
      <c r="I4" s="961"/>
      <c r="J4" s="961"/>
      <c r="K4" s="961"/>
      <c r="L4" s="960" t="s">
        <v>2169</v>
      </c>
      <c r="M4" s="920"/>
      <c r="N4" s="720"/>
      <c r="O4" s="961" t="s">
        <v>1861</v>
      </c>
      <c r="P4" s="961"/>
      <c r="Q4" s="961"/>
      <c r="R4" s="961"/>
      <c r="S4" s="368"/>
      <c r="T4" s="892" t="s">
        <v>2327</v>
      </c>
      <c r="U4" s="893"/>
      <c r="V4" s="893"/>
      <c r="W4" s="893"/>
      <c r="X4" s="893"/>
      <c r="Y4" s="893"/>
      <c r="Z4" s="893"/>
      <c r="AA4" s="894"/>
    </row>
    <row r="5" spans="1:52" ht="13.2" customHeight="1" x14ac:dyDescent="0.25">
      <c r="A5" s="935" t="s">
        <v>66</v>
      </c>
      <c r="B5" s="936"/>
      <c r="C5" s="936"/>
      <c r="D5" s="937"/>
      <c r="E5" s="719" t="s">
        <v>124</v>
      </c>
      <c r="F5" s="985" t="s">
        <v>1107</v>
      </c>
      <c r="G5" s="368"/>
      <c r="H5" s="721"/>
      <c r="I5" s="722"/>
      <c r="J5" s="718" t="s">
        <v>1664</v>
      </c>
      <c r="K5" s="718" t="s">
        <v>119</v>
      </c>
      <c r="L5" s="718" t="s">
        <v>2168</v>
      </c>
      <c r="M5" s="718" t="s">
        <v>1120</v>
      </c>
      <c r="N5" s="386"/>
      <c r="O5" s="962" t="s">
        <v>1994</v>
      </c>
      <c r="P5" s="962"/>
      <c r="Q5" s="962"/>
      <c r="R5" s="962"/>
      <c r="S5" s="368"/>
      <c r="T5" s="995" t="s">
        <v>2296</v>
      </c>
      <c r="U5" s="996"/>
      <c r="V5" s="886">
        <f>'Brewhouse Setup &amp; Calcs'!C88</f>
        <v>43.852836736075496</v>
      </c>
      <c r="W5" s="997" t="str">
        <f>CONCATENATE('Brewhouse Setup &amp; Calcs'!$C$5," @ ",'Brewhouse Setup &amp; Calcs'!$C$20," ",'Brewhouse Setup &amp; Calcs'!$C$4)</f>
        <v>qt @ 68 °F</v>
      </c>
      <c r="X5" s="998"/>
      <c r="Y5" s="885">
        <f>'Brewhouse Setup &amp; Calcs'!C87</f>
        <v>44.92769407761952</v>
      </c>
      <c r="Z5" s="997" t="str">
        <f>CONCATENATE('Brewhouse Setup &amp; Calcs'!$C$5," @ ",'Brewhouse Setup &amp; Calcs'!$C$24," ",'Brewhouse Setup &amp; Calcs'!$C$4)</f>
        <v>qt @ 172 °F</v>
      </c>
      <c r="AA5" s="998"/>
      <c r="AD5" s="25"/>
    </row>
    <row r="6" spans="1:52" ht="13.2" customHeight="1" x14ac:dyDescent="0.25">
      <c r="A6" s="938"/>
      <c r="B6" s="939"/>
      <c r="C6" s="939"/>
      <c r="D6" s="940"/>
      <c r="E6" s="736" t="str">
        <f>'Brewhouse Setup &amp; Calcs'!$C$6</f>
        <v>lb</v>
      </c>
      <c r="F6" s="983"/>
      <c r="G6" s="368"/>
      <c r="H6" s="986" t="s">
        <v>1678</v>
      </c>
      <c r="I6" s="987"/>
      <c r="J6" s="823">
        <f>'Brewhouse Setup &amp; Calcs'!C47</f>
        <v>0.7</v>
      </c>
      <c r="K6" s="823" t="str">
        <f>IF('Brewhouse Setup &amp; Calcs'!$C$34="Hydrometer",X32,X33)</f>
        <v/>
      </c>
      <c r="L6" s="956"/>
      <c r="M6" s="957"/>
      <c r="N6" s="723"/>
      <c r="O6" s="1027" t="s">
        <v>1862</v>
      </c>
      <c r="P6" s="1028"/>
      <c r="Q6" s="988" t="s">
        <v>1859</v>
      </c>
      <c r="R6" s="988" t="s">
        <v>1860</v>
      </c>
      <c r="S6" s="368"/>
      <c r="T6" s="889" t="s">
        <v>2331</v>
      </c>
      <c r="U6" s="890"/>
      <c r="V6" s="890"/>
      <c r="W6" s="890"/>
      <c r="X6" s="890"/>
      <c r="Y6" s="890"/>
      <c r="Z6" s="890"/>
      <c r="AA6" s="891"/>
      <c r="AD6" s="25"/>
    </row>
    <row r="7" spans="1:52" ht="13.2" customHeight="1" x14ac:dyDescent="0.25">
      <c r="A7" s="923" t="str">
        <f>IF(ISBLANK('Grain &amp; Sugar Calcs'!B5),"",'Grain &amp; Sugar Calcs'!B5)</f>
        <v>Pale Malt: Brewers Malt, 2-row (Briess)</v>
      </c>
      <c r="B7" s="942"/>
      <c r="C7" s="942"/>
      <c r="D7" s="924"/>
      <c r="E7" s="724">
        <f>IF(ISBLANK('Grain &amp; Sugar Calcs'!C5),"",'Grain &amp; Sugar Calcs'!C5)</f>
        <v>16</v>
      </c>
      <c r="F7" s="725">
        <f>IF('Grain &amp; Sugar Calcs'!D5=0,"",'Grain &amp; Sugar Calcs'!D5)</f>
        <v>0.71111111111111114</v>
      </c>
      <c r="G7" s="368"/>
      <c r="H7" s="994" t="s">
        <v>1876</v>
      </c>
      <c r="I7" s="994"/>
      <c r="J7" s="823">
        <f>IF(OR(NOT(ISNUMBER($J$8)),NOT(ISNUMBER($J$10)),'Grain &amp; Sugar Calcs'!$I$17=0),"",(($J$8-1)*1000)/IF('Brewhouse Setup &amp; Calcs'!$C$2="Metric",('Grain &amp; Sugar Calcs'!$I$17/$J$10*4*1.056688),('Grain &amp; Sugar Calcs'!$I$17/$J$10*4)))</f>
        <v>0.63633630475520186</v>
      </c>
      <c r="K7" s="824" t="str">
        <f>IF(NOT(ISNUMBER($K$8)),"",(($K$8-1)*1000*$K$10)/IF('Brewhouse Setup &amp; Calcs'!$C$2="Metric",('Grain &amp; Sugar Calcs'!$I$17/$J$10*4*1.056688)*$J$10,('Grain &amp; Sugar Calcs'!$I$17/$J$10*4)*$J$10))</f>
        <v/>
      </c>
      <c r="L7" s="958"/>
      <c r="M7" s="959"/>
      <c r="N7" s="723"/>
      <c r="O7" s="981"/>
      <c r="P7" s="1029"/>
      <c r="Q7" s="989"/>
      <c r="R7" s="989"/>
      <c r="S7" s="368"/>
      <c r="T7" s="992" t="s">
        <v>2330</v>
      </c>
      <c r="U7" s="788" t="s">
        <v>2248</v>
      </c>
      <c r="V7" s="788" t="s">
        <v>2249</v>
      </c>
      <c r="W7" s="788" t="s">
        <v>2201</v>
      </c>
      <c r="X7" s="990" t="s">
        <v>2270</v>
      </c>
      <c r="Y7" s="991"/>
      <c r="Z7" s="887" t="s">
        <v>119</v>
      </c>
      <c r="AA7" s="888"/>
      <c r="AF7" s="78"/>
    </row>
    <row r="8" spans="1:52" ht="13.2" customHeight="1" x14ac:dyDescent="0.25">
      <c r="A8" s="900" t="str">
        <f>IF(ISBLANK('Grain &amp; Sugar Calcs'!B6),"",'Grain &amp; Sugar Calcs'!B6)</f>
        <v>Munich Malt: Dark Munich Malt (Avangard Malz)</v>
      </c>
      <c r="B8" s="900"/>
      <c r="C8" s="900"/>
      <c r="D8" s="900"/>
      <c r="E8" s="576">
        <f>IF(ISBLANK('Grain &amp; Sugar Calcs'!C6),"",'Grain &amp; Sugar Calcs'!C6)</f>
        <v>2.5</v>
      </c>
      <c r="F8" s="725">
        <f>IF('Grain &amp; Sugar Calcs'!D6=0,"",'Grain &amp; Sugar Calcs'!D6)</f>
        <v>0.1111111111111111</v>
      </c>
      <c r="G8" s="368"/>
      <c r="H8" s="986" t="s">
        <v>1673</v>
      </c>
      <c r="I8" s="987"/>
      <c r="J8" s="825">
        <f>ROUND('Grain &amp; Sugar Calcs'!L21,3)</f>
        <v>1.0840000000000001</v>
      </c>
      <c r="K8" s="825" t="str">
        <f>IF('Brewhouse Setup &amp; Calcs'!$C$34="Hydrometer",X41,X43)</f>
        <v/>
      </c>
      <c r="L8" s="577">
        <f>VLOOKUP('Recipe Sheet'!$B$1,'BJCP Guidelines'!$A$2:$K$120,2,FALSE)</f>
        <v>1.075</v>
      </c>
      <c r="M8" s="577">
        <f>VLOOKUP('Recipe Sheet'!$B$1,'BJCP Guidelines'!$A$2:$K$120,3,FALSE)</f>
        <v>1.115</v>
      </c>
      <c r="N8" s="723"/>
      <c r="O8" s="963" t="s">
        <v>1684</v>
      </c>
      <c r="P8" s="913"/>
      <c r="Q8" s="466">
        <v>37</v>
      </c>
      <c r="R8" s="575">
        <f>IFERROR(IF('Brewhouse Setup &amp; Calcs'!$C$2="US Customary",'Water-English'!D52,'Water-Metric'!D53),"")</f>
        <v>107.70476190476191</v>
      </c>
      <c r="S8" s="368"/>
      <c r="T8" s="993"/>
      <c r="U8" s="787" t="str">
        <f>'Brewhouse Setup &amp; Calcs'!$C$4</f>
        <v>°F</v>
      </c>
      <c r="V8" s="787" t="str">
        <f>'Brewhouse Setup &amp; Calcs'!$C$4</f>
        <v>°F</v>
      </c>
      <c r="W8" s="789" t="s">
        <v>1113</v>
      </c>
      <c r="X8" s="787" t="str">
        <f>'Brewhouse Setup &amp; Calcs'!$C$4</f>
        <v>°F</v>
      </c>
      <c r="Y8" s="787" t="str">
        <f>'Brewhouse Setup &amp; Calcs'!$C$5</f>
        <v>qt</v>
      </c>
      <c r="Z8" s="787" t="str">
        <f>'Brewhouse Setup &amp; Calcs'!$C$4</f>
        <v>°F</v>
      </c>
      <c r="AA8" s="787" t="str">
        <f>'Brewhouse Setup &amp; Calcs'!$C$5</f>
        <v>qt</v>
      </c>
      <c r="AU8" s="385"/>
      <c r="AV8" s="385"/>
    </row>
    <row r="9" spans="1:52" x14ac:dyDescent="0.25">
      <c r="A9" s="900" t="str">
        <f>IF(ISBLANK('Grain &amp; Sugar Calcs'!B7),"",'Grain &amp; Sugar Calcs'!B7)</f>
        <v>Caramel Malt: Caramel Malt 80L (Briess)</v>
      </c>
      <c r="B9" s="900"/>
      <c r="C9" s="900"/>
      <c r="D9" s="900"/>
      <c r="E9" s="576">
        <f>IF(ISBLANK('Grain &amp; Sugar Calcs'!C7),"",'Grain &amp; Sugar Calcs'!C7)</f>
        <v>1</v>
      </c>
      <c r="F9" s="725">
        <f>IF('Grain &amp; Sugar Calcs'!D7=0,"",'Grain &amp; Sugar Calcs'!D7)</f>
        <v>4.4444444444444446E-2</v>
      </c>
      <c r="G9" s="368"/>
      <c r="H9" s="986" t="s">
        <v>1674</v>
      </c>
      <c r="I9" s="987"/>
      <c r="J9" s="825">
        <f>ROUND(IF(NOT(ISNUMBER(J12)),"",1+('Grain &amp; Sugar Calcs'!L17*(1-J12)/1000)),3)</f>
        <v>1.016</v>
      </c>
      <c r="K9" s="825" t="str">
        <f>IF('Brewhouse Setup &amp; Calcs'!$C$34="Hydrometer",X45,X47)</f>
        <v/>
      </c>
      <c r="L9" s="577">
        <f>VLOOKUP('Recipe Sheet'!$B$1,'BJCP Guidelines'!$A$2:$K$120,4,FALSE)</f>
        <v>1.018</v>
      </c>
      <c r="M9" s="577">
        <f>VLOOKUP('Recipe Sheet'!$B$1,'BJCP Guidelines'!$A$2:$K$120,5,FALSE)</f>
        <v>1.03</v>
      </c>
      <c r="N9" s="723"/>
      <c r="O9" s="963" t="s">
        <v>1685</v>
      </c>
      <c r="P9" s="913"/>
      <c r="Q9" s="466">
        <v>12</v>
      </c>
      <c r="R9" s="575">
        <f>IFERROR(IF('Brewhouse Setup &amp; Calcs'!$C$2="US Customary",'Water-English'!E52,'Water-Metric'!E53),"")</f>
        <v>16.998095238095239</v>
      </c>
      <c r="S9" s="368"/>
      <c r="T9" s="781">
        <v>1</v>
      </c>
      <c r="U9" s="790">
        <f>'Brewhouse Setup &amp; Calcs'!$C$22</f>
        <v>75</v>
      </c>
      <c r="V9" s="791">
        <f>'Brewhouse Setup &amp; Calcs'!$I26</f>
        <v>156</v>
      </c>
      <c r="W9" s="792">
        <f>'Brewhouse Setup &amp; Calcs'!$J26</f>
        <v>75</v>
      </c>
      <c r="X9" s="791">
        <f>'Brewhouse Setup &amp; Calcs'!$K26</f>
        <v>174.5</v>
      </c>
      <c r="Y9" s="785">
        <f>'Brewhouse Setup &amp; Calcs'!$L26</f>
        <v>19.6875</v>
      </c>
      <c r="Z9" s="470"/>
      <c r="AA9" s="470"/>
      <c r="AT9" s="96"/>
    </row>
    <row r="10" spans="1:52" s="23" customFormat="1" ht="12.75" customHeight="1" x14ac:dyDescent="0.25">
      <c r="A10" s="900" t="str">
        <f>IF(ISBLANK('Grain &amp; Sugar Calcs'!B8),"",'Grain &amp; Sugar Calcs'!B8)</f>
        <v>Flaked Oats (Briess)</v>
      </c>
      <c r="B10" s="900"/>
      <c r="C10" s="900"/>
      <c r="D10" s="900"/>
      <c r="E10" s="576">
        <f>IF(ISBLANK('Grain &amp; Sugar Calcs'!C8),"",'Grain &amp; Sugar Calcs'!C8)</f>
        <v>1</v>
      </c>
      <c r="F10" s="725">
        <f>IF('Grain &amp; Sugar Calcs'!D8=0,"",'Grain &amp; Sugar Calcs'!D8)</f>
        <v>4.4444444444444446E-2</v>
      </c>
      <c r="G10" s="368"/>
      <c r="H10" s="986" t="s">
        <v>1676</v>
      </c>
      <c r="I10" s="987"/>
      <c r="J10" s="826">
        <f>J11+'Brewhouse Setup &amp; Calcs'!C56</f>
        <v>25</v>
      </c>
      <c r="K10" s="826" t="str">
        <f>IF(ISBLANK(X38),"",X38)</f>
        <v/>
      </c>
      <c r="L10" s="929"/>
      <c r="M10" s="930"/>
      <c r="N10" s="723"/>
      <c r="O10" s="963" t="s">
        <v>1686</v>
      </c>
      <c r="P10" s="913"/>
      <c r="Q10" s="466">
        <v>9</v>
      </c>
      <c r="R10" s="575">
        <f>IFERROR(IF('Brewhouse Setup &amp; Calcs'!$C$2="US Customary",'Water-English'!F52,'Water-Metric'!F53),"")</f>
        <v>9</v>
      </c>
      <c r="S10" s="79"/>
      <c r="T10" s="864">
        <v>2</v>
      </c>
      <c r="U10" s="793">
        <f>IF(ISBLANK('Brewhouse Setup &amp; Calcs'!$H27),"",'Brewhouse Setup &amp; Calcs'!$H27)</f>
        <v>156</v>
      </c>
      <c r="V10" s="575">
        <f>IF(ISBLANK('Brewhouse Setup &amp; Calcs'!$I27),"",'Brewhouse Setup &amp; Calcs'!$I27)</f>
        <v>172</v>
      </c>
      <c r="W10" s="794">
        <f>IF(ISBLANK('Brewhouse Setup &amp; Calcs'!$J27),"",'Brewhouse Setup &amp; Calcs'!$J27)</f>
        <v>10</v>
      </c>
      <c r="X10" s="575" t="str">
        <f>IF(ISBLANK('Brewhouse Setup &amp; Calcs'!$K27),"",'Brewhouse Setup &amp; Calcs'!$K27)</f>
        <v/>
      </c>
      <c r="Y10" s="574" t="str">
        <f>IF('Brewhouse Setup &amp; Calcs'!$L27=0,"",'Brewhouse Setup &amp; Calcs'!$L27)</f>
        <v/>
      </c>
      <c r="Z10" s="470"/>
      <c r="AA10" s="470"/>
      <c r="AC10"/>
      <c r="AD10"/>
      <c r="AE10"/>
      <c r="AG10"/>
      <c r="AH10"/>
      <c r="AI10"/>
      <c r="AJ10"/>
      <c r="AK10"/>
      <c r="AL10"/>
      <c r="AM10"/>
      <c r="AN10"/>
      <c r="AT10" s="96"/>
    </row>
    <row r="11" spans="1:52" x14ac:dyDescent="0.25">
      <c r="A11" s="900" t="str">
        <f>IF(ISBLANK('Grain &amp; Sugar Calcs'!B9),"",'Grain &amp; Sugar Calcs'!B9)</f>
        <v>Caramel Malt: Caramel Malt 120L (Briess)</v>
      </c>
      <c r="B11" s="900"/>
      <c r="C11" s="900"/>
      <c r="D11" s="900"/>
      <c r="E11" s="576">
        <f>IF(ISBLANK('Grain &amp; Sugar Calcs'!C9),"",'Grain &amp; Sugar Calcs'!C9)</f>
        <v>1</v>
      </c>
      <c r="F11" s="725">
        <f>IF('Grain &amp; Sugar Calcs'!D9=0,"",'Grain &amp; Sugar Calcs'!D9)</f>
        <v>4.4444444444444446E-2</v>
      </c>
      <c r="G11" s="368"/>
      <c r="H11" s="928" t="s">
        <v>1675</v>
      </c>
      <c r="I11" s="928"/>
      <c r="J11" s="826">
        <f>'Brewhouse Setup &amp; Calcs'!$C$18</f>
        <v>20</v>
      </c>
      <c r="K11" s="826" t="str">
        <f>IF(ISBLANK(X48),"",X48)</f>
        <v/>
      </c>
      <c r="L11" s="931"/>
      <c r="M11" s="932"/>
      <c r="N11" s="723"/>
      <c r="O11" s="963" t="s">
        <v>1858</v>
      </c>
      <c r="P11" s="913"/>
      <c r="Q11" s="466">
        <v>16</v>
      </c>
      <c r="R11" s="575">
        <f>IFERROR(IF('Brewhouse Setup &amp; Calcs'!$C$2="US Customary",'Water-English'!G52,'Water-Metric'!G53),"")</f>
        <v>119.59466666666668</v>
      </c>
      <c r="S11" s="368"/>
      <c r="T11" s="781">
        <v>3</v>
      </c>
      <c r="U11" s="793" t="str">
        <f>IF(ISBLANK('Brewhouse Setup &amp; Calcs'!$H28),"",'Brewhouse Setup &amp; Calcs'!$H28)</f>
        <v/>
      </c>
      <c r="V11" s="575" t="str">
        <f>IF(ISBLANK('Brewhouse Setup &amp; Calcs'!$I28),"",'Brewhouse Setup &amp; Calcs'!$I28)</f>
        <v/>
      </c>
      <c r="W11" s="794" t="str">
        <f>IF(ISBLANK('Brewhouse Setup &amp; Calcs'!$J28),"",'Brewhouse Setup &amp; Calcs'!$J28)</f>
        <v/>
      </c>
      <c r="X11" s="575" t="str">
        <f>IF(ISBLANK('Brewhouse Setup &amp; Calcs'!$K28),"",'Brewhouse Setup &amp; Calcs'!$K28)</f>
        <v/>
      </c>
      <c r="Y11" s="574" t="str">
        <f>IF('Brewhouse Setup &amp; Calcs'!$L28=0,"",'Brewhouse Setup &amp; Calcs'!$L28)</f>
        <v/>
      </c>
      <c r="Z11" s="470"/>
      <c r="AA11" s="470"/>
      <c r="AZ11" s="96"/>
    </row>
    <row r="12" spans="1:52" ht="12.75" customHeight="1" x14ac:dyDescent="0.25">
      <c r="A12" s="900" t="str">
        <f>IF(ISBLANK('Grain &amp; Sugar Calcs'!B10),"",'Grain &amp; Sugar Calcs'!B10)</f>
        <v>Chocolate Malt: Chocolate Malt (Briess)</v>
      </c>
      <c r="B12" s="900"/>
      <c r="C12" s="900"/>
      <c r="D12" s="900"/>
      <c r="E12" s="576">
        <f>IF(ISBLANK('Grain &amp; Sugar Calcs'!C10),"",'Grain &amp; Sugar Calcs'!C10)</f>
        <v>0.75</v>
      </c>
      <c r="F12" s="725">
        <f>IF('Grain &amp; Sugar Calcs'!D10=0,"",'Grain &amp; Sugar Calcs'!D10)</f>
        <v>3.3333333333333333E-2</v>
      </c>
      <c r="G12" s="368"/>
      <c r="H12" s="928" t="s">
        <v>1131</v>
      </c>
      <c r="I12" s="928"/>
      <c r="J12" s="824">
        <f>IF(ISBLANK(O28),"",VLOOKUP(O28,yeast_table[[Name &amp; Number]:[Temp. High F]],6,FALSE))</f>
        <v>0.81</v>
      </c>
      <c r="K12" s="824" t="str">
        <f>IF(NOT(ISNUMBER(K9)),"",(K8-K9)/(K8-1))</f>
        <v/>
      </c>
      <c r="L12" s="933"/>
      <c r="M12" s="934"/>
      <c r="N12" s="723"/>
      <c r="O12" s="963" t="s">
        <v>1688</v>
      </c>
      <c r="P12" s="913"/>
      <c r="Q12" s="466">
        <v>25</v>
      </c>
      <c r="R12" s="575">
        <f>IFERROR(IF('Brewhouse Setup &amp; Calcs'!$C$2="US Customary",'Water-English'!H52,'Water-Metric'!H53),"")</f>
        <v>75.874920634920642</v>
      </c>
      <c r="S12" s="368"/>
      <c r="T12" s="781">
        <v>4</v>
      </c>
      <c r="U12" s="793" t="str">
        <f>IF(ISBLANK('Brewhouse Setup &amp; Calcs'!$H29),"",'Brewhouse Setup &amp; Calcs'!$H29)</f>
        <v/>
      </c>
      <c r="V12" s="575" t="str">
        <f>IF(ISBLANK('Brewhouse Setup &amp; Calcs'!$I29),"",'Brewhouse Setup &amp; Calcs'!$I29)</f>
        <v/>
      </c>
      <c r="W12" s="794" t="str">
        <f>IF(ISBLANK('Brewhouse Setup &amp; Calcs'!$J29),"",'Brewhouse Setup &amp; Calcs'!$J29)</f>
        <v/>
      </c>
      <c r="X12" s="575" t="str">
        <f>IF(ISBLANK('Brewhouse Setup &amp; Calcs'!$K29),"",'Brewhouse Setup &amp; Calcs'!$K29)</f>
        <v/>
      </c>
      <c r="Y12" s="574" t="str">
        <f>IF('Brewhouse Setup &amp; Calcs'!$L29=0,"",'Brewhouse Setup &amp; Calcs'!$L29)</f>
        <v/>
      </c>
      <c r="Z12" s="470"/>
      <c r="AA12" s="470"/>
      <c r="AZ12" s="96"/>
    </row>
    <row r="13" spans="1:52" ht="13.2" customHeight="1" thickBot="1" x14ac:dyDescent="0.3">
      <c r="A13" s="900" t="str">
        <f>IF(ISBLANK('Grain &amp; Sugar Calcs'!B11),"",'Grain &amp; Sugar Calcs'!B11)</f>
        <v>Roasted Malt: Midnight Wheat Malt (Briess)</v>
      </c>
      <c r="B13" s="900"/>
      <c r="C13" s="900"/>
      <c r="D13" s="900"/>
      <c r="E13" s="576">
        <f>IF(ISBLANK('Grain &amp; Sugar Calcs'!C11),"",'Grain &amp; Sugar Calcs'!C11)</f>
        <v>0.25</v>
      </c>
      <c r="F13" s="725">
        <f>IF('Grain &amp; Sugar Calcs'!D11=0,"",'Grain &amp; Sugar Calcs'!D11)</f>
        <v>1.1111111111111112E-2</v>
      </c>
      <c r="G13" s="368"/>
      <c r="H13" s="928" t="s">
        <v>1106</v>
      </c>
      <c r="I13" s="928"/>
      <c r="J13" s="827">
        <f>ROUND('Hop Calcs'!K19,3)</f>
        <v>33.091999999999999</v>
      </c>
      <c r="K13" s="827" t="str">
        <f>IF(ISBLANK(X37),"",'Hop Calcs'!K19*W37/X37)</f>
        <v/>
      </c>
      <c r="L13" s="578">
        <f>VLOOKUP('Recipe Sheet'!$B$1,'BJCP Guidelines'!$A$2:$K$120,6,FALSE)</f>
        <v>50</v>
      </c>
      <c r="M13" s="578">
        <f>VLOOKUP('Recipe Sheet'!$B$1,'BJCP Guidelines'!$A$2:$K$120,7,FALSE)</f>
        <v>90</v>
      </c>
      <c r="N13" s="723"/>
      <c r="O13" s="963" t="s">
        <v>1863</v>
      </c>
      <c r="P13" s="913"/>
      <c r="Q13" s="466">
        <v>102</v>
      </c>
      <c r="R13" s="387"/>
      <c r="S13" s="368"/>
      <c r="T13" s="80">
        <v>5</v>
      </c>
      <c r="U13" s="829" t="str">
        <f>IF(ISBLANK('Brewhouse Setup &amp; Calcs'!$H30),"",'Brewhouse Setup &amp; Calcs'!$H30)</f>
        <v/>
      </c>
      <c r="V13" s="830" t="str">
        <f>IF(ISBLANK('Brewhouse Setup &amp; Calcs'!$I30),"",'Brewhouse Setup &amp; Calcs'!$I30)</f>
        <v/>
      </c>
      <c r="W13" s="831" t="str">
        <f>IF(ISBLANK('Brewhouse Setup &amp; Calcs'!$J30),"",'Brewhouse Setup &amp; Calcs'!$J30)</f>
        <v/>
      </c>
      <c r="X13" s="830" t="str">
        <f>IF(ISBLANK('Brewhouse Setup &amp; Calcs'!$K30),"",'Brewhouse Setup &amp; Calcs'!$K30)</f>
        <v/>
      </c>
      <c r="Y13" s="810" t="str">
        <f>IF('Brewhouse Setup &amp; Calcs'!$L30=0,"",'Brewhouse Setup &amp; Calcs'!$L30)</f>
        <v/>
      </c>
      <c r="Z13" s="470"/>
      <c r="AA13" s="470"/>
      <c r="AZ13" s="96"/>
    </row>
    <row r="14" spans="1:52" ht="12.75" customHeight="1" thickTop="1" x14ac:dyDescent="0.25">
      <c r="A14" s="900" t="str">
        <f>IF(ISBLANK('Grain &amp; Sugar Calcs'!B12),"",'Grain &amp; Sugar Calcs'!B12)</f>
        <v/>
      </c>
      <c r="B14" s="900"/>
      <c r="C14" s="900"/>
      <c r="D14" s="900"/>
      <c r="E14" s="576" t="str">
        <f>IF(ISBLANK('Grain &amp; Sugar Calcs'!C12),"",'Grain &amp; Sugar Calcs'!C12)</f>
        <v/>
      </c>
      <c r="F14" s="725" t="str">
        <f>IF('Grain &amp; Sugar Calcs'!D12=0,"",'Grain &amp; Sugar Calcs'!D12)</f>
        <v/>
      </c>
      <c r="G14" s="368"/>
      <c r="H14" s="928" t="s">
        <v>115</v>
      </c>
      <c r="I14" s="928"/>
      <c r="J14" s="823">
        <f>ROUND(IF(NOT(ISNUMBER(J9)),"",(J8-J9)*(46.0688/44.0098)/J9/0.794),3)</f>
        <v>8.7999999999999995E-2</v>
      </c>
      <c r="K14" s="823" t="str">
        <f>IF(NOT(ISNUMBER(K9)),"",(K8-K9)*(46.0688/44.0098)/K9/0.794)</f>
        <v/>
      </c>
      <c r="L14" s="579">
        <f>IFERROR(VLOOKUP('Recipe Sheet'!$B$1,'BJCP Guidelines'!$A$2:$K$120,8,FALSE)/100,"NA")</f>
        <v>0.08</v>
      </c>
      <c r="M14" s="579">
        <f>IFERROR(VLOOKUP('Recipe Sheet'!$B$1,'BJCP Guidelines'!$A$2:$K$120,9,FALSE)/100,"NA")</f>
        <v>0.12</v>
      </c>
      <c r="N14" s="723"/>
      <c r="O14" s="963" t="s">
        <v>1867</v>
      </c>
      <c r="P14" s="913"/>
      <c r="Q14" s="576">
        <f>IFERROR(Q11/Q12,"")</f>
        <v>0.64</v>
      </c>
      <c r="R14" s="576">
        <f>IFERROR(IF('Brewhouse Setup &amp; Calcs'!$C$2="US Customary",'Water-English'!I52,'Water-Metric'!I53),"")</f>
        <v>1.5762081286662259</v>
      </c>
      <c r="S14" s="368"/>
      <c r="T14" s="1030" t="s">
        <v>113</v>
      </c>
      <c r="U14" s="1031"/>
      <c r="V14" s="1032"/>
      <c r="W14" s="832" t="s">
        <v>1664</v>
      </c>
      <c r="X14" s="832" t="s">
        <v>119</v>
      </c>
      <c r="Y14" s="832" t="s">
        <v>100</v>
      </c>
    </row>
    <row r="15" spans="1:52" ht="12.75" customHeight="1" x14ac:dyDescent="0.25">
      <c r="A15" s="900" t="str">
        <f>IF(ISBLANK('Grain &amp; Sugar Calcs'!B13),"",'Grain &amp; Sugar Calcs'!B13)</f>
        <v/>
      </c>
      <c r="B15" s="900"/>
      <c r="C15" s="900"/>
      <c r="D15" s="900"/>
      <c r="E15" s="576" t="str">
        <f>IF(ISBLANK('Grain &amp; Sugar Calcs'!C13),"",'Grain &amp; Sugar Calcs'!C13)</f>
        <v/>
      </c>
      <c r="F15" s="725" t="str">
        <f>IF('Grain &amp; Sugar Calcs'!D13=0,"",'Grain &amp; Sugar Calcs'!D13)</f>
        <v/>
      </c>
      <c r="G15" s="368"/>
      <c r="H15" s="928" t="s">
        <v>1239</v>
      </c>
      <c r="I15" s="928"/>
      <c r="J15" s="828">
        <f>ROUND('Grain &amp; Sugar Calcs'!M19,3)</f>
        <v>34.49</v>
      </c>
      <c r="K15" s="826" t="str">
        <f>IF(ISBLANK(X37),"",'Grain &amp; Sugar Calcs'!M19*(W37/X37))</f>
        <v/>
      </c>
      <c r="L15" s="834">
        <f>VLOOKUP('Recipe Sheet'!$B$1,'BJCP Guidelines'!$A$2:$K$120,10,FALSE)</f>
        <v>30</v>
      </c>
      <c r="M15" s="834">
        <f>VLOOKUP('Recipe Sheet'!$B$1,'BJCP Guidelines'!$A$2:$K$120,11,FALSE)</f>
        <v>40</v>
      </c>
      <c r="N15" s="837"/>
      <c r="O15" s="368"/>
      <c r="P15" s="368"/>
      <c r="Q15" s="386"/>
      <c r="R15" s="386"/>
      <c r="S15" s="368"/>
      <c r="T15" s="1021" t="s">
        <v>1801</v>
      </c>
      <c r="U15" s="1022"/>
      <c r="V15" s="777" t="s">
        <v>2297</v>
      </c>
      <c r="W15" s="574">
        <f>IFERROR(IF('Brewhouse Setup &amp; Calcs'!$C$2="Metric",'Water-Metric'!$F$33,'Water-English'!$F$32),"")</f>
        <v>5.5496044477541018</v>
      </c>
      <c r="X15" s="471"/>
      <c r="Y15" s="727"/>
    </row>
    <row r="16" spans="1:52" ht="12.75" customHeight="1" x14ac:dyDescent="0.25">
      <c r="A16" s="900" t="str">
        <f>IF(ISBLANK('Grain &amp; Sugar Calcs'!B14),"",'Grain &amp; Sugar Calcs'!B14)</f>
        <v/>
      </c>
      <c r="B16" s="900"/>
      <c r="C16" s="900"/>
      <c r="D16" s="900"/>
      <c r="E16" s="576" t="str">
        <f>IF(ISBLANK('Grain &amp; Sugar Calcs'!C14),"",'Grain &amp; Sugar Calcs'!C14)</f>
        <v/>
      </c>
      <c r="F16" s="725" t="str">
        <f>IF('Grain &amp; Sugar Calcs'!D14=0,"",'Grain &amp; Sugar Calcs'!D14)</f>
        <v/>
      </c>
      <c r="G16" s="368"/>
      <c r="H16" s="897" t="s">
        <v>2312</v>
      </c>
      <c r="I16" s="898"/>
      <c r="J16" s="899"/>
      <c r="K16" s="833">
        <f>4828*J9*(((0.8114*J9)+(0.1886*J8)-1)+(0.53*((J8-J9)/(1.775-J8))))</f>
        <v>397.23235538686919</v>
      </c>
      <c r="L16" s="835"/>
      <c r="M16" s="836"/>
      <c r="N16" s="838"/>
      <c r="O16" s="920" t="s">
        <v>1857</v>
      </c>
      <c r="P16" s="961"/>
      <c r="Q16" s="961"/>
      <c r="R16" s="961"/>
      <c r="S16" s="368"/>
      <c r="T16" s="1016" t="str">
        <f>'Brewhouse Setup &amp; Calcs'!$C$45</f>
        <v>No Sparge</v>
      </c>
      <c r="U16" s="912" t="s">
        <v>1232</v>
      </c>
      <c r="V16" s="913"/>
      <c r="W16" s="574">
        <f>'Brewhouse Setup &amp; Calcs'!$L$34</f>
        <v>25.24019407761952</v>
      </c>
      <c r="X16" s="470"/>
      <c r="Y16" s="574" t="str">
        <f>'Brewhouse Setup &amp; Calcs'!$C$5</f>
        <v>qt</v>
      </c>
    </row>
    <row r="17" spans="1:48" x14ac:dyDescent="0.25">
      <c r="A17" s="723"/>
      <c r="B17" s="723"/>
      <c r="C17" s="723"/>
      <c r="D17" s="723"/>
      <c r="E17" s="723"/>
      <c r="F17" s="723"/>
      <c r="G17" s="723"/>
      <c r="K17" s="430"/>
      <c r="L17" s="547"/>
      <c r="M17" s="547"/>
      <c r="N17" s="838"/>
      <c r="O17" s="1025"/>
      <c r="P17" s="1026"/>
      <c r="Q17" s="718" t="s">
        <v>1801</v>
      </c>
      <c r="R17" s="718" t="s">
        <v>1802</v>
      </c>
      <c r="S17" s="368"/>
      <c r="T17" s="1017"/>
      <c r="U17" s="1023" t="s">
        <v>19</v>
      </c>
      <c r="V17" s="1024"/>
      <c r="W17" s="574">
        <f>IF(AND($T$16="No Sparge",'Brewhouse Setup &amp; Calcs'!$N$39="1 Vessel"),"NA",'Brewhouse Setup &amp; Calcs'!$C$24)</f>
        <v>172</v>
      </c>
      <c r="X17" s="470"/>
      <c r="Y17" s="574" t="str">
        <f>'Brewhouse Setup &amp; Calcs'!$C$4</f>
        <v>°F</v>
      </c>
    </row>
    <row r="18" spans="1:48" ht="13.2" customHeight="1" x14ac:dyDescent="0.25">
      <c r="A18" s="960" t="s">
        <v>111</v>
      </c>
      <c r="B18" s="919"/>
      <c r="C18" s="919"/>
      <c r="D18" s="919"/>
      <c r="E18" s="919"/>
      <c r="F18" s="919"/>
      <c r="G18" s="919"/>
      <c r="H18" s="919"/>
      <c r="I18" s="919"/>
      <c r="J18" s="919"/>
      <c r="K18" s="919"/>
      <c r="L18" s="808"/>
      <c r="M18" s="809"/>
      <c r="N18" s="838"/>
      <c r="O18" s="912" t="s">
        <v>1740</v>
      </c>
      <c r="P18" s="913"/>
      <c r="Q18" s="574">
        <f>IF('Brewhouse Setup &amp; Calcs'!$C$2="US Customary",'Water-English'!$D$37,'Water-Metric'!$D$38)</f>
        <v>1</v>
      </c>
      <c r="R18" s="574">
        <f>IFERROR(IF('Brewhouse Setup &amp; Calcs'!$C$2="US Customary",'Water-English'!$D$39,'Water-Metric'!$D$40),"")</f>
        <v>1.2820416039425788</v>
      </c>
      <c r="S18" s="368"/>
      <c r="T18" s="1017"/>
      <c r="U18" s="1019" t="str">
        <f>IF('Brewhouse Setup &amp; Calcs'!$C$45="Batch Sparge","Add","-")</f>
        <v>-</v>
      </c>
      <c r="V18" s="1020"/>
      <c r="W18" s="574" t="str">
        <f>IF('Brewhouse Setup &amp; Calcs'!$C$45="Batch Sparge",'Brewhouse Setup &amp; Calcs'!$C$101,"-")</f>
        <v>-</v>
      </c>
      <c r="X18" s="470"/>
      <c r="Y18" s="574" t="str">
        <f>IF('Brewhouse Setup &amp; Calcs'!$C$45="Batch Sparge",'Brewhouse Setup &amp; Calcs'!$C$5,"-")</f>
        <v>-</v>
      </c>
    </row>
    <row r="19" spans="1:48" ht="13.2" customHeight="1" x14ac:dyDescent="0.25">
      <c r="A19" s="935" t="str">
        <f>'Hop Calcs'!E5</f>
        <v>Species</v>
      </c>
      <c r="B19" s="945"/>
      <c r="C19" s="945"/>
      <c r="D19" s="941"/>
      <c r="E19" s="983" t="str">
        <f>'Hop Calcs'!D5</f>
        <v>Type</v>
      </c>
      <c r="F19" s="983" t="str">
        <f>'Hop Calcs'!F5</f>
        <v>Alpha (%)</v>
      </c>
      <c r="G19" s="935" t="str">
        <f>'Hop Calcs'!G5</f>
        <v>Qty</v>
      </c>
      <c r="H19" s="941"/>
      <c r="I19" s="946" t="s">
        <v>1110</v>
      </c>
      <c r="J19" s="945" t="str">
        <f>'Hop Calcs'!C5</f>
        <v>Time (min)</v>
      </c>
      <c r="K19" s="945"/>
      <c r="L19" s="839"/>
      <c r="M19" s="843"/>
      <c r="N19" s="838"/>
      <c r="O19" s="912" t="s">
        <v>1803</v>
      </c>
      <c r="P19" s="913"/>
      <c r="Q19" s="574">
        <f>IF('Brewhouse Setup &amp; Calcs'!$C$2="US Customary",'Water-English'!$E$37,'Water-Metric'!$E$38)</f>
        <v>4</v>
      </c>
      <c r="R19" s="574">
        <f>IFERROR(IF('Brewhouse Setup &amp; Calcs'!$C$2="US Customary",'Water-English'!$E$39,'Water-Metric'!$E$40),"")</f>
        <v>5.1281664157703153</v>
      </c>
      <c r="S19" s="368"/>
      <c r="T19" s="1017"/>
      <c r="U19" s="1019" t="str">
        <f>IF('Brewhouse Setup &amp; Calcs'!$C$45="Batch Sparge","Drain","-")</f>
        <v>-</v>
      </c>
      <c r="V19" s="1020"/>
      <c r="W19" s="574" t="str">
        <f>IF('Brewhouse Setup &amp; Calcs'!$C$45="Batch Sparge",'Brewhouse Setup &amp; Calcs'!$C$102,"-")</f>
        <v>-</v>
      </c>
      <c r="X19" s="470"/>
      <c r="Y19" s="574" t="str">
        <f>IF('Brewhouse Setup &amp; Calcs'!$C$45="Batch Sparge",'Brewhouse Setup &amp; Calcs'!$C$5,"-")</f>
        <v>-</v>
      </c>
    </row>
    <row r="20" spans="1:48" ht="13.2" customHeight="1" x14ac:dyDescent="0.25">
      <c r="A20" s="938"/>
      <c r="B20" s="939"/>
      <c r="C20" s="939"/>
      <c r="D20" s="940"/>
      <c r="E20" s="984"/>
      <c r="F20" s="984"/>
      <c r="G20" s="948" t="str">
        <f>'Brewhouse Setup &amp; Calcs'!C7</f>
        <v>oz</v>
      </c>
      <c r="H20" s="949"/>
      <c r="I20" s="947"/>
      <c r="J20" s="939"/>
      <c r="K20" s="939"/>
      <c r="L20" s="839"/>
      <c r="M20" s="843"/>
      <c r="N20" s="838"/>
      <c r="O20" s="912" t="s">
        <v>1804</v>
      </c>
      <c r="P20" s="913"/>
      <c r="Q20" s="574">
        <f>IF('Brewhouse Setup &amp; Calcs'!$C$2="US Customary",'Water-English'!$F$37,'Water-Metric'!$F$38)</f>
        <v>1</v>
      </c>
      <c r="R20" s="574">
        <f>IFERROR(IF('Brewhouse Setup &amp; Calcs'!$C$2="US Customary",'Water-English'!$F$39,'Water-Metric'!$F$40),"")</f>
        <v>1.2820416039425788</v>
      </c>
      <c r="S20" s="368"/>
      <c r="T20" s="1018"/>
      <c r="U20" s="1019" t="str">
        <f>IF('Brewhouse Setup &amp; Calcs'!$C$45="Batch Sparge","Add &amp; Drain",IF('Brewhouse Setup &amp; Calcs'!$C$45="Fly Sparge","Time Req'd","-"))</f>
        <v>-</v>
      </c>
      <c r="V20" s="1020"/>
      <c r="W20" s="574" t="str">
        <f>IF('Brewhouse Setup &amp; Calcs'!$C$45="Batch Sparge",'Brewhouse Setup &amp; Calcs'!$C$103,IF('Brewhouse Setup &amp; Calcs'!$C$45="Fly Sparge",('Brewhouse Setup &amp; Calcs'!L31+'Brewhouse Setup &amp; Calcs'!L34)/'Brewhouse Setup &amp; Calcs'!$C$46,"-"))</f>
        <v>-</v>
      </c>
      <c r="X20" s="470"/>
      <c r="Y20" s="574" t="str">
        <f>IF('Brewhouse Setup &amp; Calcs'!$C$45="Batch Sparge",'Brewhouse Setup &amp; Calcs'!$C$5,IF('Brewhouse Setup &amp; Calcs'!$C$45="Fly Sparge","min","-"))</f>
        <v>-</v>
      </c>
    </row>
    <row r="21" spans="1:48" ht="13.2" customHeight="1" x14ac:dyDescent="0.25">
      <c r="A21" s="900" t="str">
        <f>IF('Hop Calcs'!E7=0,"",'Hop Calcs'!E7)</f>
        <v>Columbus</v>
      </c>
      <c r="B21" s="900"/>
      <c r="C21" s="900"/>
      <c r="D21" s="900"/>
      <c r="E21" s="807" t="str">
        <f>IF('Hop Calcs'!D7=0,"",'Hop Calcs'!D7)</f>
        <v>Pellet</v>
      </c>
      <c r="F21" s="574">
        <f>IF('Hop Calcs'!F7=0,"",'Hop Calcs'!F7)</f>
        <v>16.2</v>
      </c>
      <c r="G21" s="943">
        <f>IF('Hop Calcs'!G7=0,"",'Hop Calcs'!G7)</f>
        <v>0.75</v>
      </c>
      <c r="H21" s="944"/>
      <c r="I21" s="574">
        <f>'Hop Calcs'!H7</f>
        <v>12.149999999999999</v>
      </c>
      <c r="J21" s="923">
        <f>IF(ISBLANK('Hop Calcs'!C7),"",IF('Hop Calcs'!C7="Hop Stand",CONCATENATE('Hop Calcs'!C7," (",'Hop Calcs'!B7,")"),'Hop Calcs'!C7))</f>
        <v>60</v>
      </c>
      <c r="K21" s="942"/>
      <c r="L21" s="839"/>
      <c r="M21" s="843"/>
      <c r="N21" s="838"/>
      <c r="O21" s="912" t="s">
        <v>1760</v>
      </c>
      <c r="P21" s="913"/>
      <c r="Q21" s="574">
        <f>IF('Brewhouse Setup &amp; Calcs'!$C$2="US Customary",'Water-English'!$D$44,'Water-Metric'!$D$45)</f>
        <v>0</v>
      </c>
      <c r="R21" s="574">
        <f>IFERROR(IF('Brewhouse Setup &amp; Calcs'!$C$2="US Customary",'Water-English'!$D$46,'Water-Metric'!$D$47),"")</f>
        <v>0</v>
      </c>
      <c r="S21" s="368"/>
      <c r="T21" s="1003" t="s">
        <v>2321</v>
      </c>
      <c r="U21" s="912" t="s">
        <v>1100</v>
      </c>
      <c r="V21" s="913"/>
      <c r="W21" s="574">
        <f>'Brewhouse Setup &amp; Calcs'!$C$80</f>
        <v>35.077694077619526</v>
      </c>
      <c r="X21" s="465"/>
      <c r="Y21" s="574" t="str">
        <f>'Brewhouse Setup &amp; Calcs'!$C$5</f>
        <v>qt</v>
      </c>
    </row>
    <row r="22" spans="1:48" ht="13.2" customHeight="1" x14ac:dyDescent="0.25">
      <c r="A22" s="900" t="str">
        <f>IF('Hop Calcs'!E8=0,"",'Hop Calcs'!E8)</f>
        <v>Northern Brewer (U.S.)</v>
      </c>
      <c r="B22" s="900"/>
      <c r="C22" s="900"/>
      <c r="D22" s="900"/>
      <c r="E22" s="807" t="str">
        <f>IF('Hop Calcs'!D8=0,"",'Hop Calcs'!D8)</f>
        <v>Pellet</v>
      </c>
      <c r="F22" s="574">
        <f>IF('Hop Calcs'!F8=0,"",'Hop Calcs'!F8)</f>
        <v>7.5</v>
      </c>
      <c r="G22" s="943">
        <f>IF('Hop Calcs'!G8=0,"",'Hop Calcs'!G8)</f>
        <v>0.5</v>
      </c>
      <c r="H22" s="944"/>
      <c r="I22" s="574">
        <f>'Hop Calcs'!H8</f>
        <v>3.75</v>
      </c>
      <c r="J22" s="923">
        <f>IF(ISBLANK('Hop Calcs'!C8),"",IF('Hop Calcs'!C8="Hop Stand",CONCATENATE('Hop Calcs'!C8," (",'Hop Calcs'!B8,")"),'Hop Calcs'!C8))</f>
        <v>10</v>
      </c>
      <c r="K22" s="942"/>
      <c r="L22" s="839"/>
      <c r="M22" s="843"/>
      <c r="N22" s="838"/>
      <c r="O22" s="912" t="s">
        <v>1761</v>
      </c>
      <c r="P22" s="913"/>
      <c r="Q22" s="574">
        <f>IF('Brewhouse Setup &amp; Calcs'!$C$2="US Customary",'Water-English'!$E$44,'Water-Metric'!$E$45)</f>
        <v>0</v>
      </c>
      <c r="R22" s="574">
        <f>IFERROR(IF('Brewhouse Setup &amp; Calcs'!$C$2="US Customary",'Water-English'!$E$46,'Water-Metric'!$E$47),"")</f>
        <v>0</v>
      </c>
      <c r="S22" s="368"/>
      <c r="T22" s="1004"/>
      <c r="U22" s="912" t="s">
        <v>19</v>
      </c>
      <c r="V22" s="913"/>
      <c r="W22" s="574">
        <f>'Brewhouse Setup &amp; Calcs'!$C$24</f>
        <v>172</v>
      </c>
      <c r="X22" s="465"/>
      <c r="Y22" s="574" t="str">
        <f>'Brewhouse Setup &amp; Calcs'!$C$4</f>
        <v>°F</v>
      </c>
      <c r="AB22" s="25"/>
    </row>
    <row r="23" spans="1:48" ht="13.2" customHeight="1" thickBot="1" x14ac:dyDescent="0.3">
      <c r="A23" s="900" t="str">
        <f>IF('Hop Calcs'!E9=0,"",'Hop Calcs'!E9)</f>
        <v>Columbus</v>
      </c>
      <c r="B23" s="900"/>
      <c r="C23" s="900"/>
      <c r="D23" s="900"/>
      <c r="E23" s="807" t="str">
        <f>IF('Hop Calcs'!D9=0,"",'Hop Calcs'!D9)</f>
        <v>Pellet</v>
      </c>
      <c r="F23" s="574">
        <f>IF('Hop Calcs'!F9=0,"",'Hop Calcs'!F9)</f>
        <v>16.2</v>
      </c>
      <c r="G23" s="943">
        <f>IF('Hop Calcs'!G9=0,"",'Hop Calcs'!G9)</f>
        <v>0.25</v>
      </c>
      <c r="H23" s="944"/>
      <c r="I23" s="574">
        <f>'Hop Calcs'!H9</f>
        <v>4.05</v>
      </c>
      <c r="J23" s="923">
        <f>IF(ISBLANK('Hop Calcs'!C9),"",IF('Hop Calcs'!C9="Hop Stand",CONCATENATE('Hop Calcs'!C9," (",'Hop Calcs'!B9,")"),'Hop Calcs'!C9))</f>
        <v>10</v>
      </c>
      <c r="K23" s="942"/>
      <c r="L23" s="1008" t="s">
        <v>2314</v>
      </c>
      <c r="M23" s="1009"/>
      <c r="N23" s="842"/>
      <c r="O23" s="1006" t="s">
        <v>1762</v>
      </c>
      <c r="P23" s="1007"/>
      <c r="Q23" s="806">
        <f>IF('Brewhouse Setup &amp; Calcs'!$C$2="US Customary",'Water-English'!$F$44,'Water-Metric'!$F$45)</f>
        <v>0</v>
      </c>
      <c r="R23" s="806">
        <f>IFERROR(IF('Brewhouse Setup &amp; Calcs'!$C$2="US Customary",'Water-English'!$F$46,'Water-Metric'!$F$47),"")</f>
        <v>0</v>
      </c>
      <c r="S23" s="368"/>
      <c r="T23" s="1004"/>
      <c r="U23" s="912" t="s">
        <v>2353</v>
      </c>
      <c r="V23" s="913"/>
      <c r="W23" s="576">
        <f>'Brewhouse Setup &amp; Calcs'!C44</f>
        <v>0.38</v>
      </c>
      <c r="X23" s="576" t="str">
        <f>IF(OR(ISBLANK(X21),AND(ISBLANK(X16),W16&gt;0),ISBLANK(AA9)),"",(SUM(AA9:AA13)+IF(NOT(ISBLANK(X16)),X16,X18+X20)-'Brewhouse Setup &amp; Calcs'!C43-X21)/'Grain &amp; Sugar Calcs'!C15)</f>
        <v/>
      </c>
      <c r="Y23" s="574" t="str">
        <f>IF('Brewhouse Setup &amp; Calcs'!$C$2="US Customary","qt/lb","L/kg")</f>
        <v>qt/lb</v>
      </c>
    </row>
    <row r="24" spans="1:48" ht="13.2" customHeight="1" thickTop="1" x14ac:dyDescent="0.25">
      <c r="A24" s="900" t="str">
        <f>IF('Hop Calcs'!E10=0,"",'Hop Calcs'!E10)</f>
        <v/>
      </c>
      <c r="B24" s="900"/>
      <c r="C24" s="900"/>
      <c r="D24" s="900"/>
      <c r="E24" s="807" t="str">
        <f>IF('Hop Calcs'!D10=0,"",'Hop Calcs'!D10)</f>
        <v/>
      </c>
      <c r="F24" s="574" t="str">
        <f>IF('Hop Calcs'!F10=0,"",'Hop Calcs'!F10)</f>
        <v/>
      </c>
      <c r="G24" s="943" t="str">
        <f>IF('Hop Calcs'!G10=0,"",'Hop Calcs'!G10)</f>
        <v/>
      </c>
      <c r="H24" s="944"/>
      <c r="I24" s="574" t="str">
        <f>'Hop Calcs'!H10</f>
        <v/>
      </c>
      <c r="J24" s="923" t="str">
        <f>IF(ISBLANK('Hop Calcs'!C10),"",IF('Hop Calcs'!C10="Hop Stand",CONCATENATE('Hop Calcs'!C10," (",'Hop Calcs'!B10,")"),'Hop Calcs'!C10))</f>
        <v/>
      </c>
      <c r="K24" s="942"/>
      <c r="L24" s="1008"/>
      <c r="M24" s="1009"/>
      <c r="N24" s="842"/>
      <c r="O24" s="910" t="s">
        <v>1744</v>
      </c>
      <c r="P24" s="911"/>
      <c r="Q24" s="812">
        <f>IF('Brewhouse Setup &amp; Calcs'!$C$2="US Customary",'Water-English'!$J$37,'Water-Metric'!$J$38)</f>
        <v>0</v>
      </c>
      <c r="R24" s="813" t="s">
        <v>2332</v>
      </c>
      <c r="S24" s="386"/>
      <c r="T24" s="1004"/>
      <c r="U24" s="916" t="s">
        <v>2323</v>
      </c>
      <c r="V24" s="416" t="s">
        <v>1665</v>
      </c>
      <c r="W24" s="904">
        <f>'Grain &amp; Sugar Calcs'!$K$19</f>
        <v>1.0658566441935504</v>
      </c>
      <c r="X24" s="469"/>
      <c r="Y24" s="80" t="s">
        <v>19</v>
      </c>
      <c r="AB24" s="20"/>
      <c r="AV24" s="78"/>
    </row>
    <row r="25" spans="1:48" ht="13.2" customHeight="1" x14ac:dyDescent="0.25">
      <c r="A25" s="900" t="str">
        <f>IF('Hop Calcs'!E11=0,"",'Hop Calcs'!E11)</f>
        <v/>
      </c>
      <c r="B25" s="900"/>
      <c r="C25" s="900"/>
      <c r="D25" s="900"/>
      <c r="E25" s="807" t="str">
        <f>IF('Hop Calcs'!D11=0,"",'Hop Calcs'!D11)</f>
        <v/>
      </c>
      <c r="F25" s="574" t="str">
        <f>IF('Hop Calcs'!F11=0,"",'Hop Calcs'!F11)</f>
        <v/>
      </c>
      <c r="G25" s="943" t="str">
        <f>IF('Hop Calcs'!G11=0,"",'Hop Calcs'!G11)</f>
        <v/>
      </c>
      <c r="H25" s="944"/>
      <c r="I25" s="574" t="str">
        <f>'Hop Calcs'!H11</f>
        <v/>
      </c>
      <c r="J25" s="923" t="str">
        <f>IF(ISBLANK('Hop Calcs'!C11),"",IF('Hop Calcs'!C11="Hop Stand",CONCATENATE('Hop Calcs'!C11," (",'Hop Calcs'!B11,")"),'Hop Calcs'!C11))</f>
        <v/>
      </c>
      <c r="K25" s="942"/>
      <c r="L25" s="1008"/>
      <c r="M25" s="1009"/>
      <c r="N25" s="815"/>
      <c r="O25" s="430"/>
      <c r="S25" s="368"/>
      <c r="T25" s="1004"/>
      <c r="U25" s="917"/>
      <c r="V25" s="776" t="s">
        <v>1666</v>
      </c>
      <c r="W25" s="905"/>
      <c r="X25" s="715" t="str">
        <f>IF(ISBLANK($X$24),"",(IF(ISBLANK($Y$25),"",'Brewhouse Setup &amp; Calcs'!$C$36+IF('Brewhouse Setup &amp; Calcs'!$C$2="US Customary",($X$24*((1.00130346-0.000134722124*$Y$25+0.00000204052596*$Y$25^2-0.00000000232820948*$Y$25^3)/(1.00130346-0.000134722124*'Brewhouse Setup &amp; Calcs'!$C$35+0.00000204052596*'Brewhouse Setup &amp; Calcs'!$C$35^2-0.00000000232820948*'Brewhouse Setup &amp; Calcs'!$C$35^3))),($X$24*((1.00130346-0.000134722124*(($Y$25*9/5)+32)+0.00000204052596*(($Y$25*9/5)+32)^2-0.00000000232820948*(($Y$25*9/5)+32)^3)/(1.00130346-0.000134722124*(('Brewhouse Setup &amp; Calcs'!$C$35*9/5)+32)+0.00000204052596*(('Brewhouse Setup &amp; Calcs'!$C$35*9/5)+32)^2-0.00000000232820948*(('Brewhouse Setup &amp; Calcs'!$C$35*9/5)+32)^3)))))))</f>
        <v/>
      </c>
      <c r="Y25" s="465"/>
      <c r="AB25" s="20"/>
      <c r="AV25" s="78"/>
    </row>
    <row r="26" spans="1:48" ht="13.2" customHeight="1" x14ac:dyDescent="0.25">
      <c r="A26" s="900" t="str">
        <f>IF('Hop Calcs'!E12=0,"",'Hop Calcs'!E12)</f>
        <v/>
      </c>
      <c r="B26" s="900"/>
      <c r="C26" s="900"/>
      <c r="D26" s="900"/>
      <c r="E26" s="807" t="str">
        <f>IF('Hop Calcs'!D12=0,"",'Hop Calcs'!D12)</f>
        <v/>
      </c>
      <c r="F26" s="574" t="str">
        <f>IF('Hop Calcs'!F12=0,"",'Hop Calcs'!F12)</f>
        <v/>
      </c>
      <c r="G26" s="943" t="str">
        <f>IF('Hop Calcs'!G12=0,"",'Hop Calcs'!G12)</f>
        <v/>
      </c>
      <c r="H26" s="944"/>
      <c r="I26" s="574" t="str">
        <f>'Hop Calcs'!H12</f>
        <v/>
      </c>
      <c r="J26" s="923" t="str">
        <f>IF(ISBLANK('Hop Calcs'!C12),"",IF('Hop Calcs'!C12="Hop Stand",CONCATENATE('Hop Calcs'!C12," (",'Hop Calcs'!B12,")"),'Hop Calcs'!C12))</f>
        <v/>
      </c>
      <c r="K26" s="942"/>
      <c r="L26" s="1008"/>
      <c r="M26" s="1009"/>
      <c r="N26" s="842"/>
      <c r="O26" s="919" t="s">
        <v>1112</v>
      </c>
      <c r="P26" s="919"/>
      <c r="Q26" s="919"/>
      <c r="R26" s="920"/>
      <c r="S26" s="368"/>
      <c r="T26" s="1004"/>
      <c r="U26" s="917"/>
      <c r="V26" s="416" t="s">
        <v>1668</v>
      </c>
      <c r="W26" s="906">
        <f>(((182.4601*$W$24-775.6821)*$W$24+1262.7794)*$W$24-669.5622)</f>
        <v>16.10055145195679</v>
      </c>
      <c r="X26" s="468"/>
      <c r="Y26" s="726" t="s">
        <v>121</v>
      </c>
      <c r="AA26" s="20"/>
      <c r="AB26" s="20"/>
      <c r="AV26" s="78"/>
    </row>
    <row r="27" spans="1:48" ht="13.2" customHeight="1" x14ac:dyDescent="0.25">
      <c r="A27" s="900" t="str">
        <f>IF('Hop Calcs'!E13=0,"",'Hop Calcs'!E13)</f>
        <v/>
      </c>
      <c r="B27" s="900"/>
      <c r="C27" s="900"/>
      <c r="D27" s="900"/>
      <c r="E27" s="807" t="str">
        <f>IF('Hop Calcs'!D13=0,"",'Hop Calcs'!D13)</f>
        <v/>
      </c>
      <c r="F27" s="574" t="str">
        <f>IF('Hop Calcs'!F13=0,"",'Hop Calcs'!F13)</f>
        <v/>
      </c>
      <c r="G27" s="943" t="str">
        <f>IF('Hop Calcs'!G13=0,"",'Hop Calcs'!G13)</f>
        <v/>
      </c>
      <c r="H27" s="944"/>
      <c r="I27" s="574" t="str">
        <f>'Hop Calcs'!H13</f>
        <v/>
      </c>
      <c r="J27" s="923" t="str">
        <f>IF(ISBLANK('Hop Calcs'!C13),"",IF('Hop Calcs'!C13="Hop Stand",CONCATENATE('Hop Calcs'!C13," (",'Hop Calcs'!B13,")"),'Hop Calcs'!C13))</f>
        <v/>
      </c>
      <c r="K27" s="924"/>
      <c r="L27" s="999" t="s">
        <v>2341</v>
      </c>
      <c r="M27" s="1000"/>
      <c r="N27" s="841"/>
      <c r="O27" s="914" t="str">
        <f>IF(ISBLANK(O28),"",VLOOKUP(O28,'Yeast List'!A2:H311,3,FALSE))</f>
        <v>Fermentis</v>
      </c>
      <c r="P27" s="914"/>
      <c r="Q27" s="914"/>
      <c r="R27" s="915"/>
      <c r="S27" s="368"/>
      <c r="T27" s="1004"/>
      <c r="U27" s="918"/>
      <c r="V27" s="776" t="s">
        <v>1666</v>
      </c>
      <c r="W27" s="907"/>
      <c r="X27" s="715" t="str">
        <f>IF($X$26="","",($X$26/(258.6-(($X$26/258.2)*227.1)))+1)</f>
        <v/>
      </c>
      <c r="Y27" s="779"/>
      <c r="AB27" s="20"/>
    </row>
    <row r="28" spans="1:48" ht="13.2" customHeight="1" x14ac:dyDescent="0.25">
      <c r="A28" s="900" t="str">
        <f>IF('Hop Calcs'!E14=0,"",'Hop Calcs'!E14)</f>
        <v/>
      </c>
      <c r="B28" s="900"/>
      <c r="C28" s="900"/>
      <c r="D28" s="900"/>
      <c r="E28" s="807" t="str">
        <f>IF('Hop Calcs'!D14=0,"",'Hop Calcs'!D14)</f>
        <v/>
      </c>
      <c r="F28" s="574" t="str">
        <f>IF('Hop Calcs'!F14=0,"",'Hop Calcs'!F14)</f>
        <v/>
      </c>
      <c r="G28" s="943" t="str">
        <f>IF('Hop Calcs'!G14=0,"",'Hop Calcs'!G14)</f>
        <v/>
      </c>
      <c r="H28" s="944"/>
      <c r="I28" s="574" t="str">
        <f>'Hop Calcs'!H14</f>
        <v/>
      </c>
      <c r="J28" s="923" t="str">
        <f>IF(ISBLANK('Hop Calcs'!C14),"",IF('Hop Calcs'!C14="Hop Stand",CONCATENATE('Hop Calcs'!C14," (",'Hop Calcs'!B14,")"),'Hop Calcs'!C14))</f>
        <v/>
      </c>
      <c r="K28" s="924"/>
      <c r="L28" s="999"/>
      <c r="M28" s="1000"/>
      <c r="N28" s="841"/>
      <c r="O28" s="1010" t="s">
        <v>1203</v>
      </c>
      <c r="P28" s="1010"/>
      <c r="Q28" s="1010"/>
      <c r="R28" s="1011"/>
      <c r="S28" s="368"/>
      <c r="T28" s="1004"/>
      <c r="U28" s="916" t="s">
        <v>2322</v>
      </c>
      <c r="V28" s="416" t="s">
        <v>1665</v>
      </c>
      <c r="W28" s="904">
        <f>'Grain &amp; Sugar Calcs'!$K$21</f>
        <v>1.0658566441935504</v>
      </c>
      <c r="X28" s="469"/>
      <c r="Y28" s="80" t="s">
        <v>19</v>
      </c>
      <c r="AB28" s="20"/>
    </row>
    <row r="29" spans="1:48" ht="13.2" customHeight="1" x14ac:dyDescent="0.25">
      <c r="A29" s="900" t="str">
        <f>IF('Hop Calcs'!E15=0,"",'Hop Calcs'!E15)</f>
        <v/>
      </c>
      <c r="B29" s="900"/>
      <c r="C29" s="900"/>
      <c r="D29" s="900"/>
      <c r="E29" s="807" t="str">
        <f>IF('Hop Calcs'!D15=0,"",'Hop Calcs'!D15)</f>
        <v/>
      </c>
      <c r="F29" s="574" t="str">
        <f>IF('Hop Calcs'!F15=0,"",'Hop Calcs'!F15)</f>
        <v/>
      </c>
      <c r="G29" s="943" t="str">
        <f>IF('Hop Calcs'!G15=0,"",'Hop Calcs'!G15)</f>
        <v/>
      </c>
      <c r="H29" s="944"/>
      <c r="I29" s="574" t="str">
        <f>'Hop Calcs'!H15</f>
        <v/>
      </c>
      <c r="J29" s="923" t="str">
        <f>IF(ISBLANK('Hop Calcs'!C15),"",IF('Hop Calcs'!C15="Hop Stand",CONCATENATE('Hop Calcs'!C15," (",'Hop Calcs'!B15,")"),'Hop Calcs'!C15))</f>
        <v/>
      </c>
      <c r="K29" s="924"/>
      <c r="L29" s="999"/>
      <c r="M29" s="1000"/>
      <c r="N29" s="841"/>
      <c r="O29" s="912" t="s">
        <v>1669</v>
      </c>
      <c r="P29" s="912"/>
      <c r="Q29" s="729" t="str">
        <f>CONCATENATE(IF(ISBLANK(O28),"",(IF('Brewhouse Setup &amp; Calcs'!$C$4="°C",ROUND(5/9*(VLOOKUP(O28,'Yeast List'!A2:H311,7,FALSE)-32),0),VLOOKUP(O28,'Yeast List'!A2:H311,7,FALSE)))),"-",IF(ISBLANK(O28),"",(IF('Brewhouse Setup &amp; Calcs'!$C$4="°C",ROUND(5/9*(VLOOKUP(O28,'Yeast List'!A2:H311,8,FALSE)-32),0),VLOOKUP(O28,'Yeast List'!A2:H311,8,FALSE)))))</f>
        <v>64-82</v>
      </c>
      <c r="R29" s="730" t="str">
        <f>'Brewhouse Setup &amp; Calcs'!$C$4</f>
        <v>°F</v>
      </c>
      <c r="S29" s="368"/>
      <c r="T29" s="1004"/>
      <c r="U29" s="917"/>
      <c r="V29" s="776" t="s">
        <v>1666</v>
      </c>
      <c r="W29" s="905"/>
      <c r="X29" s="715" t="str">
        <f>IF(ISBLANK($X$28),"",(IF(ISBLANK($Y$29),"",'Brewhouse Setup &amp; Calcs'!$C$36+IF('Brewhouse Setup &amp; Calcs'!$C$2="US Customary",($X$28*((1.00130346-0.000134722124*$Y$29+0.00000204052596*$Y$29^2-0.00000000232820948*$Y$29^3)/(1.00130346-0.000134722124*'Brewhouse Setup &amp; Calcs'!$C$35+0.00000204052596*'Brewhouse Setup &amp; Calcs'!$C$35^2-0.00000000232820948*'Brewhouse Setup &amp; Calcs'!$C$35^3))),($X$28*((1.00130346-0.000134722124*(($Y$29*9/5)+32)+0.00000204052596*(($Y$29*9/5)+32)^2-0.00000000232820948*(($Y$29*9/5)+32)^3)/(1.00130346-0.000134722124*(('Brewhouse Setup &amp; Calcs'!$C$35*9/5)+32)+0.00000204052596*(('Brewhouse Setup &amp; Calcs'!$C$35*9/5)+32)^2-0.00000000232820948*(('Brewhouse Setup &amp; Calcs'!$C$35*9/5)+32)^3)))))))</f>
        <v/>
      </c>
      <c r="Y29" s="465"/>
      <c r="AB29" s="20"/>
    </row>
    <row r="30" spans="1:48" ht="13.2" customHeight="1" x14ac:dyDescent="0.25">
      <c r="A30" s="900" t="str">
        <f>IF('Hop Calcs'!E16=0,"",'Hop Calcs'!E16)</f>
        <v/>
      </c>
      <c r="B30" s="900"/>
      <c r="C30" s="900"/>
      <c r="D30" s="900"/>
      <c r="E30" s="807" t="str">
        <f>IF('Hop Calcs'!D16=0,"",'Hop Calcs'!D16)</f>
        <v/>
      </c>
      <c r="F30" s="574" t="str">
        <f>IF('Hop Calcs'!F16=0,"",'Hop Calcs'!F16)</f>
        <v/>
      </c>
      <c r="G30" s="943" t="str">
        <f>IF('Hop Calcs'!G16=0,"",'Hop Calcs'!G16)</f>
        <v/>
      </c>
      <c r="H30" s="944"/>
      <c r="I30" s="574" t="str">
        <f>'Hop Calcs'!H16</f>
        <v/>
      </c>
      <c r="J30" s="923" t="str">
        <f>IF(ISBLANK('Hop Calcs'!C16),"",IF('Hop Calcs'!C16="Hop Stand",CONCATENATE('Hop Calcs'!C16," (",'Hop Calcs'!B16,")"),'Hop Calcs'!C16))</f>
        <v/>
      </c>
      <c r="K30" s="924"/>
      <c r="L30" s="999"/>
      <c r="M30" s="1000"/>
      <c r="N30" s="814"/>
      <c r="O30" s="430"/>
      <c r="S30" s="368"/>
      <c r="T30" s="1004"/>
      <c r="U30" s="917"/>
      <c r="V30" s="416" t="s">
        <v>1668</v>
      </c>
      <c r="W30" s="906">
        <f>(((182.4601*$W$28-775.6821)*$W$28+1262.7794)*$W$28-669.5622)</f>
        <v>16.10055145195679</v>
      </c>
      <c r="X30" s="468"/>
      <c r="Y30" s="726" t="s">
        <v>121</v>
      </c>
    </row>
    <row r="31" spans="1:48" ht="13.2" customHeight="1" x14ac:dyDescent="0.25">
      <c r="A31" s="900" t="str">
        <f>IF('Hop Calcs'!E17=0,"",'Hop Calcs'!E17)</f>
        <v/>
      </c>
      <c r="B31" s="900"/>
      <c r="C31" s="900"/>
      <c r="D31" s="900"/>
      <c r="E31" s="807" t="str">
        <f>IF('Hop Calcs'!D17=0,"",'Hop Calcs'!D17)</f>
        <v/>
      </c>
      <c r="F31" s="574" t="str">
        <f>IF('Hop Calcs'!F17=0,"",'Hop Calcs'!F17)</f>
        <v/>
      </c>
      <c r="G31" s="943" t="str">
        <f>IF('Hop Calcs'!G17=0,"",'Hop Calcs'!G17)</f>
        <v/>
      </c>
      <c r="H31" s="944"/>
      <c r="I31" s="574" t="str">
        <f>'Hop Calcs'!H17</f>
        <v/>
      </c>
      <c r="J31" s="923" t="str">
        <f>IF(ISBLANK('Hop Calcs'!C17),"",IF('Hop Calcs'!C17="Hop Stand",CONCATENATE('Hop Calcs'!C17," (",'Hop Calcs'!B17,")"),'Hop Calcs'!C17))</f>
        <v/>
      </c>
      <c r="K31" s="924"/>
      <c r="L31" s="999"/>
      <c r="M31" s="1000"/>
      <c r="N31" s="841"/>
      <c r="O31" s="893" t="s">
        <v>1521</v>
      </c>
      <c r="P31" s="893"/>
      <c r="Q31" s="893"/>
      <c r="R31" s="894"/>
      <c r="S31" s="368"/>
      <c r="T31" s="1005"/>
      <c r="U31" s="918"/>
      <c r="V31" s="776" t="s">
        <v>1666</v>
      </c>
      <c r="W31" s="907"/>
      <c r="X31" s="715" t="str">
        <f>IF($X$30="","",($X$30/(258.6-(($X$30/258.2)*227.1)))+1)</f>
        <v/>
      </c>
      <c r="Y31" s="779"/>
    </row>
    <row r="32" spans="1:48" ht="13.2" customHeight="1" x14ac:dyDescent="0.25">
      <c r="A32" s="900" t="str">
        <f>IF('Hop Calcs'!E18=0,"",'Hop Calcs'!E18)</f>
        <v/>
      </c>
      <c r="B32" s="900"/>
      <c r="C32" s="900"/>
      <c r="D32" s="900"/>
      <c r="E32" s="807" t="str">
        <f>IF('Hop Calcs'!D18=0,"",'Hop Calcs'!D18)</f>
        <v/>
      </c>
      <c r="F32" s="574" t="str">
        <f>IF('Hop Calcs'!F18=0,"",'Hop Calcs'!F18)</f>
        <v/>
      </c>
      <c r="G32" s="943" t="str">
        <f>IF('Hop Calcs'!G18=0,"",'Hop Calcs'!G18)</f>
        <v/>
      </c>
      <c r="H32" s="944"/>
      <c r="I32" s="574" t="str">
        <f>'Hop Calcs'!H18</f>
        <v/>
      </c>
      <c r="J32" s="923" t="str">
        <f>IF(ISBLANK('Hop Calcs'!C18),"",IF('Hop Calcs'!C18="Hop Stand",CONCATENATE('Hop Calcs'!C18," (",'Hop Calcs'!B18,")"),'Hop Calcs'!C18))</f>
        <v/>
      </c>
      <c r="K32" s="924"/>
      <c r="L32" s="999"/>
      <c r="M32" s="1000"/>
      <c r="N32" s="841"/>
      <c r="O32" s="912" t="s">
        <v>1864</v>
      </c>
      <c r="P32" s="913"/>
      <c r="Q32" s="389">
        <v>2.2999999999999998</v>
      </c>
      <c r="R32" s="728"/>
      <c r="S32" s="368"/>
      <c r="T32" s="967" t="s">
        <v>1875</v>
      </c>
      <c r="U32" s="968"/>
      <c r="V32" s="969"/>
      <c r="W32" s="908">
        <f>'Brewhouse Setup &amp; Calcs'!$C$47</f>
        <v>0.7</v>
      </c>
      <c r="X32" s="725" t="str">
        <f>IF(OR('Grain &amp; Sugar Calcs'!$K$15=0,NOT(ISNUMBER($X$25)),NOT(ISNUMBER($X$21))),"",((($X$25-1)*1000))/('Grain &amp; Sugar Calcs'!$I$15/IF('Brewhouse Setup &amp; Calcs'!$C$5="Liters",(1.056688*$X$21/4),($X$21/4))))</f>
        <v/>
      </c>
      <c r="Y32" s="81" t="s">
        <v>1665</v>
      </c>
    </row>
    <row r="33" spans="1:32" ht="13.2" customHeight="1" x14ac:dyDescent="0.25">
      <c r="K33" s="431"/>
      <c r="L33" s="999"/>
      <c r="M33" s="1000"/>
      <c r="N33" s="841"/>
      <c r="O33" s="912" t="s">
        <v>1099</v>
      </c>
      <c r="P33" s="913"/>
      <c r="Q33" s="389">
        <v>38</v>
      </c>
      <c r="R33" s="574" t="str">
        <f>'Brewhouse Setup &amp; Calcs'!$C$4</f>
        <v>°F</v>
      </c>
      <c r="S33" s="368"/>
      <c r="T33" s="970"/>
      <c r="U33" s="971"/>
      <c r="V33" s="972"/>
      <c r="W33" s="909"/>
      <c r="X33" s="803" t="str">
        <f>IF(OR('Grain &amp; Sugar Calcs'!$K$15=0,NOT(ISNUMBER($X$27)),NOT(ISNUMBER($X$21))),"",((($X$27-1)*1000))/('Grain &amp; Sugar Calcs'!$I$15/IF('Brewhouse Setup &amp; Calcs'!$C$5="Liters",(1.056688*$X$21/4),($X$21/4))))</f>
        <v/>
      </c>
      <c r="Y33" s="82" t="s">
        <v>1677</v>
      </c>
    </row>
    <row r="34" spans="1:32" ht="13.2" customHeight="1" x14ac:dyDescent="0.25">
      <c r="A34" s="892" t="s">
        <v>114</v>
      </c>
      <c r="B34" s="893"/>
      <c r="C34" s="893"/>
      <c r="D34" s="893"/>
      <c r="E34" s="893"/>
      <c r="F34" s="893"/>
      <c r="G34" s="894"/>
      <c r="H34" s="892" t="s">
        <v>1866</v>
      </c>
      <c r="I34" s="894"/>
      <c r="J34" s="892" t="s">
        <v>1670</v>
      </c>
      <c r="K34" s="894"/>
      <c r="L34" s="999"/>
      <c r="M34" s="1000"/>
      <c r="N34" s="841"/>
      <c r="O34" s="912" t="s">
        <v>1865</v>
      </c>
      <c r="P34" s="913"/>
      <c r="Q34" s="574">
        <f>IF(OR(ISBLANK(Q32),ISBLANK(Q33)),"",IF('Brewhouse Setup &amp; Calcs'!$C$2="US Customary",(-16.6999 - 0.0101059*Q33 + 0.00116512*Q33^2 + 0.173354*Q33*Q32 + 4.24267*Q32 - 0.0684226*Q32^2),(-16.6999 - 0.0101059*(9/5*Q33+32) + 0.00116512*(9/5*Q33+32)^2 + 0.173354*(9/5*Q33+32)*Q32 + 4.24267*Q32 - 0.0684226*Q32^2)*6.894757))</f>
        <v>9.1458341260000022</v>
      </c>
      <c r="R34" s="574" t="str">
        <f>'Brewhouse Setup &amp; Calcs'!C8</f>
        <v>PSI</v>
      </c>
      <c r="S34" s="368"/>
      <c r="T34" s="1003" t="s">
        <v>2203</v>
      </c>
      <c r="U34" s="912" t="s">
        <v>2324</v>
      </c>
      <c r="V34" s="913"/>
      <c r="W34" s="574">
        <f>'Brewhouse Setup &amp; Calcs'!$C$80+'Brewhouse Setup &amp; Calcs'!$C$79</f>
        <v>35.594581251999998</v>
      </c>
      <c r="X34" s="465"/>
      <c r="Y34" s="574" t="str">
        <f>'Brewhouse Setup &amp; Calcs'!$C$5</f>
        <v>qt</v>
      </c>
    </row>
    <row r="35" spans="1:32" ht="13.2" customHeight="1" x14ac:dyDescent="0.25">
      <c r="A35" s="964" t="s">
        <v>2359</v>
      </c>
      <c r="B35" s="966"/>
      <c r="C35" s="966"/>
      <c r="D35" s="966"/>
      <c r="E35" s="966"/>
      <c r="F35" s="966"/>
      <c r="G35" s="965"/>
      <c r="H35" s="964" t="s">
        <v>2373</v>
      </c>
      <c r="I35" s="965"/>
      <c r="J35" s="964" t="s">
        <v>2311</v>
      </c>
      <c r="K35" s="965"/>
      <c r="L35" s="999"/>
      <c r="M35" s="1000"/>
      <c r="N35" s="814"/>
      <c r="O35" s="836"/>
      <c r="S35" s="368"/>
      <c r="T35" s="1004"/>
      <c r="U35" s="912" t="s">
        <v>2201</v>
      </c>
      <c r="V35" s="913"/>
      <c r="W35" s="575">
        <f>'Brewhouse Setup &amp; Calcs'!$C$28</f>
        <v>90</v>
      </c>
      <c r="X35" s="466"/>
      <c r="Y35" s="576" t="str">
        <f>'Brewhouse Setup &amp; Calcs'!$D$28</f>
        <v>min</v>
      </c>
    </row>
    <row r="36" spans="1:32" ht="13.2" customHeight="1" x14ac:dyDescent="0.25">
      <c r="A36" s="964" t="s">
        <v>2376</v>
      </c>
      <c r="B36" s="966"/>
      <c r="C36" s="966"/>
      <c r="D36" s="966"/>
      <c r="E36" s="966"/>
      <c r="F36" s="966"/>
      <c r="G36" s="965"/>
      <c r="H36" s="964" t="s">
        <v>2377</v>
      </c>
      <c r="I36" s="965"/>
      <c r="J36" s="964" t="s">
        <v>2311</v>
      </c>
      <c r="K36" s="965"/>
      <c r="L36" s="999"/>
      <c r="M36" s="1000"/>
      <c r="N36" s="814"/>
      <c r="O36" s="496"/>
      <c r="S36" s="368"/>
      <c r="T36" s="1004"/>
      <c r="U36" s="980" t="s">
        <v>2326</v>
      </c>
      <c r="V36" s="780" t="s">
        <v>2329</v>
      </c>
      <c r="W36" s="574">
        <f>IF('Brewhouse Setup &amp; Calcs'!$C$52="Immersion",'Brewhouse Setup &amp; Calcs'!$C$76+'Brewhouse Setup &amp; Calcs'!$C$53,'Brewhouse Setup &amp; Calcs'!$C$76)</f>
        <v>29.494581252</v>
      </c>
      <c r="X36" s="470"/>
      <c r="Y36" s="574" t="str">
        <f>'Brewhouse Setup &amp; Calcs'!$C$5</f>
        <v>qt</v>
      </c>
      <c r="AF36" s="78"/>
    </row>
    <row r="37" spans="1:32" ht="12.75" customHeight="1" x14ac:dyDescent="0.25">
      <c r="A37" s="964" t="s">
        <v>2385</v>
      </c>
      <c r="B37" s="966"/>
      <c r="C37" s="966"/>
      <c r="D37" s="966"/>
      <c r="E37" s="966"/>
      <c r="F37" s="966"/>
      <c r="G37" s="965"/>
      <c r="H37" s="964" t="s">
        <v>2384</v>
      </c>
      <c r="I37" s="965"/>
      <c r="J37" s="964" t="s">
        <v>2378</v>
      </c>
      <c r="K37" s="965"/>
      <c r="L37" s="999"/>
      <c r="M37" s="1000"/>
      <c r="N37" s="814"/>
      <c r="O37" s="496"/>
      <c r="S37" s="368"/>
      <c r="T37" s="1005"/>
      <c r="U37" s="982"/>
      <c r="V37" s="782" t="s">
        <v>2308</v>
      </c>
      <c r="W37" s="574">
        <f>$W$36-'Brewhouse Setup &amp; Calcs'!$C$53</f>
        <v>27.494581252</v>
      </c>
      <c r="X37" s="470"/>
      <c r="Y37" s="574" t="str">
        <f>'Brewhouse Setup &amp; Calcs'!$C$5</f>
        <v>qt</v>
      </c>
    </row>
    <row r="38" spans="1:32" ht="13.2" customHeight="1" x14ac:dyDescent="0.25">
      <c r="A38" s="964" t="s">
        <v>2374</v>
      </c>
      <c r="B38" s="966"/>
      <c r="C38" s="966"/>
      <c r="D38" s="966"/>
      <c r="E38" s="966"/>
      <c r="F38" s="966"/>
      <c r="G38" s="965"/>
      <c r="H38" s="964" t="s">
        <v>2382</v>
      </c>
      <c r="I38" s="965"/>
      <c r="J38" s="964" t="s">
        <v>2379</v>
      </c>
      <c r="K38" s="965"/>
      <c r="L38" s="999"/>
      <c r="M38" s="1000"/>
      <c r="N38" s="814"/>
      <c r="O38" s="496"/>
      <c r="S38" s="723"/>
      <c r="T38" s="979" t="s">
        <v>2328</v>
      </c>
      <c r="U38" s="980"/>
      <c r="V38" s="777" t="s">
        <v>1100</v>
      </c>
      <c r="W38" s="574">
        <f>$J$11+'Brewhouse Setup &amp; Calcs'!$C$56</f>
        <v>25</v>
      </c>
      <c r="X38" s="470"/>
      <c r="Y38" s="574" t="str">
        <f>'Brewhouse Setup &amp; Calcs'!$C$5</f>
        <v>qt</v>
      </c>
    </row>
    <row r="39" spans="1:32" ht="13.2" customHeight="1" x14ac:dyDescent="0.25">
      <c r="A39" s="964" t="s">
        <v>2375</v>
      </c>
      <c r="B39" s="966"/>
      <c r="C39" s="966"/>
      <c r="D39" s="966"/>
      <c r="E39" s="966"/>
      <c r="F39" s="966"/>
      <c r="G39" s="965"/>
      <c r="H39" s="964" t="s">
        <v>2383</v>
      </c>
      <c r="I39" s="965"/>
      <c r="J39" s="964" t="s">
        <v>2379</v>
      </c>
      <c r="K39" s="965"/>
      <c r="L39" s="999"/>
      <c r="M39" s="1000"/>
      <c r="N39" s="814"/>
      <c r="O39" s="496"/>
      <c r="S39" s="723"/>
      <c r="T39" s="981"/>
      <c r="U39" s="982"/>
      <c r="V39" s="777" t="s">
        <v>19</v>
      </c>
      <c r="W39" s="574">
        <f>'Brewhouse Setup &amp; Calcs'!$C$31</f>
        <v>75</v>
      </c>
      <c r="X39" s="465"/>
      <c r="Y39" s="574" t="str">
        <f>'Brewhouse Setup &amp; Calcs'!$C$4</f>
        <v>°F</v>
      </c>
    </row>
    <row r="40" spans="1:32" ht="13.2" customHeight="1" x14ac:dyDescent="0.25">
      <c r="A40" s="976"/>
      <c r="B40" s="977"/>
      <c r="C40" s="977"/>
      <c r="D40" s="977"/>
      <c r="E40" s="977"/>
      <c r="F40" s="977"/>
      <c r="G40" s="978"/>
      <c r="H40" s="976"/>
      <c r="I40" s="978"/>
      <c r="J40" s="976"/>
      <c r="K40" s="978"/>
      <c r="L40" s="1001"/>
      <c r="M40" s="1002"/>
      <c r="N40" s="840"/>
      <c r="O40" s="427"/>
      <c r="S40" s="731"/>
      <c r="T40" s="973" t="s">
        <v>1671</v>
      </c>
      <c r="U40" s="921" t="s">
        <v>2325</v>
      </c>
      <c r="V40" s="921"/>
      <c r="W40" s="715">
        <f>'Grain &amp; Sugar Calcs'!$L$21</f>
        <v>1.0840201637125118</v>
      </c>
      <c r="X40" s="467"/>
      <c r="Y40" s="80" t="s">
        <v>19</v>
      </c>
    </row>
    <row r="41" spans="1:32" ht="13.2" customHeight="1" x14ac:dyDescent="0.25">
      <c r="A41" s="1012" t="s">
        <v>2381</v>
      </c>
      <c r="B41" s="1012"/>
      <c r="C41" s="1012"/>
      <c r="D41" s="1012"/>
      <c r="E41" s="1012"/>
      <c r="F41" s="1012"/>
      <c r="G41" s="1012"/>
      <c r="H41" s="1012"/>
      <c r="I41" s="1012"/>
      <c r="J41" s="1012"/>
      <c r="K41" s="1012"/>
      <c r="L41" s="1012"/>
      <c r="M41" s="1012"/>
      <c r="N41" s="1012"/>
      <c r="O41" s="1012"/>
      <c r="P41" s="1012"/>
      <c r="Q41" s="1012"/>
      <c r="R41" s="1012"/>
      <c r="S41" s="731"/>
      <c r="T41" s="974"/>
      <c r="U41" s="903"/>
      <c r="V41" s="903"/>
      <c r="W41" s="862" t="s">
        <v>1666</v>
      </c>
      <c r="X41" s="715" t="str">
        <f>IF(OR(ISBLANK($X$40),ISBLANK($Y$41)),"",'Brewhouse Setup &amp; Calcs'!$C$36+IF('Brewhouse Setup &amp; Calcs'!$C$2="US Customary", ($X$40*((1.00130346-0.000134722124*Y41+0.00000204052596*$Y$41^2-0.00000000232820948*$Y$41^3)/(1.00130346-0.000134722124*'Brewhouse Setup &amp; Calcs'!$C$35+0.00000204052596*'Brewhouse Setup &amp; Calcs'!$C$35^2-0.00000000232820948*'Brewhouse Setup &amp; Calcs'!$C$35^3))), ($X$40*((1.00130346-0.000134722124*(($Y$41* 9/5)+32)+0.00000204052596*(($Y$41* 9/5)+32)^2-0.00000000232820948*(($Y$41* 9/5)+32)^3)/(1.00130346-0.000134722124*(('Brewhouse Setup &amp; Calcs'!$C$35* 9/5)+32)+0.00000204052596*(('Brewhouse Setup &amp; Calcs'!$C$35* 9/5)+32)^2-0.00000000232820948*(('Brewhouse Setup &amp; Calcs'!$C$35* 9/5)+32)^3)))))</f>
        <v/>
      </c>
      <c r="Y41" s="465"/>
    </row>
    <row r="42" spans="1:32" ht="12.75" customHeight="1" x14ac:dyDescent="0.25">
      <c r="A42" s="1013"/>
      <c r="B42" s="1013"/>
      <c r="C42" s="1013"/>
      <c r="D42" s="1013"/>
      <c r="E42" s="1013"/>
      <c r="F42" s="1013"/>
      <c r="G42" s="1013"/>
      <c r="H42" s="1013"/>
      <c r="I42" s="1013"/>
      <c r="J42" s="1013"/>
      <c r="K42" s="1013"/>
      <c r="L42" s="1013"/>
      <c r="M42" s="1013"/>
      <c r="N42" s="1013"/>
      <c r="O42" s="1013"/>
      <c r="P42" s="1013"/>
      <c r="Q42" s="1013"/>
      <c r="R42" s="1013"/>
      <c r="S42" s="731"/>
      <c r="T42" s="974"/>
      <c r="U42" s="901" t="s">
        <v>2307</v>
      </c>
      <c r="V42" s="902"/>
      <c r="W42" s="574">
        <f>(((182.4601*$W$40-775.6821)*$W$40+1262.7794)*$W$40-669.5622)</f>
        <v>20.235792039670173</v>
      </c>
      <c r="X42" s="468"/>
      <c r="Y42" s="726" t="s">
        <v>121</v>
      </c>
    </row>
    <row r="43" spans="1:32" ht="13.2" customHeight="1" x14ac:dyDescent="0.25">
      <c r="A43" s="1013"/>
      <c r="B43" s="1013"/>
      <c r="C43" s="1013"/>
      <c r="D43" s="1013"/>
      <c r="E43" s="1013"/>
      <c r="F43" s="1013"/>
      <c r="G43" s="1013"/>
      <c r="H43" s="1013"/>
      <c r="I43" s="1013"/>
      <c r="J43" s="1013"/>
      <c r="K43" s="1013"/>
      <c r="L43" s="1013"/>
      <c r="M43" s="1013"/>
      <c r="N43" s="1013"/>
      <c r="O43" s="1013"/>
      <c r="P43" s="1013"/>
      <c r="Q43" s="1013"/>
      <c r="R43" s="1013"/>
      <c r="S43" s="731"/>
      <c r="T43" s="975"/>
      <c r="U43" s="903"/>
      <c r="V43" s="903"/>
      <c r="W43" s="863" t="s">
        <v>1666</v>
      </c>
      <c r="X43" s="715" t="str">
        <f>IF($X$42="","",($X$42/(258.6-(($X$42/258.2)*227.1)))+1)</f>
        <v/>
      </c>
      <c r="Y43" s="779"/>
    </row>
    <row r="44" spans="1:32" ht="12.75" customHeight="1" x14ac:dyDescent="0.25">
      <c r="A44" s="1013"/>
      <c r="B44" s="1013"/>
      <c r="C44" s="1013"/>
      <c r="D44" s="1013"/>
      <c r="E44" s="1013"/>
      <c r="F44" s="1013"/>
      <c r="G44" s="1013"/>
      <c r="H44" s="1013"/>
      <c r="I44" s="1013"/>
      <c r="J44" s="1013"/>
      <c r="K44" s="1013"/>
      <c r="L44" s="1013"/>
      <c r="M44" s="1013"/>
      <c r="N44" s="1013"/>
      <c r="O44" s="1013"/>
      <c r="P44" s="1013"/>
      <c r="Q44" s="1013"/>
      <c r="R44" s="1013"/>
      <c r="S44" s="731"/>
      <c r="T44" s="973" t="s">
        <v>1869</v>
      </c>
      <c r="U44" s="921" t="s">
        <v>2325</v>
      </c>
      <c r="V44" s="922"/>
      <c r="W44" s="715">
        <f>IF(NOT(ISNUMBER($J$12)),"",1+('Grain &amp; Sugar Calcs'!$L$17*(1-$J$12)/1000))</f>
        <v>1.0159638311053774</v>
      </c>
      <c r="X44" s="469"/>
      <c r="Y44" s="80" t="s">
        <v>19</v>
      </c>
    </row>
    <row r="45" spans="1:32" ht="12.75" customHeight="1" x14ac:dyDescent="0.25">
      <c r="A45" s="1013"/>
      <c r="B45" s="1013"/>
      <c r="C45" s="1013"/>
      <c r="D45" s="1013"/>
      <c r="E45" s="1013"/>
      <c r="F45" s="1013"/>
      <c r="G45" s="1013"/>
      <c r="H45" s="1013"/>
      <c r="I45" s="1013"/>
      <c r="J45" s="1013"/>
      <c r="K45" s="1013"/>
      <c r="L45" s="1013"/>
      <c r="M45" s="1013"/>
      <c r="N45" s="1013"/>
      <c r="O45" s="1013"/>
      <c r="P45" s="1013"/>
      <c r="Q45" s="1013"/>
      <c r="R45" s="1013"/>
      <c r="S45" s="723"/>
      <c r="T45" s="974"/>
      <c r="U45" s="901"/>
      <c r="V45" s="901"/>
      <c r="W45" s="863" t="s">
        <v>1666</v>
      </c>
      <c r="X45" s="715" t="str">
        <f>IF(OR(ISBLANK(X44),ISBLANK(Y45)),"",'Brewhouse Setup &amp; Calcs'!$C$36+IF('Brewhouse Setup &amp; Calcs'!$C$2="US Customary", (X44*((1.00130346-0.000134722124*Y45+0.00000204052596*Y45^2-0.00000000232820948*Y45^3)/(1.00130346-0.000134722124*'Brewhouse Setup &amp; Calcs'!$C$35+0.00000204052596*'Brewhouse Setup &amp; Calcs'!$C$35^2-0.00000000232820948*'Brewhouse Setup &amp; Calcs'!$C$35^3))), (X44*((1.00130346-0.000134722124*((Y45* 9/5)+32)+0.00000204052596*((Y45* 9/5)+32)^2-0.00000000232820948*((Y45* 9/5)+32)^3)/(1.00130346-0.000134722124*(('Brewhouse Setup &amp; Calcs'!$C$35* 9/5)+32)+0.00000204052596*(('Brewhouse Setup &amp; Calcs'!$C$35* 9/5)+32)^2-0.00000000232820948*(('Brewhouse Setup &amp; Calcs'!$C$35* 9/5)+32)^3)))))</f>
        <v/>
      </c>
      <c r="Y45" s="465"/>
    </row>
    <row r="46" spans="1:32" ht="12.75" customHeight="1" x14ac:dyDescent="0.25">
      <c r="A46" s="1013"/>
      <c r="B46" s="1013"/>
      <c r="C46" s="1013"/>
      <c r="D46" s="1013"/>
      <c r="E46" s="1013"/>
      <c r="F46" s="1013"/>
      <c r="G46" s="1013"/>
      <c r="H46" s="1013"/>
      <c r="I46" s="1013"/>
      <c r="J46" s="1013"/>
      <c r="K46" s="1013"/>
      <c r="L46" s="1013"/>
      <c r="M46" s="1013"/>
      <c r="N46" s="1013"/>
      <c r="O46" s="1013"/>
      <c r="P46" s="1013"/>
      <c r="Q46" s="1013"/>
      <c r="R46" s="1013"/>
      <c r="S46" s="723"/>
      <c r="T46" s="974"/>
      <c r="U46" s="901" t="s">
        <v>2307</v>
      </c>
      <c r="V46" s="902"/>
      <c r="W46" s="574">
        <f>IF(NOT(ISNUMBER($J$12)),"",(((182.4601*$W$44-775.6821)*$W$44+1262.7794)*$W$44-669.5622))</f>
        <v>4.0691286306239363</v>
      </c>
      <c r="X46" s="468"/>
      <c r="Y46" s="726" t="s">
        <v>121</v>
      </c>
    </row>
    <row r="47" spans="1:32" x14ac:dyDescent="0.25">
      <c r="A47" s="1013"/>
      <c r="B47" s="1013"/>
      <c r="C47" s="1013"/>
      <c r="D47" s="1013"/>
      <c r="E47" s="1013"/>
      <c r="F47" s="1013"/>
      <c r="G47" s="1013"/>
      <c r="H47" s="1013"/>
      <c r="I47" s="1013"/>
      <c r="J47" s="1013"/>
      <c r="K47" s="1013"/>
      <c r="L47" s="1013"/>
      <c r="M47" s="1013"/>
      <c r="N47" s="1013"/>
      <c r="O47" s="1013"/>
      <c r="P47" s="1013"/>
      <c r="Q47" s="1013"/>
      <c r="R47" s="1013"/>
      <c r="S47" s="723"/>
      <c r="T47" s="975"/>
      <c r="U47" s="903"/>
      <c r="V47" s="903"/>
      <c r="W47" s="863" t="s">
        <v>1666</v>
      </c>
      <c r="X47" s="715" t="str">
        <f>IF($X$46=0,"",1-0.0044993*($X$42/'Brewhouse Setup &amp; Calcs'!$C$37)+0.011774*($X$46/'Brewhouse Setup &amp; Calcs'!$C$37)+0.00027581*($X$42/'Brewhouse Setup &amp; Calcs'!$C$37)^2-0.0012717*($X$46/'Brewhouse Setup &amp; Calcs'!$C$37)^2-0.00000728*($X$42/'Brewhouse Setup &amp; Calcs'!$C$37)^3+0.000063293*($X$46/'Brewhouse Setup &amp; Calcs'!$C$37)^3)</f>
        <v/>
      </c>
      <c r="Y47" s="779"/>
    </row>
    <row r="48" spans="1:32" x14ac:dyDescent="0.25">
      <c r="A48" s="1013"/>
      <c r="B48" s="1013"/>
      <c r="C48" s="1013"/>
      <c r="D48" s="1013"/>
      <c r="E48" s="1013"/>
      <c r="F48" s="1013"/>
      <c r="G48" s="1013"/>
      <c r="H48" s="1013"/>
      <c r="I48" s="1013"/>
      <c r="J48" s="1013"/>
      <c r="K48" s="1013"/>
      <c r="L48" s="1013"/>
      <c r="M48" s="1013"/>
      <c r="N48" s="1013"/>
      <c r="O48" s="1013"/>
      <c r="P48" s="1013"/>
      <c r="Q48" s="1013"/>
      <c r="R48" s="1013"/>
      <c r="S48" s="723"/>
      <c r="T48" s="963" t="s">
        <v>2289</v>
      </c>
      <c r="U48" s="912"/>
      <c r="V48" s="913"/>
      <c r="W48" s="574">
        <f>'Brewhouse Setup &amp; Calcs'!$C$18</f>
        <v>20</v>
      </c>
      <c r="X48" s="470"/>
      <c r="Y48" s="574" t="str">
        <f>'Brewhouse Setup &amp; Calcs'!$C$5</f>
        <v>qt</v>
      </c>
    </row>
    <row r="49" spans="1:49" x14ac:dyDescent="0.25">
      <c r="A49" s="1013"/>
      <c r="B49" s="1013"/>
      <c r="C49" s="1013"/>
      <c r="D49" s="1013"/>
      <c r="E49" s="1013"/>
      <c r="F49" s="1013"/>
      <c r="G49" s="1013"/>
      <c r="H49" s="1013"/>
      <c r="I49" s="1013"/>
      <c r="J49" s="1013"/>
      <c r="K49" s="1013"/>
      <c r="L49" s="1013"/>
      <c r="M49" s="1013"/>
      <c r="N49" s="1013"/>
      <c r="O49" s="1013"/>
      <c r="P49" s="1013"/>
      <c r="Q49" s="1013"/>
      <c r="R49" s="1013"/>
    </row>
    <row r="50" spans="1:49" x14ac:dyDescent="0.25">
      <c r="A50" s="20"/>
      <c r="AW50" s="34"/>
    </row>
    <row r="51" spans="1:49" x14ac:dyDescent="0.25">
      <c r="AF51" s="34"/>
    </row>
    <row r="56" spans="1:49" x14ac:dyDescent="0.25">
      <c r="AF56" s="43"/>
    </row>
  </sheetData>
  <sheetProtection sheet="1" objects="1" scenarios="1"/>
  <dataConsolidate/>
  <mergeCells count="172">
    <mergeCell ref="Z5:AA5"/>
    <mergeCell ref="A41:R49"/>
    <mergeCell ref="Q1:S1"/>
    <mergeCell ref="Q2:S2"/>
    <mergeCell ref="T16:T20"/>
    <mergeCell ref="U20:V20"/>
    <mergeCell ref="U19:V19"/>
    <mergeCell ref="U18:V18"/>
    <mergeCell ref="O19:P19"/>
    <mergeCell ref="O20:P20"/>
    <mergeCell ref="J24:K24"/>
    <mergeCell ref="T15:U15"/>
    <mergeCell ref="U16:V16"/>
    <mergeCell ref="U17:V17"/>
    <mergeCell ref="U21:V21"/>
    <mergeCell ref="O8:P8"/>
    <mergeCell ref="O9:P9"/>
    <mergeCell ref="O11:P11"/>
    <mergeCell ref="O12:P12"/>
    <mergeCell ref="O13:P13"/>
    <mergeCell ref="O17:P17"/>
    <mergeCell ref="O18:P18"/>
    <mergeCell ref="O6:P7"/>
    <mergeCell ref="T14:V14"/>
    <mergeCell ref="O14:P14"/>
    <mergeCell ref="O31:R31"/>
    <mergeCell ref="L27:M40"/>
    <mergeCell ref="U22:V22"/>
    <mergeCell ref="T34:T37"/>
    <mergeCell ref="O21:P21"/>
    <mergeCell ref="O23:P23"/>
    <mergeCell ref="O29:P29"/>
    <mergeCell ref="O32:P32"/>
    <mergeCell ref="O33:P33"/>
    <mergeCell ref="L23:M26"/>
    <mergeCell ref="O28:R28"/>
    <mergeCell ref="O34:P34"/>
    <mergeCell ref="U28:U31"/>
    <mergeCell ref="U23:V23"/>
    <mergeCell ref="T21:T31"/>
    <mergeCell ref="T40:T43"/>
    <mergeCell ref="A39:G39"/>
    <mergeCell ref="J36:K36"/>
    <mergeCell ref="J37:K37"/>
    <mergeCell ref="J38:K38"/>
    <mergeCell ref="G22:H22"/>
    <mergeCell ref="J25:K25"/>
    <mergeCell ref="G24:H24"/>
    <mergeCell ref="G27:H27"/>
    <mergeCell ref="A27:D27"/>
    <mergeCell ref="G28:H28"/>
    <mergeCell ref="A22:D22"/>
    <mergeCell ref="G23:H23"/>
    <mergeCell ref="G25:H25"/>
    <mergeCell ref="H34:I34"/>
    <mergeCell ref="J35:K35"/>
    <mergeCell ref="J39:K39"/>
    <mergeCell ref="J28:K28"/>
    <mergeCell ref="J30:K30"/>
    <mergeCell ref="J29:K29"/>
    <mergeCell ref="J27:K27"/>
    <mergeCell ref="A31:D31"/>
    <mergeCell ref="G31:H31"/>
    <mergeCell ref="G26:H26"/>
    <mergeCell ref="J26:K26"/>
    <mergeCell ref="O4:R4"/>
    <mergeCell ref="R6:R7"/>
    <mergeCell ref="Q6:Q7"/>
    <mergeCell ref="O10:P10"/>
    <mergeCell ref="X7:Y7"/>
    <mergeCell ref="T7:T8"/>
    <mergeCell ref="H7:I7"/>
    <mergeCell ref="H8:I8"/>
    <mergeCell ref="A4:F4"/>
    <mergeCell ref="A7:D7"/>
    <mergeCell ref="A8:D8"/>
    <mergeCell ref="A9:D9"/>
    <mergeCell ref="A10:D10"/>
    <mergeCell ref="T5:U5"/>
    <mergeCell ref="W5:X5"/>
    <mergeCell ref="F19:F20"/>
    <mergeCell ref="A11:D11"/>
    <mergeCell ref="F5:F6"/>
    <mergeCell ref="H4:K4"/>
    <mergeCell ref="H10:I10"/>
    <mergeCell ref="H11:I11"/>
    <mergeCell ref="H6:I6"/>
    <mergeCell ref="A12:D12"/>
    <mergeCell ref="H9:I9"/>
    <mergeCell ref="E19:E20"/>
    <mergeCell ref="A19:D20"/>
    <mergeCell ref="G29:H29"/>
    <mergeCell ref="A28:D28"/>
    <mergeCell ref="J23:K23"/>
    <mergeCell ref="A23:D23"/>
    <mergeCell ref="A26:D26"/>
    <mergeCell ref="A30:D30"/>
    <mergeCell ref="G30:H30"/>
    <mergeCell ref="J22:K22"/>
    <mergeCell ref="A24:D24"/>
    <mergeCell ref="T48:V48"/>
    <mergeCell ref="U35:V35"/>
    <mergeCell ref="A32:D32"/>
    <mergeCell ref="G32:H32"/>
    <mergeCell ref="J32:K32"/>
    <mergeCell ref="J34:K34"/>
    <mergeCell ref="A34:G34"/>
    <mergeCell ref="H35:I35"/>
    <mergeCell ref="H39:I39"/>
    <mergeCell ref="H36:I36"/>
    <mergeCell ref="H37:I37"/>
    <mergeCell ref="H38:I38"/>
    <mergeCell ref="A35:G35"/>
    <mergeCell ref="A36:G36"/>
    <mergeCell ref="U34:V34"/>
    <mergeCell ref="T32:V33"/>
    <mergeCell ref="T44:T47"/>
    <mergeCell ref="A40:G40"/>
    <mergeCell ref="H40:I40"/>
    <mergeCell ref="T38:U39"/>
    <mergeCell ref="A37:G37"/>
    <mergeCell ref="J40:K40"/>
    <mergeCell ref="U36:U37"/>
    <mergeCell ref="A38:G38"/>
    <mergeCell ref="B1:F1"/>
    <mergeCell ref="H13:I13"/>
    <mergeCell ref="H12:I12"/>
    <mergeCell ref="L10:M12"/>
    <mergeCell ref="A5:D6"/>
    <mergeCell ref="A21:D21"/>
    <mergeCell ref="G19:H19"/>
    <mergeCell ref="J21:K21"/>
    <mergeCell ref="G21:H21"/>
    <mergeCell ref="A16:D16"/>
    <mergeCell ref="J19:K20"/>
    <mergeCell ref="I19:I20"/>
    <mergeCell ref="G20:H20"/>
    <mergeCell ref="J1:O1"/>
    <mergeCell ref="J2:O2"/>
    <mergeCell ref="L6:M7"/>
    <mergeCell ref="L4:M4"/>
    <mergeCell ref="O16:R16"/>
    <mergeCell ref="A18:K18"/>
    <mergeCell ref="A13:D13"/>
    <mergeCell ref="O5:R5"/>
    <mergeCell ref="A14:D14"/>
    <mergeCell ref="H14:I14"/>
    <mergeCell ref="H15:I15"/>
    <mergeCell ref="Z7:AA7"/>
    <mergeCell ref="T6:AA6"/>
    <mergeCell ref="T4:AA4"/>
    <mergeCell ref="T2:AA2"/>
    <mergeCell ref="T1:AA1"/>
    <mergeCell ref="H16:J16"/>
    <mergeCell ref="A15:D15"/>
    <mergeCell ref="U46:V47"/>
    <mergeCell ref="W24:W25"/>
    <mergeCell ref="W26:W27"/>
    <mergeCell ref="W28:W29"/>
    <mergeCell ref="W30:W31"/>
    <mergeCell ref="W32:W33"/>
    <mergeCell ref="O24:P24"/>
    <mergeCell ref="O22:P22"/>
    <mergeCell ref="O27:R27"/>
    <mergeCell ref="U24:U27"/>
    <mergeCell ref="O26:R26"/>
    <mergeCell ref="U40:V41"/>
    <mergeCell ref="U42:V43"/>
    <mergeCell ref="U44:V45"/>
    <mergeCell ref="A29:D29"/>
    <mergeCell ref="A25:D25"/>
    <mergeCell ref="J31:K31"/>
  </mergeCells>
  <phoneticPr fontId="49" type="noConversion"/>
  <conditionalFormatting sqref="T16">
    <cfRule type="expression" dxfId="98" priority="58">
      <formula>$AA$17="Extract"</formula>
    </cfRule>
    <cfRule type="expression" dxfId="97" priority="63">
      <formula>$AA$17="BIAB"</formula>
    </cfRule>
  </conditionalFormatting>
  <conditionalFormatting sqref="J8">
    <cfRule type="expression" dxfId="96" priority="45">
      <formula>OR($J$8&lt;$L$8,$J$8&gt;$M$8)</formula>
    </cfRule>
  </conditionalFormatting>
  <conditionalFormatting sqref="J9">
    <cfRule type="expression" dxfId="95" priority="44">
      <formula>OR($J$9&lt;$L$9,$J$9&gt;$M$9)</formula>
    </cfRule>
  </conditionalFormatting>
  <conditionalFormatting sqref="J13">
    <cfRule type="expression" dxfId="94" priority="43">
      <formula>OR($J$13&lt;$L$13,$J$13&gt;$M$13)</formula>
    </cfRule>
  </conditionalFormatting>
  <conditionalFormatting sqref="J14">
    <cfRule type="expression" dxfId="93" priority="42">
      <formula>OR($J$14&lt;$L$14,$J$14&gt;$M$14)</formula>
    </cfRule>
  </conditionalFormatting>
  <conditionalFormatting sqref="J15">
    <cfRule type="expression" dxfId="92" priority="41">
      <formula>OR($J$15&lt;$L$15,$J$15&gt;$M$15)</formula>
    </cfRule>
  </conditionalFormatting>
  <conditionalFormatting sqref="X16:X17">
    <cfRule type="expression" dxfId="91" priority="34">
      <formula>$AA$17="No Sparge"</formula>
    </cfRule>
  </conditionalFormatting>
  <conditionalFormatting sqref="X18:X20">
    <cfRule type="expression" dxfId="90" priority="28">
      <formula>$AA$17="No Sparge"</formula>
    </cfRule>
  </conditionalFormatting>
  <dataValidations xWindow="253" yWindow="300" count="7">
    <dataValidation allowBlank="1" showInputMessage="1" showErrorMessage="1" promptTitle="Hydrometer Sample Temperature" prompt="Temperature of sample in hydrometer flask." sqref="Y28 Y40 Y24"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X46" xr:uid="{D734160D-D0D9-49A4-81BD-7839818217FC}">
      <formula1>0</formula1>
    </dataValidation>
    <dataValidation type="decimal" allowBlank="1" showInputMessage="1" showErrorMessage="1" sqref="X24 X40 X44 X28" xr:uid="{61621E04-1CAF-4B8F-A1B1-AB209BB99670}">
      <formula1>1</formula1>
      <formula2>1.2</formula2>
    </dataValidation>
    <dataValidation type="decimal" allowBlank="1" showInputMessage="1" showErrorMessage="1" sqref="X15" xr:uid="{A87F019B-DEA0-4398-A38B-E7BA319D877B}">
      <formula1>0</formula1>
      <formula2>14</formula2>
    </dataValidation>
    <dataValidation type="decimal" operator="greaterThanOrEqual" allowBlank="1" showInputMessage="1" showErrorMessage="1" sqref="X16 X18:X20 X26 X30 X34 X36:X38 X42 X48 Z9:AA13" xr:uid="{8FEF9EF6-072F-404F-99B0-2ADAF7557604}">
      <formula1>0</formula1>
    </dataValidation>
    <dataValidation type="decimal" allowBlank="1" showInputMessage="1" showErrorMessage="1" sqref="X21 X39" xr:uid="{B707B79F-92DF-47EB-BD4F-CE32A2AE76E0}">
      <formula1>0</formula1>
      <formula2>212</formula2>
    </dataValidation>
    <dataValidation type="whole" operator="greaterThanOrEqual" allowBlank="1" showInputMessage="1" showErrorMessage="1" sqref="X35" xr:uid="{0AF6511F-53B3-4774-9940-5EDDC34B1C29}">
      <formula1>0</formula1>
    </dataValidation>
  </dataValidations>
  <hyperlinks>
    <hyperlink ref="L27" r:id="rId1" xr:uid="{EE35E5F0-8A00-401B-8BE3-81DE80051197}"/>
  </hyperlinks>
  <printOptions horizontalCentered="1" verticalCentered="1"/>
  <pageMargins left="0.38" right="0.38" top="0.6" bottom="0.7" header="0.2" footer="0.2"/>
  <pageSetup scale="83"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73" id="{00000000-000E-0000-0100-00003B000000}">
            <xm:f>'Brewhouse Setup &amp; Calcs'!$C$34="Refractometer"</xm:f>
            <x14:dxf>
              <font>
                <b/>
                <i val="0"/>
              </font>
            </x14:dxf>
          </x14:cfRule>
          <xm:sqref>X31</xm:sqref>
        </x14:conditionalFormatting>
        <x14:conditionalFormatting xmlns:xm="http://schemas.microsoft.com/office/excel/2006/main">
          <x14:cfRule type="cellIs" priority="162" operator="greaterThan" id="{F1EF2A61-0722-4A93-91A8-3D69B82372EC}">
            <xm:f>$C$20+'Brewhouse Setup &amp; Calcs'!$C$21</xm:f>
            <x14:dxf>
              <fill>
                <patternFill>
                  <bgColor rgb="FFFF0000"/>
                </patternFill>
              </fill>
            </x14:dxf>
          </x14:cfRule>
          <xm:sqref>X9</xm:sqref>
        </x14:conditionalFormatting>
        <x14:conditionalFormatting xmlns:xm="http://schemas.microsoft.com/office/excel/2006/main">
          <x14:cfRule type="expression" priority="10" id="{9CB45BA2-0869-42A8-A3DC-28A22ACB9326}">
            <xm:f>'Brewhouse Setup &amp; Calcs'!$C$34="Hydrometer"</xm:f>
            <x14:dxf>
              <font>
                <b/>
                <i val="0"/>
              </font>
            </x14:dxf>
          </x14:cfRule>
          <xm:sqref>X25</xm:sqref>
        </x14:conditionalFormatting>
        <x14:conditionalFormatting xmlns:xm="http://schemas.microsoft.com/office/excel/2006/main">
          <x14:cfRule type="expression" priority="9" id="{DC8CE736-39AB-41C3-8ACD-147EA4314248}">
            <xm:f>'Brewhouse Setup &amp; Calcs'!$C$34="Hydrometer"</xm:f>
            <x14:dxf>
              <font>
                <b/>
                <i val="0"/>
              </font>
            </x14:dxf>
          </x14:cfRule>
          <xm:sqref>X29</xm:sqref>
        </x14:conditionalFormatting>
        <x14:conditionalFormatting xmlns:xm="http://schemas.microsoft.com/office/excel/2006/main">
          <x14:cfRule type="expression" priority="8" id="{3BDFC2EB-BB74-483C-AC3C-C156383C4488}">
            <xm:f>'Brewhouse Setup &amp; Calcs'!$C$34="Hydrometer"</xm:f>
            <x14:dxf>
              <font>
                <b/>
                <i val="0"/>
              </font>
            </x14:dxf>
          </x14:cfRule>
          <xm:sqref>X32</xm:sqref>
        </x14:conditionalFormatting>
        <x14:conditionalFormatting xmlns:xm="http://schemas.microsoft.com/office/excel/2006/main">
          <x14:cfRule type="expression" priority="7" id="{A9B4547F-A85D-4852-AEE4-DD5396B95DE8}">
            <xm:f>'Brewhouse Setup &amp; Calcs'!$C$34="Hydrometer"</xm:f>
            <x14:dxf>
              <font>
                <b/>
                <i val="0"/>
              </font>
            </x14:dxf>
          </x14:cfRule>
          <xm:sqref>X41</xm:sqref>
        </x14:conditionalFormatting>
        <x14:conditionalFormatting xmlns:xm="http://schemas.microsoft.com/office/excel/2006/main">
          <x14:cfRule type="expression" priority="6" id="{B30A3F76-ECD5-4F6A-9BD6-7EC524BC1DDC}">
            <xm:f>'Brewhouse Setup &amp; Calcs'!$C$34="Hydrometer"</xm:f>
            <x14:dxf>
              <font>
                <b/>
                <i val="0"/>
              </font>
            </x14:dxf>
          </x14:cfRule>
          <xm:sqref>X45</xm:sqref>
        </x14:conditionalFormatting>
        <x14:conditionalFormatting xmlns:xm="http://schemas.microsoft.com/office/excel/2006/main">
          <x14:cfRule type="expression" priority="5" id="{4CEA961D-0E41-4469-8828-CEA24A4CCDCD}">
            <xm:f>'Brewhouse Setup &amp; Calcs'!$C$34="Refractometer"</xm:f>
            <x14:dxf>
              <font>
                <b/>
                <i val="0"/>
              </font>
            </x14:dxf>
          </x14:cfRule>
          <xm:sqref>X27</xm:sqref>
        </x14:conditionalFormatting>
        <x14:conditionalFormatting xmlns:xm="http://schemas.microsoft.com/office/excel/2006/main">
          <x14:cfRule type="expression" priority="4" id="{4DF3E78F-5C0C-4C25-BBF3-55844A0D5DE2}">
            <xm:f>'Brewhouse Setup &amp; Calcs'!$C$34="Refractometer"</xm:f>
            <x14:dxf>
              <font>
                <b/>
                <i val="0"/>
              </font>
            </x14:dxf>
          </x14:cfRule>
          <xm:sqref>X33</xm:sqref>
        </x14:conditionalFormatting>
        <x14:conditionalFormatting xmlns:xm="http://schemas.microsoft.com/office/excel/2006/main">
          <x14:cfRule type="expression" priority="3" id="{851087BD-C980-4D10-A27D-4E657972FD1B}">
            <xm:f>'Brewhouse Setup &amp; Calcs'!$C$34="Refractometer"</xm:f>
            <x14:dxf>
              <font>
                <b/>
                <i val="0"/>
              </font>
            </x14:dxf>
          </x14:cfRule>
          <xm:sqref>X43</xm:sqref>
        </x14:conditionalFormatting>
        <x14:conditionalFormatting xmlns:xm="http://schemas.microsoft.com/office/excel/2006/main">
          <x14:cfRule type="expression" priority="2" id="{4E24B360-2D4A-42CD-A9F3-55DAA6DE7967}">
            <xm:f>'Brewhouse Setup &amp; Calcs'!$C$34="Refractometer"</xm:f>
            <x14:dxf>
              <font>
                <b/>
                <i val="0"/>
              </font>
            </x14:dxf>
          </x14:cfRule>
          <xm:sqref>X47</xm:sqref>
        </x14:conditionalFormatting>
        <x14:conditionalFormatting xmlns:xm="http://schemas.microsoft.com/office/excel/2006/main">
          <x14:cfRule type="expression" priority="1" id="{E21A43CB-368F-46CF-A5CF-73F67535F0E9}">
            <xm:f>NOT('Brewhouse Setup &amp; Calcs'!$C$52="Immersion")</xm:f>
            <x14:dxf>
              <fill>
                <patternFill patternType="lightUp"/>
              </fill>
            </x14:dxf>
          </x14:cfRule>
          <xm:sqref>W36:X36</xm:sqref>
        </x14:conditionalFormatting>
      </x14:conditionalFormattings>
    </ext>
    <ext xmlns:x14="http://schemas.microsoft.com/office/spreadsheetml/2009/9/main" uri="{CCE6A557-97BC-4b89-ADB6-D9C93CAAB3DF}">
      <x14:dataValidations xmlns:xm="http://schemas.microsoft.com/office/excel/2006/main" xWindow="253" yWindow="300" count="2">
        <x14:dataValidation type="list" showInputMessage="1" showErrorMessage="1" errorTitle="Category" error="Choose a beer category." promptTitle="BJCP Beer Style" prompt="Choose beer style for recipe." xr:uid="{00000000-0002-0000-0100-000000000000}">
          <x14:formula1>
            <xm:f>'BJCP Guidelines'!$A$2:$A$120</xm:f>
          </x14:formula1>
          <xm:sqref>B1</xm:sqref>
        </x14:dataValidation>
        <x14:dataValidation type="list" showInputMessage="1" showErrorMessage="1" xr:uid="{00000000-0002-0000-0100-000002000000}">
          <x14:formula1>
            <xm:f>'Yeast List'!$A$2:$A$311</xm:f>
          </x14:formula1>
          <xm:sqref>O28:P28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136"/>
  <sheetViews>
    <sheetView zoomScaleNormal="100" workbookViewId="0">
      <selection activeCell="I28" sqref="I28"/>
    </sheetView>
  </sheetViews>
  <sheetFormatPr defaultRowHeight="13.2" x14ac:dyDescent="0.25"/>
  <cols>
    <col min="1" max="1" width="15.33203125" customWidth="1"/>
    <col min="2" max="2" width="19.6640625" bestFit="1" customWidth="1"/>
    <col min="3" max="3" width="6.6640625" style="4" customWidth="1"/>
    <col min="4" max="4" width="8.5546875" style="4" bestFit="1" customWidth="1"/>
    <col min="5" max="5" width="6.5546875" style="4" customWidth="1"/>
    <col min="6" max="6" width="10" style="4" customWidth="1"/>
    <col min="7" max="7" width="3.6640625" customWidth="1"/>
    <col min="8" max="9" width="6.6640625" customWidth="1"/>
    <col min="10" max="10" width="6.6640625" style="583" customWidth="1"/>
    <col min="11" max="14" width="6.6640625" customWidth="1"/>
    <col min="15" max="15" width="9.109375" customWidth="1"/>
    <col min="16" max="16" width="11.33203125" customWidth="1"/>
    <col min="17" max="17" width="12.109375" customWidth="1"/>
  </cols>
  <sheetData>
    <row r="1" spans="1:14" ht="16.8" thickTop="1" thickBot="1" x14ac:dyDescent="0.3">
      <c r="B1" s="766" t="s">
        <v>2210</v>
      </c>
      <c r="K1" s="1060" t="s">
        <v>2156</v>
      </c>
      <c r="L1" s="1061"/>
      <c r="M1" s="1061"/>
      <c r="N1" s="1062"/>
    </row>
    <row r="2" spans="1:14" ht="13.8" thickBot="1" x14ac:dyDescent="0.3">
      <c r="B2" s="767" t="s">
        <v>2211</v>
      </c>
      <c r="C2" s="1126" t="s">
        <v>1868</v>
      </c>
      <c r="D2" s="1127"/>
      <c r="E2"/>
      <c r="K2" s="759"/>
      <c r="L2" s="1063" t="s">
        <v>2347</v>
      </c>
      <c r="M2" s="1063"/>
      <c r="N2" s="1064"/>
    </row>
    <row r="3" spans="1:14" ht="13.8" thickTop="1" x14ac:dyDescent="0.25">
      <c r="B3" s="765" t="s">
        <v>113</v>
      </c>
      <c r="C3" s="762" t="s">
        <v>101</v>
      </c>
      <c r="D3"/>
      <c r="E3"/>
      <c r="K3" s="760"/>
      <c r="L3" s="1063" t="s">
        <v>2348</v>
      </c>
      <c r="M3" s="1063"/>
      <c r="N3" s="1064"/>
    </row>
    <row r="4" spans="1:14" x14ac:dyDescent="0.25">
      <c r="B4" s="763" t="s">
        <v>1099</v>
      </c>
      <c r="C4" s="770" t="str">
        <f>IF($C$2="US Customary","°F", IF($C$2="Metric","°C",))</f>
        <v>°F</v>
      </c>
      <c r="F4" s="1033" t="s">
        <v>2351</v>
      </c>
      <c r="G4" s="1034"/>
      <c r="H4" s="1035"/>
      <c r="I4" s="524"/>
      <c r="K4" s="761"/>
      <c r="L4" s="1063" t="s">
        <v>2349</v>
      </c>
      <c r="M4" s="1063"/>
      <c r="N4" s="1064"/>
    </row>
    <row r="5" spans="1:14" x14ac:dyDescent="0.25">
      <c r="B5" s="763" t="s">
        <v>1100</v>
      </c>
      <c r="C5" s="771" t="str">
        <f>IF($C$2="US Customary","qt", IF($C$2="Metric","Liters",))</f>
        <v>qt</v>
      </c>
      <c r="F5" s="1036" t="s">
        <v>2350</v>
      </c>
      <c r="G5" s="1037"/>
      <c r="H5" s="1038"/>
      <c r="I5" s="59"/>
      <c r="K5" s="769"/>
      <c r="L5" s="1067" t="s">
        <v>2266</v>
      </c>
      <c r="M5" s="1067"/>
      <c r="N5" s="1068"/>
    </row>
    <row r="6" spans="1:14" x14ac:dyDescent="0.25">
      <c r="B6" s="763" t="s">
        <v>1101</v>
      </c>
      <c r="C6" s="771" t="str">
        <f>IF($C$2="US Customary","lb", IF($C$2="Metric","kg",))</f>
        <v>lb</v>
      </c>
      <c r="K6" s="774"/>
      <c r="L6" s="1067" t="s">
        <v>2316</v>
      </c>
      <c r="M6" s="1067"/>
      <c r="N6" s="1068"/>
    </row>
    <row r="7" spans="1:14" x14ac:dyDescent="0.25">
      <c r="B7" s="763" t="s">
        <v>1102</v>
      </c>
      <c r="C7" s="771" t="str">
        <f>IF($C$2="US Customary","oz", IF($C$2="Metric","grams",))</f>
        <v>oz</v>
      </c>
      <c r="K7" s="775"/>
      <c r="L7" s="1067" t="s">
        <v>2317</v>
      </c>
      <c r="M7" s="1067"/>
      <c r="N7" s="1068"/>
    </row>
    <row r="8" spans="1:14" ht="13.8" thickBot="1" x14ac:dyDescent="0.3">
      <c r="B8" s="764" t="s">
        <v>1522</v>
      </c>
      <c r="C8" s="772" t="str">
        <f>IF($C$2="US Customary","PSI", IF($C$2="Metric","kPa",))</f>
        <v>PSI</v>
      </c>
      <c r="K8" s="768"/>
      <c r="L8" s="1065" t="s">
        <v>2315</v>
      </c>
      <c r="M8" s="1065"/>
      <c r="N8" s="1066"/>
    </row>
    <row r="9" spans="1:14" ht="14.4" thickTop="1" thickBot="1" x14ac:dyDescent="0.3">
      <c r="B9" s="536"/>
      <c r="C9"/>
      <c r="D9" s="522"/>
      <c r="E9" s="522"/>
      <c r="F9" s="522"/>
    </row>
    <row r="10" spans="1:14" ht="14.4" thickTop="1" thickBot="1" x14ac:dyDescent="0.3">
      <c r="A10" s="1137" t="s">
        <v>2257</v>
      </c>
      <c r="B10" s="1138"/>
      <c r="C10" s="1138"/>
      <c r="D10" s="1138"/>
      <c r="E10" s="1138"/>
      <c r="F10" s="1138"/>
      <c r="G10" s="1138"/>
      <c r="H10" s="1138"/>
      <c r="I10" s="1139"/>
    </row>
    <row r="11" spans="1:14" ht="14.4" thickTop="1" thickBot="1" x14ac:dyDescent="0.3">
      <c r="A11" s="1128" t="s">
        <v>2250</v>
      </c>
      <c r="B11" s="1129"/>
      <c r="C11" s="1140" t="s">
        <v>2380</v>
      </c>
      <c r="D11" s="1141"/>
      <c r="E11" s="1141"/>
      <c r="F11" s="1141"/>
      <c r="G11" s="1141"/>
      <c r="H11" s="1141"/>
      <c r="I11" s="1142"/>
      <c r="K11" s="1047" t="s">
        <v>1224</v>
      </c>
      <c r="L11" s="1048"/>
      <c r="M11" s="1049"/>
    </row>
    <row r="12" spans="1:14" ht="13.8" thickBot="1" x14ac:dyDescent="0.3">
      <c r="A12" s="1132" t="s">
        <v>2251</v>
      </c>
      <c r="B12" s="1133"/>
      <c r="C12" s="1143" t="s">
        <v>2186</v>
      </c>
      <c r="D12" s="1144"/>
      <c r="E12" s="1144"/>
      <c r="F12" s="1144"/>
      <c r="G12" s="1144"/>
      <c r="H12" s="1144"/>
      <c r="I12" s="1145"/>
      <c r="K12" s="1050" t="s">
        <v>1225</v>
      </c>
      <c r="L12" s="1051"/>
      <c r="M12" s="732" t="str">
        <f>IF(AND($C$91&lt;=$C$41*$C$42,$L$31&lt;$M$24),"PASS","FAIL")</f>
        <v>PASS</v>
      </c>
    </row>
    <row r="13" spans="1:14" ht="13.8" thickBot="1" x14ac:dyDescent="0.3">
      <c r="A13" s="1132" t="s">
        <v>2252</v>
      </c>
      <c r="B13" s="1133"/>
      <c r="C13" s="1146" t="s">
        <v>2372</v>
      </c>
      <c r="D13" s="1147"/>
      <c r="E13" s="1147"/>
      <c r="F13" s="1147"/>
      <c r="G13" s="1147"/>
      <c r="H13" s="1147"/>
      <c r="I13" s="1148"/>
      <c r="K13" s="1050" t="s">
        <v>1226</v>
      </c>
      <c r="L13" s="1051"/>
      <c r="M13" s="732" t="str">
        <f>IF(C78&lt;=(C48*C49),"PASS","FAIL")</f>
        <v>PASS</v>
      </c>
    </row>
    <row r="14" spans="1:14" ht="13.8" thickBot="1" x14ac:dyDescent="0.3">
      <c r="A14" s="1130" t="s">
        <v>2253</v>
      </c>
      <c r="B14" s="1131"/>
      <c r="C14" s="1149" t="s">
        <v>2220</v>
      </c>
      <c r="D14" s="1150"/>
      <c r="E14" s="1150"/>
      <c r="F14" s="1150"/>
      <c r="G14" s="1150"/>
      <c r="H14" s="1150"/>
      <c r="I14" s="1151"/>
      <c r="K14" s="1045" t="s">
        <v>2192</v>
      </c>
      <c r="L14" s="1046"/>
      <c r="M14" s="733" t="str">
        <f>IF(C70&lt;=(C54*C55),"PASS","FAIL")</f>
        <v>PASS</v>
      </c>
    </row>
    <row r="15" spans="1:14" ht="14.4" thickTop="1" thickBot="1" x14ac:dyDescent="0.3">
      <c r="A15" s="464"/>
      <c r="B15" s="494"/>
      <c r="C15"/>
      <c r="D15" s="464"/>
      <c r="E15" s="464"/>
      <c r="F15" s="464"/>
    </row>
    <row r="16" spans="1:14" ht="13.8" thickTop="1" x14ac:dyDescent="0.25">
      <c r="A16" s="1134" t="s">
        <v>1098</v>
      </c>
      <c r="B16" s="1135"/>
      <c r="C16" s="1135"/>
      <c r="D16" s="1135"/>
      <c r="E16" s="1135"/>
      <c r="F16" s="1136"/>
    </row>
    <row r="17" spans="1:14" ht="13.8" thickBot="1" x14ac:dyDescent="0.3">
      <c r="A17" s="1108" t="s">
        <v>1227</v>
      </c>
      <c r="B17" s="1109"/>
      <c r="C17" s="518" t="s">
        <v>101</v>
      </c>
      <c r="D17" s="518" t="s">
        <v>100</v>
      </c>
      <c r="E17" s="518" t="s">
        <v>101</v>
      </c>
      <c r="F17" s="519" t="s">
        <v>100</v>
      </c>
    </row>
    <row r="18" spans="1:14" ht="14.4" thickTop="1" thickBot="1" x14ac:dyDescent="0.3">
      <c r="A18" s="1152" t="s">
        <v>2199</v>
      </c>
      <c r="B18" s="1153"/>
      <c r="C18" s="540">
        <v>20</v>
      </c>
      <c r="D18" s="628" t="str">
        <f>$C$5</f>
        <v>qt</v>
      </c>
      <c r="E18" s="629">
        <f>IF($C$2="US Customary",C18/4,"")</f>
        <v>5</v>
      </c>
      <c r="F18" s="630" t="str">
        <f>IF($C$2="US Customary","US Gal","")</f>
        <v>US Gal</v>
      </c>
    </row>
    <row r="19" spans="1:14" ht="13.8" thickTop="1" x14ac:dyDescent="0.25">
      <c r="A19" s="1124" t="s">
        <v>2229</v>
      </c>
      <c r="B19" s="525" t="s">
        <v>2225</v>
      </c>
      <c r="C19" s="539">
        <v>75</v>
      </c>
      <c r="D19" s="631" t="str">
        <f>'Brewhouse Setup &amp; Calcs'!$C$4</f>
        <v>°F</v>
      </c>
      <c r="E19" s="1111"/>
      <c r="F19" s="1112"/>
    </row>
    <row r="20" spans="1:14" x14ac:dyDescent="0.25">
      <c r="A20" s="1110"/>
      <c r="B20" s="527" t="s">
        <v>2230</v>
      </c>
      <c r="C20" s="543">
        <v>68</v>
      </c>
      <c r="D20" s="632" t="str">
        <f>'Brewhouse Setup &amp; Calcs'!$C$4</f>
        <v>°F</v>
      </c>
      <c r="E20" s="1071"/>
      <c r="F20" s="1072"/>
    </row>
    <row r="21" spans="1:14" x14ac:dyDescent="0.25">
      <c r="A21" s="1110"/>
      <c r="B21" s="527" t="s">
        <v>2202</v>
      </c>
      <c r="C21" s="541">
        <v>210.6</v>
      </c>
      <c r="D21" s="632" t="str">
        <f>$C$4</f>
        <v>°F</v>
      </c>
      <c r="E21" s="1071"/>
      <c r="F21" s="1072"/>
    </row>
    <row r="22" spans="1:14" ht="13.8" thickBot="1" x14ac:dyDescent="0.3">
      <c r="A22" s="1110"/>
      <c r="B22" s="542" t="s">
        <v>2200</v>
      </c>
      <c r="C22" s="662">
        <v>75</v>
      </c>
      <c r="D22" s="634" t="str">
        <f>'Brewhouse Setup &amp; Calcs'!$C$4</f>
        <v>°F</v>
      </c>
      <c r="E22" s="1074"/>
      <c r="F22" s="1075"/>
    </row>
    <row r="23" spans="1:14" ht="14.4" thickTop="1" thickBot="1" x14ac:dyDescent="0.3">
      <c r="A23" s="1124" t="s">
        <v>1801</v>
      </c>
      <c r="B23" s="795" t="s">
        <v>2254</v>
      </c>
      <c r="C23" s="796">
        <v>0.875</v>
      </c>
      <c r="D23" s="631" t="str">
        <f>IF($C$2="Metric","L/kg","qt/lb")</f>
        <v>qt/lb</v>
      </c>
      <c r="E23" s="635">
        <f>IF($C$2="US Customary",C23/4,"")</f>
        <v>0.21875</v>
      </c>
      <c r="F23" s="800" t="str">
        <f>IF($C$2="US Customary","USGal/lb","")</f>
        <v>USGal/lb</v>
      </c>
      <c r="G23" s="801"/>
      <c r="H23" s="1043" t="s">
        <v>2331</v>
      </c>
      <c r="I23" s="1043"/>
      <c r="J23" s="1043"/>
      <c r="K23" s="1043"/>
      <c r="L23" s="1044"/>
      <c r="M23" s="865" t="s">
        <v>2309</v>
      </c>
      <c r="N23" s="1168" t="s">
        <v>2355</v>
      </c>
    </row>
    <row r="24" spans="1:14" ht="13.8" thickTop="1" x14ac:dyDescent="0.25">
      <c r="A24" s="1110"/>
      <c r="B24" s="783" t="s">
        <v>2265</v>
      </c>
      <c r="C24" s="786">
        <f>I31</f>
        <v>172</v>
      </c>
      <c r="D24" s="633" t="str">
        <f>'Brewhouse Setup &amp; Calcs'!$C$4</f>
        <v>°F</v>
      </c>
      <c r="E24" s="1069"/>
      <c r="F24" s="1070"/>
      <c r="H24" s="561" t="s">
        <v>2248</v>
      </c>
      <c r="I24" s="518" t="s">
        <v>2249</v>
      </c>
      <c r="J24" s="563" t="s">
        <v>2201</v>
      </c>
      <c r="K24" s="1086" t="s">
        <v>2270</v>
      </c>
      <c r="L24" s="1087"/>
      <c r="M24" s="866">
        <f>C41*C42-C83</f>
        <v>46.96875</v>
      </c>
      <c r="N24" s="1169"/>
    </row>
    <row r="25" spans="1:14" ht="13.8" thickBot="1" x14ac:dyDescent="0.3">
      <c r="A25" s="1110"/>
      <c r="B25" s="545" t="s">
        <v>2201</v>
      </c>
      <c r="C25" s="802">
        <f>J31</f>
        <v>85</v>
      </c>
      <c r="D25" s="634" t="s">
        <v>1113</v>
      </c>
      <c r="E25" s="1071"/>
      <c r="F25" s="1072"/>
      <c r="H25" s="716" t="str">
        <f>$C$4</f>
        <v>°F</v>
      </c>
      <c r="I25" s="717" t="str">
        <f>$C$4</f>
        <v>°F</v>
      </c>
      <c r="J25" s="507" t="s">
        <v>1113</v>
      </c>
      <c r="K25" s="641" t="str">
        <f>$C$4</f>
        <v>°F</v>
      </c>
      <c r="L25" s="640" t="str">
        <f>$C$5</f>
        <v>qt</v>
      </c>
      <c r="M25" s="867" t="str">
        <f>$C$5</f>
        <v>qt</v>
      </c>
      <c r="N25" s="1169"/>
    </row>
    <row r="26" spans="1:14" ht="14.4" thickTop="1" thickBot="1" x14ac:dyDescent="0.3">
      <c r="A26" s="1110"/>
      <c r="B26" s="582" t="s">
        <v>2236</v>
      </c>
      <c r="C26" s="1154" t="s">
        <v>2237</v>
      </c>
      <c r="D26" s="1127"/>
      <c r="E26" s="1073"/>
      <c r="F26" s="1072"/>
      <c r="H26" s="734">
        <f>C22</f>
        <v>75</v>
      </c>
      <c r="I26" s="857">
        <v>156</v>
      </c>
      <c r="J26" s="857">
        <v>75</v>
      </c>
      <c r="K26" s="856">
        <f>ROUND(IF($C$2="US Customary",0.2,0.41)/(IF(AND($C$45="No Sparge",$N$39="1 Vessel"),$C$87/$C$82,$C$23))*(I26-H26)+I26,1)</f>
        <v>174.5</v>
      </c>
      <c r="L26" s="642">
        <f>IF(AND($C$45="No Sparge",VLOOKUP($C$11,'Equipment Profiles'!$A$6:$O$25,9,FALSE)="1 Vessel"),$C$87,$C$23*$C$82)</f>
        <v>19.6875</v>
      </c>
      <c r="M26" s="868">
        <f>$M$24-L26</f>
        <v>27.28125</v>
      </c>
      <c r="N26" s="870">
        <f>L26/$C$82</f>
        <v>0.875</v>
      </c>
    </row>
    <row r="27" spans="1:14" ht="13.8" thickBot="1" x14ac:dyDescent="0.3">
      <c r="A27" s="1125"/>
      <c r="B27" s="797" t="s">
        <v>2238</v>
      </c>
      <c r="C27" s="798">
        <f>VLOOKUP($C$11,'Equipment Profiles'!$A$6:$G$25,IF($C$26="OFF",6,7),FALSE)</f>
        <v>0.8</v>
      </c>
      <c r="D27" s="799" t="str">
        <f>IF($C$2="Metric","L/hr","qt/hr")</f>
        <v>qt/hr</v>
      </c>
      <c r="E27" s="1074"/>
      <c r="F27" s="1075"/>
      <c r="H27" s="844">
        <v>156</v>
      </c>
      <c r="I27" s="846">
        <v>172</v>
      </c>
      <c r="J27" s="846">
        <v>10</v>
      </c>
      <c r="K27" s="845"/>
      <c r="L27" s="643">
        <f>IF(OR(ISBLANK(H27),ISBLANK(I27),ISBLANK(J27),ISBLANK(K27)),,(I27-H27)*(IF($C$2="US Customary",0.2,0.41)*$C$82+L26)/(K27-I27))</f>
        <v>0</v>
      </c>
      <c r="M27" s="868">
        <f>$M$24-SUM(L26:L27)</f>
        <v>27.28125</v>
      </c>
      <c r="N27" s="870">
        <f>SUM($L$26:L27)/$C$82</f>
        <v>0.875</v>
      </c>
    </row>
    <row r="28" spans="1:14" ht="13.8" thickTop="1" x14ac:dyDescent="0.25">
      <c r="A28" s="1120" t="s">
        <v>2203</v>
      </c>
      <c r="B28" s="525" t="s">
        <v>2201</v>
      </c>
      <c r="C28" s="548">
        <v>90</v>
      </c>
      <c r="D28" s="631" t="s">
        <v>1113</v>
      </c>
      <c r="E28" s="1102"/>
      <c r="F28" s="1103"/>
      <c r="H28" s="844"/>
      <c r="I28" s="846"/>
      <c r="J28" s="846"/>
      <c r="K28" s="845"/>
      <c r="L28" s="643">
        <f>IF(OR(ISBLANK(H28),ISBLANK(I28),ISBLANK(J28),ISBLANK(K28)),,(I28-H28)*(IF($C$2="US Customary",0.2,0.41)*$C$82+L27)/(K28-I28))</f>
        <v>0</v>
      </c>
      <c r="M28" s="868">
        <f>$M$24-SUM(L26:L28)</f>
        <v>27.28125</v>
      </c>
      <c r="N28" s="870">
        <f>SUM($L$26:L28)/$C$82</f>
        <v>0.875</v>
      </c>
    </row>
    <row r="29" spans="1:14" ht="13.8" thickBot="1" x14ac:dyDescent="0.3">
      <c r="A29" s="1057"/>
      <c r="B29" s="542" t="s">
        <v>1663</v>
      </c>
      <c r="C29" s="550">
        <v>0.3</v>
      </c>
      <c r="D29" s="634" t="str">
        <f>IF($C$2="Metric","L/g","qt/oz")</f>
        <v>qt/oz</v>
      </c>
      <c r="E29" s="637">
        <f>IF($C$2="US Customary",C29/4*16,"")</f>
        <v>1.2</v>
      </c>
      <c r="F29" s="638" t="str">
        <f>IF($C$2="US Customary","USGal/lb","")</f>
        <v>USGal/lb</v>
      </c>
      <c r="H29" s="847"/>
      <c r="I29" s="849"/>
      <c r="J29" s="849"/>
      <c r="K29" s="848"/>
      <c r="L29" s="643">
        <f>IF(OR(ISBLANK(H29),ISBLANK(I29),ISBLANK(J29),ISBLANK(K29)),,(I29-H29)*(IF($C$2="US Customary",0.2,0.41)*$C$82+L28)/(K29-I29))</f>
        <v>0</v>
      </c>
      <c r="M29" s="868">
        <f>$M$24-SUM(L26:L29)</f>
        <v>27.28125</v>
      </c>
      <c r="N29" s="870">
        <f>SUM($L$26:L29)/$C$82</f>
        <v>0.875</v>
      </c>
    </row>
    <row r="30" spans="1:14" ht="14.25" customHeight="1" thickTop="1" thickBot="1" x14ac:dyDescent="0.3">
      <c r="A30" s="1120" t="s">
        <v>2223</v>
      </c>
      <c r="B30" s="566" t="s">
        <v>2231</v>
      </c>
      <c r="C30" s="1118" t="s">
        <v>2352</v>
      </c>
      <c r="D30" s="1119"/>
      <c r="E30" s="1052"/>
      <c r="F30" s="1053"/>
      <c r="H30" s="850"/>
      <c r="I30" s="852"/>
      <c r="J30" s="852"/>
      <c r="K30" s="851"/>
      <c r="L30" s="644">
        <f>IF(OR(ISBLANK(H30),ISBLANK(I30),ISBLANK(J30),ISBLANK(K30)),,(I30-H30)*(IF($C$2="US Customary",0.2,0.41)*$C$82+L29)/(K30-I30))</f>
        <v>0</v>
      </c>
      <c r="M30" s="869">
        <f>$M$24-SUM(L26:L30)</f>
        <v>27.28125</v>
      </c>
      <c r="N30" s="871">
        <f>SUM($L$26:L30)/$C$82</f>
        <v>0.875</v>
      </c>
    </row>
    <row r="31" spans="1:14" ht="14.4" thickTop="1" thickBot="1" x14ac:dyDescent="0.3">
      <c r="A31" s="1121"/>
      <c r="B31" s="526" t="s">
        <v>2232</v>
      </c>
      <c r="C31" s="549">
        <v>75</v>
      </c>
      <c r="D31" s="639" t="str">
        <f>$C$4</f>
        <v>°F</v>
      </c>
      <c r="E31" s="1054"/>
      <c r="F31" s="1055"/>
      <c r="I31" s="858">
        <f>MAX(I26:I30)</f>
        <v>172</v>
      </c>
      <c r="J31" s="861">
        <f>SUM(J26:J30)</f>
        <v>85</v>
      </c>
      <c r="L31" s="859">
        <f>SUM(L26:L30)</f>
        <v>19.6875</v>
      </c>
    </row>
    <row r="32" spans="1:14" ht="14.4" thickTop="1" thickBot="1" x14ac:dyDescent="0.3">
      <c r="A32" s="552"/>
      <c r="B32" s="546"/>
      <c r="C32" s="553"/>
      <c r="D32" s="546"/>
      <c r="E32" s="547"/>
      <c r="F32" s="547"/>
      <c r="L32" s="1039" t="s">
        <v>2222</v>
      </c>
    </row>
    <row r="33" spans="1:12" ht="14.4" thickTop="1" thickBot="1" x14ac:dyDescent="0.3">
      <c r="A33" s="1113" t="s">
        <v>2255</v>
      </c>
      <c r="B33" s="1114"/>
      <c r="C33" s="1114"/>
      <c r="D33" s="1115"/>
      <c r="E33" s="547"/>
      <c r="F33" s="547"/>
      <c r="L33" s="1040"/>
    </row>
    <row r="34" spans="1:12" ht="14.4" thickTop="1" thickBot="1" x14ac:dyDescent="0.3">
      <c r="A34" s="1152" t="s">
        <v>1672</v>
      </c>
      <c r="B34" s="1153"/>
      <c r="C34" s="1177" t="s">
        <v>2325</v>
      </c>
      <c r="D34" s="1178"/>
      <c r="E34" s="547"/>
      <c r="F34" s="547"/>
      <c r="L34" s="860">
        <f>$C$87-$L$31</f>
        <v>25.24019407761952</v>
      </c>
    </row>
    <row r="35" spans="1:12" ht="13.8" thickTop="1" x14ac:dyDescent="0.25">
      <c r="A35" s="1110" t="s">
        <v>1661</v>
      </c>
      <c r="B35" s="554" t="s">
        <v>2208</v>
      </c>
      <c r="C35" s="778">
        <f>IF(ISBLANK($C$14),"",VLOOKUP($C$14,'Equipment Profiles'!AB6:AD25,2,FALSE))</f>
        <v>60</v>
      </c>
      <c r="D35" s="664" t="str">
        <f>$C$4</f>
        <v>°F</v>
      </c>
      <c r="E35" s="547"/>
      <c r="F35" s="547"/>
      <c r="L35" s="1041" t="s">
        <v>1701</v>
      </c>
    </row>
    <row r="36" spans="1:12" ht="13.8" thickBot="1" x14ac:dyDescent="0.3">
      <c r="A36" s="1110"/>
      <c r="B36" s="542" t="s">
        <v>2209</v>
      </c>
      <c r="C36" s="555">
        <f>IF(ISBLANK($C$14),"",VLOOKUP($C$14,'Equipment Profiles'!AB6:AD25,3,FALSE))</f>
        <v>-1E-3</v>
      </c>
      <c r="D36" s="556"/>
      <c r="E36" s="547"/>
      <c r="F36" s="547"/>
      <c r="L36" s="1042"/>
    </row>
    <row r="37" spans="1:12" ht="14.4" thickTop="1" thickBot="1" x14ac:dyDescent="0.3">
      <c r="A37" s="1104" t="s">
        <v>2221</v>
      </c>
      <c r="B37" s="1105"/>
      <c r="C37" s="557">
        <v>1.04</v>
      </c>
      <c r="D37" s="558"/>
      <c r="E37" s="547"/>
      <c r="F37" s="547"/>
    </row>
    <row r="38" spans="1:12" ht="14.4" thickTop="1" thickBot="1" x14ac:dyDescent="0.3"/>
    <row r="39" spans="1:12" ht="13.8" thickTop="1" x14ac:dyDescent="0.25">
      <c r="A39" s="1134" t="s">
        <v>1228</v>
      </c>
      <c r="B39" s="1135"/>
      <c r="C39" s="1135"/>
      <c r="D39" s="1135"/>
      <c r="E39" s="1135"/>
      <c r="F39" s="1136"/>
    </row>
    <row r="40" spans="1:12" ht="13.8" thickBot="1" x14ac:dyDescent="0.3">
      <c r="A40" s="1108" t="s">
        <v>1227</v>
      </c>
      <c r="B40" s="1109"/>
      <c r="C40" s="520" t="s">
        <v>101</v>
      </c>
      <c r="D40" s="520" t="s">
        <v>100</v>
      </c>
      <c r="E40" s="520" t="s">
        <v>101</v>
      </c>
      <c r="F40" s="521" t="s">
        <v>100</v>
      </c>
    </row>
    <row r="41" spans="1:12" ht="13.8" thickTop="1" x14ac:dyDescent="0.25">
      <c r="A41" s="1116" t="s">
        <v>2207</v>
      </c>
      <c r="B41" s="516" t="s">
        <v>2198</v>
      </c>
      <c r="C41" s="505">
        <f>IF(ISBLANK($C$11),"",VLOOKUP($C$11,'Equipment Profiles'!A6:O25,2,FALSE))</f>
        <v>60</v>
      </c>
      <c r="D41" s="645" t="str">
        <f>$C$5</f>
        <v>qt</v>
      </c>
      <c r="E41" s="651">
        <f>IF($C$2="US Customary",C41/4,"")</f>
        <v>15</v>
      </c>
      <c r="F41" s="648" t="str">
        <f>IF($C$2="US Customary","US Gal","")</f>
        <v>US Gal</v>
      </c>
    </row>
    <row r="42" spans="1:12" ht="12.75" customHeight="1" x14ac:dyDescent="0.25">
      <c r="A42" s="1117"/>
      <c r="B42" s="516" t="s">
        <v>2179</v>
      </c>
      <c r="C42" s="497">
        <f>IF(ISBLANK($C$11),"",VLOOKUP($C$11,'Equipment Profiles'!A6:O25,3,FALSE))</f>
        <v>0.9</v>
      </c>
      <c r="D42" s="646" t="s">
        <v>102</v>
      </c>
      <c r="E42" s="1179"/>
      <c r="F42" s="1180"/>
    </row>
    <row r="43" spans="1:12" x14ac:dyDescent="0.25">
      <c r="A43" s="1117"/>
      <c r="B43" s="517" t="s">
        <v>2193</v>
      </c>
      <c r="C43" s="498">
        <f>IF(ISBLANK($C$11),"",VLOOKUP($C$11,'Equipment Profiles'!A6:O25,4,FALSE))</f>
        <v>0.5</v>
      </c>
      <c r="D43" s="646" t="str">
        <f t="shared" ref="D43:D56" si="0">$C$5</f>
        <v>qt</v>
      </c>
      <c r="E43" s="649">
        <f>IF($C$2="US Customary",C43/4,"")</f>
        <v>0.125</v>
      </c>
      <c r="F43" s="650" t="str">
        <f>IF($C$2="US Customary","US Gal","")</f>
        <v>US Gal</v>
      </c>
    </row>
    <row r="44" spans="1:12" x14ac:dyDescent="0.25">
      <c r="A44" s="1117"/>
      <c r="B44" s="517" t="s">
        <v>1680</v>
      </c>
      <c r="C44" s="506">
        <f>IF(ISBLANK($C$11),"",VLOOKUP($C$11,'Equipment Profiles'!A6:O25,5,FALSE))</f>
        <v>0.38</v>
      </c>
      <c r="D44" s="647" t="str">
        <f>IF($C$2="Metric","L/kg","qt/lb")</f>
        <v>qt/lb</v>
      </c>
      <c r="E44" s="649">
        <f>IF($C$2="US Customary",C44/4,"")</f>
        <v>9.5000000000000001E-2</v>
      </c>
      <c r="F44" s="650" t="str">
        <f>IF($C$2="US Customary","USGal/lb","")</f>
        <v>USGal/lb</v>
      </c>
    </row>
    <row r="45" spans="1:12" x14ac:dyDescent="0.25">
      <c r="A45" s="1117"/>
      <c r="B45" s="516" t="s">
        <v>1870</v>
      </c>
      <c r="C45" s="1122" t="str">
        <f>IF(ISBLANK($C$11),"",VLOOKUP($C$11,'Equipment Profiles'!A6:O25,10,FALSE))</f>
        <v>No Sparge</v>
      </c>
      <c r="D45" s="1123"/>
      <c r="E45" s="1187"/>
      <c r="F45" s="1188"/>
    </row>
    <row r="46" spans="1:12" ht="12.6" customHeight="1" x14ac:dyDescent="0.25">
      <c r="A46" s="1117"/>
      <c r="B46" s="514" t="str">
        <f>IF(C45="Fly","Fly Sparge Flow Rate","-")</f>
        <v>-</v>
      </c>
      <c r="C46" s="513">
        <f>IF(ISBLANK($C$11),"",VLOOKUP($C$11,'Equipment Profiles'!A6:O25,11,FALSE))</f>
        <v>0</v>
      </c>
      <c r="D46" s="652" t="str">
        <f>CONCATENATE($C$5,"/min")</f>
        <v>qt/min</v>
      </c>
      <c r="E46" s="1189"/>
      <c r="F46" s="1190"/>
    </row>
    <row r="47" spans="1:12" ht="12.6" customHeight="1" thickBot="1" x14ac:dyDescent="0.3">
      <c r="A47" s="1117"/>
      <c r="B47" s="537" t="s">
        <v>96</v>
      </c>
      <c r="C47" s="510">
        <f>IF(ISBLANK($C$11),"",VLOOKUP($C$11,'Equipment Profiles'!A6:O25,8,FALSE))</f>
        <v>0.7</v>
      </c>
      <c r="D47" s="653" t="s">
        <v>102</v>
      </c>
      <c r="E47" s="1191"/>
      <c r="F47" s="1192"/>
    </row>
    <row r="48" spans="1:12" ht="13.8" thickTop="1" x14ac:dyDescent="0.25">
      <c r="A48" s="1124" t="s">
        <v>1226</v>
      </c>
      <c r="B48" s="655" t="s">
        <v>2198</v>
      </c>
      <c r="C48" s="656">
        <f>IF(ISBLANK($C$11),"",VLOOKUP($C$11,'Equipment Profiles'!A6:O25,12,FALSE))</f>
        <v>80</v>
      </c>
      <c r="D48" s="657" t="str">
        <f>$C$5</f>
        <v>qt</v>
      </c>
      <c r="E48" s="657">
        <f>IF($C$2="US Customary",C48/4,"")</f>
        <v>20</v>
      </c>
      <c r="F48" s="658" t="str">
        <f>IF($C$2="US Customary","US Gal","")</f>
        <v>US Gal</v>
      </c>
    </row>
    <row r="49" spans="1:10" x14ac:dyDescent="0.25">
      <c r="A49" s="1110"/>
      <c r="B49" s="517" t="s">
        <v>2179</v>
      </c>
      <c r="C49" s="497">
        <f>IF(ISBLANK($C$11),"",VLOOKUP($C$11,'Equipment Profiles'!A6:O25,13,FALSE))</f>
        <v>0.85</v>
      </c>
      <c r="D49" s="646" t="s">
        <v>102</v>
      </c>
      <c r="E49" s="1179"/>
      <c r="F49" s="1180"/>
    </row>
    <row r="50" spans="1:10" x14ac:dyDescent="0.25">
      <c r="A50" s="1110"/>
      <c r="B50" s="517" t="s">
        <v>2193</v>
      </c>
      <c r="C50" s="512">
        <f>IF(ISBLANK($C$11),"",VLOOKUP($C$11,'Equipment Profiles'!A6:O25,14,FALSE))</f>
        <v>1.5</v>
      </c>
      <c r="D50" s="652" t="str">
        <f t="shared" si="0"/>
        <v>qt</v>
      </c>
      <c r="E50" s="649">
        <f>IF($C$2="US Customary",C50/4,"")</f>
        <v>0.375</v>
      </c>
      <c r="F50" s="650" t="str">
        <f>IF($C$2="US Customary","US Gal","")</f>
        <v>US Gal</v>
      </c>
    </row>
    <row r="51" spans="1:10" ht="13.8" thickBot="1" x14ac:dyDescent="0.3">
      <c r="A51" s="1125"/>
      <c r="B51" s="551" t="s">
        <v>1995</v>
      </c>
      <c r="C51" s="654">
        <f>IF(ISBLANK($C$11),"",VLOOKUP($C$11,'Equipment Profiles'!A6:O25,15,FALSE))</f>
        <v>5.4</v>
      </c>
      <c r="D51" s="653" t="str">
        <f>IF($C$2="Metric","L/hr","qt/hr")</f>
        <v>qt/hr</v>
      </c>
      <c r="E51" s="1181"/>
      <c r="F51" s="1182"/>
    </row>
    <row r="52" spans="1:10" ht="13.8" thickTop="1" x14ac:dyDescent="0.25">
      <c r="A52" s="1175" t="s">
        <v>2183</v>
      </c>
      <c r="B52" s="515" t="s">
        <v>66</v>
      </c>
      <c r="C52" s="1185" t="str">
        <f>IF(ISBLANK($C$12),"",VLOOKUP($C$12,'Equipment Profiles'!S6:U25,2,FALSE))</f>
        <v>Immersion</v>
      </c>
      <c r="D52" s="1186"/>
      <c r="E52" s="1183"/>
      <c r="F52" s="1184"/>
    </row>
    <row r="53" spans="1:10" ht="13.8" thickBot="1" x14ac:dyDescent="0.3">
      <c r="A53" s="1125"/>
      <c r="B53" s="523" t="s">
        <v>2188</v>
      </c>
      <c r="C53" s="674">
        <f>IF(ISBLANK($C$12),"",VLOOKUP($C$12,'Equipment Profiles'!S6:U25,3,FALSE))</f>
        <v>2</v>
      </c>
      <c r="D53" s="675" t="str">
        <f>IF($C$52="Immersion",$C$5,"")</f>
        <v>qt</v>
      </c>
      <c r="E53" s="676">
        <f>IF(AND($C$2="US Customary",C52="Immersion"),C53/4,"")</f>
        <v>0.5</v>
      </c>
      <c r="F53" s="677" t="str">
        <f>IF(AND($C$2="US Customary",C52="Immersion"),"US Gal","")</f>
        <v>US Gal</v>
      </c>
    </row>
    <row r="54" spans="1:10" ht="13.8" thickTop="1" x14ac:dyDescent="0.25">
      <c r="A54" s="1175" t="s">
        <v>2192</v>
      </c>
      <c r="B54" s="514" t="s">
        <v>2198</v>
      </c>
      <c r="C54" s="672">
        <f>IF(ISBLANK($C$13),"",VLOOKUP($C$13,'Equipment Profiles'!W5:Z24,2,FALSE))</f>
        <v>65</v>
      </c>
      <c r="D54" s="673" t="str">
        <f t="shared" si="0"/>
        <v>qt</v>
      </c>
      <c r="E54" s="665">
        <f>IF($C$2="US Customary",C54/4,"")</f>
        <v>16.25</v>
      </c>
      <c r="F54" s="669" t="str">
        <f>IF($C$2="US Customary","US Gal","")</f>
        <v>US Gal</v>
      </c>
    </row>
    <row r="55" spans="1:10" x14ac:dyDescent="0.25">
      <c r="A55" s="1110"/>
      <c r="B55" s="514" t="s">
        <v>2179</v>
      </c>
      <c r="C55" s="511">
        <f>IF(ISBLANK($C$13),"",VLOOKUP($C$13,'Equipment Profiles'!W5:Z24,3,FALSE))</f>
        <v>0.85</v>
      </c>
      <c r="D55" s="647" t="s">
        <v>102</v>
      </c>
      <c r="E55" s="1179"/>
      <c r="F55" s="1180"/>
    </row>
    <row r="56" spans="1:10" ht="13.8" thickBot="1" x14ac:dyDescent="0.3">
      <c r="A56" s="1176"/>
      <c r="B56" s="559" t="s">
        <v>2193</v>
      </c>
      <c r="C56" s="560">
        <f>IF(ISBLANK($C$13),"",VLOOKUP($C$13,'Equipment Profiles'!W6:Z25,4,FALSE))</f>
        <v>5</v>
      </c>
      <c r="D56" s="659" t="str">
        <f t="shared" si="0"/>
        <v>qt</v>
      </c>
      <c r="E56" s="660">
        <f>IF($C$2="US Customary",C56/4,"")</f>
        <v>1.25</v>
      </c>
      <c r="F56" s="661" t="str">
        <f>IF($C$2="US Customary","US Gal","")</f>
        <v>US Gal</v>
      </c>
    </row>
    <row r="57" spans="1:10" ht="14.4" thickTop="1" thickBot="1" x14ac:dyDescent="0.3"/>
    <row r="58" spans="1:10" ht="14.4" thickTop="1" thickBot="1" x14ac:dyDescent="0.3">
      <c r="A58" s="1170" t="s">
        <v>2286</v>
      </c>
      <c r="B58" s="1171"/>
      <c r="C58" s="1171"/>
      <c r="D58" s="1171"/>
      <c r="E58" s="1171"/>
      <c r="F58" s="1172"/>
    </row>
    <row r="59" spans="1:10" ht="13.8" thickTop="1" x14ac:dyDescent="0.25">
      <c r="A59" s="1173" t="s">
        <v>2287</v>
      </c>
      <c r="B59" s="670" t="s">
        <v>100</v>
      </c>
      <c r="C59" s="1100" t="s">
        <v>2283</v>
      </c>
      <c r="D59" s="1100"/>
      <c r="E59" s="1100" t="s">
        <v>2217</v>
      </c>
      <c r="F59" s="1101"/>
    </row>
    <row r="60" spans="1:10" ht="12.75" customHeight="1" thickBot="1" x14ac:dyDescent="0.3">
      <c r="A60" s="1174"/>
      <c r="B60" s="671" t="str">
        <f>C2</f>
        <v>US Customary</v>
      </c>
      <c r="C60" s="1160">
        <f>IF($B$60="US Customary",'Thermal Vol Exp Coef'!$E$29,'Thermal Vol Exp Coef'!$E$30)</f>
        <v>2.0499999999999999E-6</v>
      </c>
      <c r="D60" s="1160"/>
      <c r="E60" s="1160">
        <f>IF($B$60="US Customary",'Thermal Vol Exp Coef'!$G$29,'Thermal Vol Exp Coef'!$G$30)</f>
        <v>-1.596E-5</v>
      </c>
      <c r="F60" s="1167"/>
    </row>
    <row r="61" spans="1:10" ht="12.75" customHeight="1" thickTop="1" thickBot="1" x14ac:dyDescent="0.3">
      <c r="C61" s="522"/>
      <c r="D61" s="522"/>
      <c r="E61" s="522"/>
      <c r="F61" s="522"/>
    </row>
    <row r="62" spans="1:10" ht="13.8" thickTop="1" x14ac:dyDescent="0.25">
      <c r="A62" s="1164" t="s">
        <v>2256</v>
      </c>
      <c r="B62" s="1165"/>
      <c r="C62" s="1165"/>
      <c r="D62" s="1165"/>
      <c r="E62" s="1165"/>
      <c r="F62" s="1166"/>
      <c r="J62"/>
    </row>
    <row r="63" spans="1:10" ht="13.8" thickBot="1" x14ac:dyDescent="0.3">
      <c r="A63" s="1097" t="s">
        <v>113</v>
      </c>
      <c r="B63" s="1098"/>
      <c r="C63" s="703" t="s">
        <v>101</v>
      </c>
      <c r="D63" s="703" t="s">
        <v>100</v>
      </c>
      <c r="E63" s="703" t="s">
        <v>101</v>
      </c>
      <c r="F63" s="704" t="s">
        <v>100</v>
      </c>
      <c r="J63"/>
    </row>
    <row r="64" spans="1:10" ht="13.8" thickTop="1" x14ac:dyDescent="0.25">
      <c r="A64" s="1088" t="s">
        <v>2288</v>
      </c>
      <c r="B64" s="1089"/>
      <c r="C64" s="1089"/>
      <c r="D64" s="1089"/>
      <c r="E64" s="1089"/>
      <c r="F64" s="1090"/>
      <c r="J64"/>
    </row>
    <row r="65" spans="1:10" x14ac:dyDescent="0.25">
      <c r="A65" s="709" t="str">
        <f>CONCATENATE("@ ",$C$19," ",$C$4)</f>
        <v>@ 75 °F</v>
      </c>
      <c r="B65" s="710" t="s">
        <v>2289</v>
      </c>
      <c r="C65" s="689">
        <f>$C$18</f>
        <v>20</v>
      </c>
      <c r="D65" s="690" t="str">
        <f t="shared" ref="D65:D79" si="1">$C$5</f>
        <v>qt</v>
      </c>
      <c r="E65" s="691">
        <f t="shared" ref="E65" si="2">IF($C$2="US Customary",C65/4,"")</f>
        <v>5</v>
      </c>
      <c r="F65" s="664" t="str">
        <f t="shared" ref="F65:F80" si="3">IF($C$2="US Customary","US Gal","")</f>
        <v>US Gal</v>
      </c>
      <c r="J65"/>
    </row>
    <row r="66" spans="1:10" x14ac:dyDescent="0.25">
      <c r="A66" s="680" t="str">
        <f>CONCATENATE($C$31," to ",$C$19," ",$C$4)</f>
        <v>75 to 75 °F</v>
      </c>
      <c r="B66" s="679" t="s">
        <v>2233</v>
      </c>
      <c r="C66" s="681">
        <f>C65*(C31-C19)*($C$60*AVERAGE($C$31,$C$19)+$E$60)</f>
        <v>0</v>
      </c>
      <c r="D66" s="682" t="str">
        <f t="shared" si="1"/>
        <v>qt</v>
      </c>
      <c r="E66" s="683">
        <f t="shared" ref="E66" si="4">IF($C$2="US Customary",C66/4,"")</f>
        <v>0</v>
      </c>
      <c r="F66" s="684" t="str">
        <f t="shared" si="3"/>
        <v>US Gal</v>
      </c>
      <c r="J66"/>
    </row>
    <row r="67" spans="1:10" ht="13.8" thickBot="1" x14ac:dyDescent="0.3">
      <c r="A67" s="678" t="str">
        <f>CONCATENATE("@ ",C31," ",C4)</f>
        <v>@ 75 °F</v>
      </c>
      <c r="B67" s="663" t="s">
        <v>2290</v>
      </c>
      <c r="C67" s="685">
        <f>C65+C66</f>
        <v>20</v>
      </c>
      <c r="D67" s="686" t="str">
        <f t="shared" si="1"/>
        <v>qt</v>
      </c>
      <c r="E67" s="687">
        <f t="shared" ref="E67" si="5">IF($C$2="US Customary",C67/4,"")</f>
        <v>5</v>
      </c>
      <c r="F67" s="688" t="str">
        <f t="shared" si="3"/>
        <v>US Gal</v>
      </c>
      <c r="J67"/>
    </row>
    <row r="68" spans="1:10" ht="13.8" thickTop="1" x14ac:dyDescent="0.25">
      <c r="A68" s="1093" t="s">
        <v>2192</v>
      </c>
      <c r="B68" s="1094"/>
      <c r="C68" s="1094"/>
      <c r="D68" s="1094"/>
      <c r="E68" s="1094"/>
      <c r="F68" s="1095"/>
      <c r="J68"/>
    </row>
    <row r="69" spans="1:10" x14ac:dyDescent="0.25">
      <c r="A69" s="1161" t="str">
        <f>CONCATENATE("@ ",C31," ",C4)</f>
        <v>@ 75 °F</v>
      </c>
      <c r="B69" s="562" t="s">
        <v>2224</v>
      </c>
      <c r="C69" s="689">
        <f>$C$56</f>
        <v>5</v>
      </c>
      <c r="D69" s="690" t="str">
        <f t="shared" si="1"/>
        <v>qt</v>
      </c>
      <c r="E69" s="691">
        <f t="shared" ref="E69" si="6">IF($C$2="US Customary",C69/4,"")</f>
        <v>1.25</v>
      </c>
      <c r="F69" s="664" t="str">
        <f t="shared" si="3"/>
        <v>US Gal</v>
      </c>
      <c r="J69"/>
    </row>
    <row r="70" spans="1:10" ht="13.8" thickBot="1" x14ac:dyDescent="0.3">
      <c r="A70" s="1163"/>
      <c r="B70" s="562" t="s">
        <v>1100</v>
      </c>
      <c r="C70" s="692">
        <f>C67+C69</f>
        <v>25</v>
      </c>
      <c r="D70" s="692" t="str">
        <f t="shared" si="1"/>
        <v>qt</v>
      </c>
      <c r="E70" s="692">
        <f>IF($C$2="US Customary",C70/4,"")</f>
        <v>6.25</v>
      </c>
      <c r="F70" s="693" t="str">
        <f t="shared" si="3"/>
        <v>US Gal</v>
      </c>
      <c r="J70"/>
    </row>
    <row r="71" spans="1:10" ht="13.8" thickTop="1" x14ac:dyDescent="0.25">
      <c r="A71" s="1088" t="s">
        <v>1226</v>
      </c>
      <c r="B71" s="1089"/>
      <c r="C71" s="1089"/>
      <c r="D71" s="1089"/>
      <c r="E71" s="1089"/>
      <c r="F71" s="1090"/>
      <c r="J71"/>
    </row>
    <row r="72" spans="1:10" x14ac:dyDescent="0.25">
      <c r="A72" s="1161" t="str">
        <f>CONCATENATE("@ ",C31," ",C4)</f>
        <v>@ 75 °F</v>
      </c>
      <c r="B72" s="545" t="s">
        <v>2226</v>
      </c>
      <c r="C72" s="581">
        <f>$C$29*'Hop Calcs'!$G$20</f>
        <v>0.44999999999999996</v>
      </c>
      <c r="D72" s="694" t="str">
        <f t="shared" si="1"/>
        <v>qt</v>
      </c>
      <c r="E72" s="635">
        <f>IF($C$2="US Customary",C72/4,"")</f>
        <v>0.11249999999999999</v>
      </c>
      <c r="F72" s="636" t="str">
        <f t="shared" si="3"/>
        <v>US Gal</v>
      </c>
      <c r="J72"/>
    </row>
    <row r="73" spans="1:10" ht="12.75" customHeight="1" x14ac:dyDescent="0.25">
      <c r="A73" s="1162"/>
      <c r="B73" s="545" t="s">
        <v>2224</v>
      </c>
      <c r="C73" s="581">
        <f>IF($C$30="Removed",$C$50,IF($C$50-$C$72&lt;0,0,$C$50-$C$72))</f>
        <v>1.05</v>
      </c>
      <c r="D73" s="694" t="str">
        <f t="shared" ref="D73:D80" si="7">$C$5</f>
        <v>qt</v>
      </c>
      <c r="E73" s="635">
        <f t="shared" ref="E73" si="8">IF($C$2="US Customary",C73/4,"")</f>
        <v>0.26250000000000001</v>
      </c>
      <c r="F73" s="636" t="str">
        <f t="shared" si="3"/>
        <v>US Gal</v>
      </c>
      <c r="J73"/>
    </row>
    <row r="74" spans="1:10" x14ac:dyDescent="0.25">
      <c r="A74" s="1163"/>
      <c r="B74" s="545" t="s">
        <v>2227</v>
      </c>
      <c r="C74" s="581">
        <f>C70+C72+C73</f>
        <v>26.5</v>
      </c>
      <c r="D74" s="694" t="str">
        <f t="shared" si="7"/>
        <v>qt</v>
      </c>
      <c r="E74" s="635">
        <f t="shared" ref="E74" si="9">IF($C$2="US Customary",C74/4,"")</f>
        <v>6.625</v>
      </c>
      <c r="F74" s="636" t="str">
        <f t="shared" si="3"/>
        <v>US Gal</v>
      </c>
      <c r="J74"/>
    </row>
    <row r="75" spans="1:10" x14ac:dyDescent="0.25">
      <c r="A75" s="695" t="str">
        <f>CONCATENATE(C21," to ",C31," ",,C4)</f>
        <v>210.6 to 75 °F</v>
      </c>
      <c r="B75" s="696" t="s">
        <v>2233</v>
      </c>
      <c r="C75" s="581">
        <f>$C$74*($C$21-$C$31)*($C$60*AVERAGE($C$21,$C$31)+$E$60)</f>
        <v>0.99458125199999992</v>
      </c>
      <c r="D75" s="694" t="str">
        <f t="shared" si="7"/>
        <v>qt</v>
      </c>
      <c r="E75" s="635">
        <f t="shared" ref="E75:E79" si="10">IF($C$2="US Customary",C75/4,"")</f>
        <v>0.24864531299999998</v>
      </c>
      <c r="F75" s="636" t="str">
        <f t="shared" si="3"/>
        <v>US Gal</v>
      </c>
      <c r="J75"/>
    </row>
    <row r="76" spans="1:10" x14ac:dyDescent="0.25">
      <c r="A76" s="1161" t="str">
        <f>CONCATENATE("@ ",C21," ",C4)</f>
        <v>@ 210.6 °F</v>
      </c>
      <c r="B76" s="545" t="s">
        <v>2227</v>
      </c>
      <c r="C76" s="581">
        <f>$C$74+$C$75</f>
        <v>27.494581252</v>
      </c>
      <c r="D76" s="694" t="str">
        <f t="shared" si="7"/>
        <v>qt</v>
      </c>
      <c r="E76" s="635">
        <f t="shared" si="10"/>
        <v>6.8736453129999999</v>
      </c>
      <c r="F76" s="636" t="str">
        <f t="shared" si="3"/>
        <v>US Gal</v>
      </c>
      <c r="J76"/>
    </row>
    <row r="77" spans="1:10" x14ac:dyDescent="0.25">
      <c r="A77" s="1162"/>
      <c r="B77" s="545" t="s">
        <v>2235</v>
      </c>
      <c r="C77" s="697">
        <f>$C$28/60*$C$51</f>
        <v>8.1000000000000014</v>
      </c>
      <c r="D77" s="694" t="str">
        <f t="shared" si="1"/>
        <v>qt</v>
      </c>
      <c r="E77" s="635">
        <f t="shared" si="10"/>
        <v>2.0250000000000004</v>
      </c>
      <c r="F77" s="636" t="str">
        <f t="shared" si="3"/>
        <v>US Gal</v>
      </c>
      <c r="J77"/>
    </row>
    <row r="78" spans="1:10" x14ac:dyDescent="0.25">
      <c r="A78" s="1163"/>
      <c r="B78" s="545" t="s">
        <v>2170</v>
      </c>
      <c r="C78" s="697">
        <f>$C$76+$C$77</f>
        <v>35.594581251999998</v>
      </c>
      <c r="D78" s="694" t="str">
        <f t="shared" si="1"/>
        <v>qt</v>
      </c>
      <c r="E78" s="635">
        <f t="shared" si="10"/>
        <v>8.8986453129999994</v>
      </c>
      <c r="F78" s="636" t="str">
        <f t="shared" si="3"/>
        <v>US Gal</v>
      </c>
      <c r="J78"/>
    </row>
    <row r="79" spans="1:10" x14ac:dyDescent="0.25">
      <c r="A79" s="698" t="str">
        <f>CONCATENATE($C$24," to ",$C$21," ",$C$4)</f>
        <v>172 to 210.6 °F</v>
      </c>
      <c r="B79" s="545" t="s">
        <v>2234</v>
      </c>
      <c r="C79" s="699">
        <f>$C$78*($C$21-$C$24)*($C$60*AVERAGE($C$21,$C$24)+$E$60)</f>
        <v>0.51688717438047416</v>
      </c>
      <c r="D79" s="694" t="str">
        <f t="shared" si="1"/>
        <v>qt</v>
      </c>
      <c r="E79" s="635">
        <f t="shared" si="10"/>
        <v>0.12922179359511854</v>
      </c>
      <c r="F79" s="636" t="str">
        <f t="shared" si="3"/>
        <v>US Gal</v>
      </c>
      <c r="J79"/>
    </row>
    <row r="80" spans="1:10" ht="13.8" thickBot="1" x14ac:dyDescent="0.3">
      <c r="A80" s="1084" t="str">
        <f>CONCATENATE("Pre-Boil Volume @ ",C24," ",C4)</f>
        <v>Pre-Boil Volume @ 172 °F</v>
      </c>
      <c r="B80" s="1085"/>
      <c r="C80" s="692">
        <f>$C$78-$C$79</f>
        <v>35.077694077619526</v>
      </c>
      <c r="D80" s="700" t="str">
        <f t="shared" si="7"/>
        <v>qt</v>
      </c>
      <c r="E80" s="701">
        <f t="shared" ref="E80" si="11">IF($C$2="US Customary",C80/4,"")</f>
        <v>8.7694235194048815</v>
      </c>
      <c r="F80" s="702" t="str">
        <f t="shared" si="3"/>
        <v>US Gal</v>
      </c>
      <c r="J80"/>
    </row>
    <row r="81" spans="1:13" ht="13.8" thickTop="1" x14ac:dyDescent="0.25">
      <c r="A81" s="1088" t="s">
        <v>1563</v>
      </c>
      <c r="B81" s="1089"/>
      <c r="C81" s="1089"/>
      <c r="D81" s="1089"/>
      <c r="E81" s="1089"/>
      <c r="F81" s="1090"/>
      <c r="J81"/>
    </row>
    <row r="82" spans="1:13" x14ac:dyDescent="0.25">
      <c r="A82" s="1056" t="s">
        <v>2292</v>
      </c>
      <c r="B82" s="562" t="s">
        <v>123</v>
      </c>
      <c r="C82" s="705">
        <f>'Grain &amp; Sugar Calcs'!$C$15</f>
        <v>22.5</v>
      </c>
      <c r="D82" s="634" t="str">
        <f>'Grain &amp; Sugar Calcs'!C4</f>
        <v>lb</v>
      </c>
      <c r="E82" s="1106"/>
      <c r="F82" s="1107"/>
      <c r="J82"/>
      <c r="M82" s="20"/>
    </row>
    <row r="83" spans="1:13" x14ac:dyDescent="0.25">
      <c r="A83" s="1096"/>
      <c r="B83" s="562" t="s">
        <v>2291</v>
      </c>
      <c r="C83" s="581">
        <f>IF($D$83="qt",0.3125*$C$82,IF($D$83="Liters",0.652*$C$82,""))</f>
        <v>7.03125</v>
      </c>
      <c r="D83" s="632" t="str">
        <f>'Brewhouse Setup &amp; Calcs'!$C$5</f>
        <v>qt</v>
      </c>
      <c r="E83" s="635">
        <f>IF($C$2="US Customary",C83/4,"")</f>
        <v>1.7578125</v>
      </c>
      <c r="F83" s="636" t="str">
        <f>IF($C$2="US Customary","US Gal","")</f>
        <v>US Gal</v>
      </c>
      <c r="J83"/>
    </row>
    <row r="84" spans="1:13" x14ac:dyDescent="0.25">
      <c r="A84" s="1155" t="str">
        <f>CONCATENATE("@ ",$C$24," ",$C$4)</f>
        <v>@ 172 °F</v>
      </c>
      <c r="B84" s="712" t="s">
        <v>2239</v>
      </c>
      <c r="C84" s="707">
        <f>$C$44*$C$82</f>
        <v>8.5500000000000007</v>
      </c>
      <c r="D84" s="633" t="str">
        <f>'Brewhouse Setup &amp; Calcs'!$C$5</f>
        <v>qt</v>
      </c>
      <c r="E84" s="691">
        <f>IF($C$2="US Customary",C84/4,"")</f>
        <v>2.1375000000000002</v>
      </c>
      <c r="F84" s="664" t="str">
        <f>IF($C$2="US Customary","US Gal","")</f>
        <v>US Gal</v>
      </c>
      <c r="J84"/>
    </row>
    <row r="85" spans="1:13" x14ac:dyDescent="0.25">
      <c r="A85" s="1156"/>
      <c r="B85" s="712" t="s">
        <v>2240</v>
      </c>
      <c r="C85" s="708">
        <f>$C$43</f>
        <v>0.5</v>
      </c>
      <c r="D85" s="633" t="str">
        <f>'Brewhouse Setup &amp; Calcs'!$C$5</f>
        <v>qt</v>
      </c>
      <c r="E85" s="691">
        <f>IF($C$2="US Customary",C85/4,"")</f>
        <v>0.125</v>
      </c>
      <c r="F85" s="664" t="str">
        <f>IF($C$2="US Customary","US Gal","")</f>
        <v>US Gal</v>
      </c>
      <c r="J85"/>
    </row>
    <row r="86" spans="1:13" ht="13.8" thickBot="1" x14ac:dyDescent="0.3">
      <c r="A86" s="1156"/>
      <c r="B86" s="712" t="s">
        <v>103</v>
      </c>
      <c r="C86" s="699">
        <f>IF($C$26="OFF",$C$27,"0")</f>
        <v>0.8</v>
      </c>
      <c r="D86" s="632" t="str">
        <f>'Brewhouse Setup &amp; Calcs'!$C$5</f>
        <v>qt</v>
      </c>
      <c r="E86" s="635">
        <f t="shared" ref="E86" si="12">IF($C$2="US Customary",C86/4,"")</f>
        <v>0.2</v>
      </c>
      <c r="F86" s="636" t="str">
        <f t="shared" ref="F86:F92" si="13">IF($C$2="US Customary","US Gal","")</f>
        <v>US Gal</v>
      </c>
      <c r="J86"/>
    </row>
    <row r="87" spans="1:13" ht="13.8" thickBot="1" x14ac:dyDescent="0.3">
      <c r="A87" s="1157"/>
      <c r="B87" s="804" t="s">
        <v>2296</v>
      </c>
      <c r="C87" s="805">
        <f>$C$80+$C$84+$C$85+$C$86</f>
        <v>44.92769407761952</v>
      </c>
      <c r="D87" s="784" t="str">
        <f>'Brewhouse Setup &amp; Calcs'!$C$5</f>
        <v>qt</v>
      </c>
      <c r="E87" s="635">
        <f t="shared" ref="E87" si="14">IF($C$2="US Customary",C87/4,"")</f>
        <v>11.23192351940488</v>
      </c>
      <c r="F87" s="636" t="str">
        <f t="shared" si="13"/>
        <v>US Gal</v>
      </c>
      <c r="J87"/>
    </row>
    <row r="88" spans="1:13" x14ac:dyDescent="0.25">
      <c r="A88" s="1158" t="str">
        <f>CONCATENATE("Total Water Req'd @ ",$C$20," ",$C$4)</f>
        <v>Total Water Req'd @ 68 °F</v>
      </c>
      <c r="B88" s="1159"/>
      <c r="C88" s="642">
        <f>$C$87-$C$87*($C$24-$C$20)*($C$60*AVERAGE($C$24,$C$20)+$E$60)</f>
        <v>43.852836736075496</v>
      </c>
      <c r="D88" s="632" t="str">
        <f>'Brewhouse Setup &amp; Calcs'!$C$5</f>
        <v>qt</v>
      </c>
      <c r="E88" s="635">
        <f t="shared" ref="E88" si="15">IF($C$2="US Customary",C88/4,"")</f>
        <v>10.963209184018874</v>
      </c>
      <c r="F88" s="636" t="str">
        <f t="shared" si="13"/>
        <v>US Gal</v>
      </c>
      <c r="J88"/>
    </row>
    <row r="89" spans="1:13" x14ac:dyDescent="0.25">
      <c r="A89" s="1080" t="s">
        <v>2344</v>
      </c>
      <c r="B89" s="562" t="s">
        <v>1100</v>
      </c>
      <c r="C89" s="581">
        <f>$L$31</f>
        <v>19.6875</v>
      </c>
      <c r="D89" s="632" t="str">
        <f>'Brewhouse Setup &amp; Calcs'!$C$5</f>
        <v>qt</v>
      </c>
      <c r="E89" s="635">
        <f>IF($C$2="US Customary",C89/4,"")</f>
        <v>4.921875</v>
      </c>
      <c r="F89" s="636" t="str">
        <f>IF($C$2="US Customary","US Gal","")</f>
        <v>US Gal</v>
      </c>
      <c r="H89" s="20"/>
      <c r="J89"/>
    </row>
    <row r="90" spans="1:13" x14ac:dyDescent="0.25">
      <c r="A90" s="1080"/>
      <c r="B90" s="542" t="s">
        <v>1099</v>
      </c>
      <c r="C90" s="581">
        <f>$I$31</f>
        <v>172</v>
      </c>
      <c r="D90" s="634" t="str">
        <f>'Brewhouse Setup &amp; Calcs'!$C$4</f>
        <v>°F</v>
      </c>
      <c r="E90" s="1106"/>
      <c r="F90" s="1107"/>
      <c r="H90" s="20"/>
      <c r="J90"/>
    </row>
    <row r="91" spans="1:13" x14ac:dyDescent="0.25">
      <c r="A91" s="711" t="s">
        <v>2301</v>
      </c>
      <c r="B91" s="562" t="s">
        <v>2302</v>
      </c>
      <c r="C91" s="689">
        <f>($C$89+$C$83)</f>
        <v>26.71875</v>
      </c>
      <c r="D91" s="632" t="str">
        <f>'Brewhouse Setup &amp; Calcs'!$C$5</f>
        <v>qt</v>
      </c>
      <c r="E91" s="635">
        <f>IF($C$2="US Customary",C91/4,"")</f>
        <v>6.6796875</v>
      </c>
      <c r="F91" s="636" t="str">
        <f>IF($C$2="US Customary","US Gal","")</f>
        <v>US Gal</v>
      </c>
      <c r="J91"/>
    </row>
    <row r="92" spans="1:13" ht="12.75" customHeight="1" thickBot="1" x14ac:dyDescent="0.3">
      <c r="A92" s="713" t="s">
        <v>2300</v>
      </c>
      <c r="B92" s="712" t="s">
        <v>2303</v>
      </c>
      <c r="C92" s="581">
        <f>$C$91-$C$86</f>
        <v>25.918749999999999</v>
      </c>
      <c r="D92" s="706" t="str">
        <f>'Brewhouse Setup &amp; Calcs'!$C$5</f>
        <v>qt</v>
      </c>
      <c r="E92" s="635">
        <f>IF($C$2="US Customary",C92/4,"")</f>
        <v>6.4796874999999998</v>
      </c>
      <c r="F92" s="636" t="str">
        <f t="shared" si="13"/>
        <v>US Gal</v>
      </c>
      <c r="J92"/>
    </row>
    <row r="93" spans="1:13" ht="13.8" thickTop="1" x14ac:dyDescent="0.25">
      <c r="A93" s="1088" t="s">
        <v>1564</v>
      </c>
      <c r="B93" s="1089"/>
      <c r="C93" s="1089"/>
      <c r="D93" s="1089"/>
      <c r="E93" s="1089"/>
      <c r="F93" s="1090"/>
      <c r="J93"/>
    </row>
    <row r="94" spans="1:13" x14ac:dyDescent="0.25">
      <c r="A94" s="1081" t="str">
        <f>CONCATENATE("Collectible Wort in Mash @ ",$C$24," ",$C$4)</f>
        <v>Collectible Wort in Mash @ 172 °F</v>
      </c>
      <c r="B94" s="1082"/>
      <c r="C94" s="708">
        <f>$C$89-$C$84-$C$85-$C$86</f>
        <v>9.8374999999999986</v>
      </c>
      <c r="D94" s="632" t="str">
        <f>'Brewhouse Setup &amp; Calcs'!$C$5</f>
        <v>qt</v>
      </c>
      <c r="E94" s="635">
        <f>IF($C$2="US Customary",C94/4,"")</f>
        <v>2.4593749999999996</v>
      </c>
      <c r="F94" s="636" t="str">
        <f>IF($C$2="US Customary","US Gal","")</f>
        <v>US Gal</v>
      </c>
      <c r="J94"/>
    </row>
    <row r="95" spans="1:13" x14ac:dyDescent="0.25">
      <c r="A95" s="695" t="str">
        <f>CONCATENATE($C$24," ",$C$4)</f>
        <v>172 °F</v>
      </c>
      <c r="B95" s="562" t="s">
        <v>2245</v>
      </c>
      <c r="C95" s="581">
        <f>$C$87-$C$89</f>
        <v>25.24019407761952</v>
      </c>
      <c r="D95" s="632" t="str">
        <f>'Brewhouse Setup &amp; Calcs'!$C$5</f>
        <v>qt</v>
      </c>
      <c r="E95" s="635">
        <f>IF($C$2="US Customary",C95/4,"")</f>
        <v>6.3100485194048801</v>
      </c>
      <c r="F95" s="636" t="str">
        <f>IF($C$2="US Customary","US Gal","")</f>
        <v>US Gal</v>
      </c>
      <c r="J95"/>
    </row>
    <row r="96" spans="1:13" x14ac:dyDescent="0.25">
      <c r="A96" s="1091" t="s">
        <v>2304</v>
      </c>
      <c r="B96" s="562" t="s">
        <v>2345</v>
      </c>
      <c r="C96" s="689">
        <f>$C$41*$C$42-$C$92</f>
        <v>28.081250000000001</v>
      </c>
      <c r="D96" s="633" t="str">
        <f>'Brewhouse Setup &amp; Calcs'!$C$5</f>
        <v>qt</v>
      </c>
      <c r="E96" s="635">
        <f>IF($C$2="US Customary",C96/4,"")</f>
        <v>7.0203125000000002</v>
      </c>
      <c r="F96" s="636" t="str">
        <f>IF($C$2="US Customary","US Gal","")</f>
        <v>US Gal</v>
      </c>
      <c r="J96"/>
    </row>
    <row r="97" spans="1:10" x14ac:dyDescent="0.25">
      <c r="A97" s="1092"/>
      <c r="B97" s="562" t="s">
        <v>2346</v>
      </c>
      <c r="C97" s="689">
        <f>$C$41*$C$42-$C$83-$C$84-$C$85-$C$86</f>
        <v>37.118750000000006</v>
      </c>
      <c r="D97" s="633" t="str">
        <f>'Brewhouse Setup &amp; Calcs'!$C$5</f>
        <v>qt</v>
      </c>
      <c r="E97" s="635">
        <f>IF($C$2="US Customary",C97/4,"")</f>
        <v>9.2796875000000014</v>
      </c>
      <c r="F97" s="636" t="str">
        <f>IF($C$2="US Customary","US Gal","")</f>
        <v>US Gal</v>
      </c>
      <c r="J97"/>
    </row>
    <row r="98" spans="1:10" x14ac:dyDescent="0.25">
      <c r="A98" s="1058" t="s">
        <v>2305</v>
      </c>
      <c r="B98" s="1059"/>
      <c r="C98" s="581">
        <f>$C$80/$C$97</f>
        <v>0.94501280559338663</v>
      </c>
      <c r="D98" s="1069"/>
      <c r="E98" s="1076"/>
      <c r="F98" s="1070"/>
      <c r="J98"/>
    </row>
    <row r="99" spans="1:10" x14ac:dyDescent="0.25">
      <c r="A99" s="1083" t="s">
        <v>108</v>
      </c>
      <c r="B99" s="1059"/>
      <c r="C99" s="581">
        <f>ROUNDUP($C$98,0)</f>
        <v>1</v>
      </c>
      <c r="D99" s="1077"/>
      <c r="E99" s="1078"/>
      <c r="F99" s="1079"/>
      <c r="J99"/>
    </row>
    <row r="100" spans="1:10" x14ac:dyDescent="0.25">
      <c r="A100" s="1058" t="s">
        <v>1223</v>
      </c>
      <c r="B100" s="1099"/>
      <c r="C100" s="581">
        <f>C80/C99</f>
        <v>35.077694077619526</v>
      </c>
      <c r="D100" s="632" t="str">
        <f>'Brewhouse Setup &amp; Calcs'!$C$5</f>
        <v>qt</v>
      </c>
      <c r="E100" s="635">
        <f>IF($C$2="US Customary",C100/4,"")</f>
        <v>8.7694235194048815</v>
      </c>
      <c r="F100" s="636" t="str">
        <f t="shared" ref="F100:F104" si="16">IF($C$2="US Customary","US Gal","")</f>
        <v>US Gal</v>
      </c>
      <c r="J100"/>
    </row>
    <row r="101" spans="1:10" x14ac:dyDescent="0.25">
      <c r="A101" s="1056" t="s">
        <v>2293</v>
      </c>
      <c r="B101" s="562" t="s">
        <v>2306</v>
      </c>
      <c r="C101" s="581">
        <f>IF($C$100&gt;=$C$94,$C$100-$C$94,0)</f>
        <v>25.240194077619527</v>
      </c>
      <c r="D101" s="632" t="str">
        <f>'Brewhouse Setup &amp; Calcs'!$C$5</f>
        <v>qt</v>
      </c>
      <c r="E101" s="635">
        <f>IF($C$2="US Customary",C101/4,"")</f>
        <v>6.3100485194048819</v>
      </c>
      <c r="F101" s="636" t="str">
        <f t="shared" si="16"/>
        <v>US Gal</v>
      </c>
      <c r="J101"/>
    </row>
    <row r="102" spans="1:10" x14ac:dyDescent="0.25">
      <c r="A102" s="1057"/>
      <c r="B102" s="562" t="s">
        <v>2294</v>
      </c>
      <c r="C102" s="708">
        <f>$C$94+$C$101</f>
        <v>35.077694077619526</v>
      </c>
      <c r="D102" s="632" t="str">
        <f>'Brewhouse Setup &amp; Calcs'!$C$5</f>
        <v>qt</v>
      </c>
      <c r="E102" s="635">
        <f>IF($C$2="US Customary",C102/4,"")</f>
        <v>8.7694235194048815</v>
      </c>
      <c r="F102" s="636" t="str">
        <f t="shared" si="16"/>
        <v>US Gal</v>
      </c>
      <c r="J102"/>
    </row>
    <row r="103" spans="1:10" x14ac:dyDescent="0.25">
      <c r="A103" s="1057"/>
      <c r="B103" s="542" t="s">
        <v>2295</v>
      </c>
      <c r="C103" s="699">
        <f>IF($C$99=2,$C$80-$C$102,0)</f>
        <v>0</v>
      </c>
      <c r="D103" s="634" t="str">
        <f>'Brewhouse Setup &amp; Calcs'!$C$5</f>
        <v>qt</v>
      </c>
      <c r="E103" s="637">
        <f>IF($C$2="US Customary",C103/4,"")</f>
        <v>0</v>
      </c>
      <c r="F103" s="638" t="str">
        <f t="shared" si="16"/>
        <v>US Gal</v>
      </c>
      <c r="J103"/>
    </row>
    <row r="104" spans="1:10" ht="13.2" customHeight="1" thickBot="1" x14ac:dyDescent="0.3">
      <c r="A104" s="1084" t="str">
        <f>CONCATENATE("Pre-Boil Volume @ ",C24," ",C4)</f>
        <v>Pre-Boil Volume @ 172 °F</v>
      </c>
      <c r="B104" s="1085"/>
      <c r="C104" s="714">
        <f>$C$102+$C$103</f>
        <v>35.077694077619526</v>
      </c>
      <c r="D104" s="671" t="str">
        <f>'Brewhouse Setup &amp; Calcs'!$C$5</f>
        <v>qt</v>
      </c>
      <c r="E104" s="701">
        <f t="shared" ref="E104" si="17">IF($C$2="US Customary",C104/4,"")</f>
        <v>8.7694235194048815</v>
      </c>
      <c r="F104" s="702" t="str">
        <f t="shared" si="16"/>
        <v>US Gal</v>
      </c>
      <c r="J104"/>
    </row>
    <row r="105" spans="1:10" ht="13.8" thickTop="1" x14ac:dyDescent="0.25">
      <c r="J105"/>
    </row>
    <row r="106" spans="1:10" x14ac:dyDescent="0.25">
      <c r="J106"/>
    </row>
    <row r="107" spans="1:10" x14ac:dyDescent="0.25">
      <c r="J107"/>
    </row>
    <row r="108" spans="1:10" x14ac:dyDescent="0.25">
      <c r="J108"/>
    </row>
    <row r="109" spans="1:10" ht="12.75" customHeight="1" x14ac:dyDescent="0.25">
      <c r="J109"/>
    </row>
    <row r="110" spans="1:10" ht="12.75" customHeight="1" x14ac:dyDescent="0.25">
      <c r="C110"/>
      <c r="D110"/>
      <c r="E110"/>
      <c r="F110"/>
      <c r="J110"/>
    </row>
    <row r="111" spans="1:10" ht="12.75" customHeight="1" x14ac:dyDescent="0.25">
      <c r="C111"/>
      <c r="D111"/>
      <c r="E111"/>
      <c r="F111"/>
      <c r="J111"/>
    </row>
    <row r="112" spans="1:10" ht="12.75" customHeight="1" x14ac:dyDescent="0.25">
      <c r="C112"/>
      <c r="D112"/>
      <c r="E112"/>
      <c r="F112"/>
      <c r="J112"/>
    </row>
    <row r="113" spans="3:10" ht="12.75" customHeight="1" x14ac:dyDescent="0.25">
      <c r="C113"/>
      <c r="D113"/>
      <c r="E113"/>
      <c r="F113"/>
      <c r="J113"/>
    </row>
    <row r="114" spans="3:10" ht="12.75" customHeight="1" x14ac:dyDescent="0.25">
      <c r="C114"/>
      <c r="D114"/>
      <c r="E114"/>
      <c r="F114"/>
      <c r="J114"/>
    </row>
    <row r="115" spans="3:10" ht="12.75" customHeight="1" x14ac:dyDescent="0.25">
      <c r="C115"/>
      <c r="D115"/>
      <c r="E115"/>
      <c r="F115"/>
      <c r="J115"/>
    </row>
    <row r="116" spans="3:10" ht="12.75" customHeight="1" x14ac:dyDescent="0.25">
      <c r="C116"/>
      <c r="D116"/>
      <c r="E116"/>
      <c r="F116"/>
      <c r="J116"/>
    </row>
    <row r="117" spans="3:10" x14ac:dyDescent="0.25">
      <c r="C117"/>
      <c r="D117"/>
      <c r="E117"/>
      <c r="F117"/>
      <c r="J117"/>
    </row>
    <row r="118" spans="3:10" x14ac:dyDescent="0.25">
      <c r="C118"/>
      <c r="D118"/>
      <c r="E118"/>
      <c r="F118"/>
      <c r="J118"/>
    </row>
    <row r="119" spans="3:10" x14ac:dyDescent="0.25">
      <c r="C119"/>
      <c r="D119"/>
      <c r="E119"/>
      <c r="F119"/>
      <c r="J119"/>
    </row>
    <row r="120" spans="3:10" x14ac:dyDescent="0.25">
      <c r="C120"/>
      <c r="D120"/>
      <c r="E120"/>
      <c r="F120"/>
      <c r="J120"/>
    </row>
    <row r="121" spans="3:10" x14ac:dyDescent="0.25">
      <c r="J121"/>
    </row>
    <row r="128" spans="3:10" x14ac:dyDescent="0.25">
      <c r="C128" s="464"/>
    </row>
    <row r="130" spans="3:6" x14ac:dyDescent="0.25">
      <c r="C130"/>
      <c r="D130"/>
      <c r="E130"/>
      <c r="F130"/>
    </row>
    <row r="131" spans="3:6" x14ac:dyDescent="0.25">
      <c r="C131"/>
      <c r="D131"/>
      <c r="E131"/>
      <c r="F131"/>
    </row>
    <row r="132" spans="3:6" x14ac:dyDescent="0.25">
      <c r="C132"/>
      <c r="D132"/>
      <c r="E132"/>
      <c r="F132"/>
    </row>
    <row r="133" spans="3:6" x14ac:dyDescent="0.25">
      <c r="C133"/>
      <c r="D133"/>
      <c r="E133"/>
      <c r="F133"/>
    </row>
    <row r="134" spans="3:6" x14ac:dyDescent="0.25">
      <c r="C134"/>
      <c r="D134"/>
      <c r="E134"/>
      <c r="F134"/>
    </row>
    <row r="135" spans="3:6" x14ac:dyDescent="0.25">
      <c r="C135"/>
      <c r="D135"/>
      <c r="E135"/>
      <c r="F135"/>
    </row>
    <row r="136" spans="3:6" x14ac:dyDescent="0.25">
      <c r="C136"/>
      <c r="D136"/>
      <c r="E136"/>
      <c r="F136"/>
    </row>
  </sheetData>
  <sheetProtection formatCells="0"/>
  <dataConsolidate/>
  <mergeCells count="92">
    <mergeCell ref="N23:N25"/>
    <mergeCell ref="A58:F58"/>
    <mergeCell ref="A59:A60"/>
    <mergeCell ref="A54:A56"/>
    <mergeCell ref="A34:B34"/>
    <mergeCell ref="C34:D34"/>
    <mergeCell ref="E49:F49"/>
    <mergeCell ref="E51:F51"/>
    <mergeCell ref="E52:F52"/>
    <mergeCell ref="A52:A53"/>
    <mergeCell ref="C52:D52"/>
    <mergeCell ref="A48:A51"/>
    <mergeCell ref="E55:F55"/>
    <mergeCell ref="E45:F47"/>
    <mergeCell ref="E42:F42"/>
    <mergeCell ref="A39:F39"/>
    <mergeCell ref="E90:F90"/>
    <mergeCell ref="A84:A87"/>
    <mergeCell ref="A88:B88"/>
    <mergeCell ref="C59:D59"/>
    <mergeCell ref="C60:D60"/>
    <mergeCell ref="A72:A74"/>
    <mergeCell ref="A76:A78"/>
    <mergeCell ref="A69:A70"/>
    <mergeCell ref="A62:F62"/>
    <mergeCell ref="E60:F60"/>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40:B40"/>
    <mergeCell ref="A35:A36"/>
    <mergeCell ref="E19:F22"/>
    <mergeCell ref="A33:D33"/>
    <mergeCell ref="A41:A47"/>
    <mergeCell ref="C30:D30"/>
    <mergeCell ref="A30:A31"/>
    <mergeCell ref="A28:A29"/>
    <mergeCell ref="C45:D45"/>
    <mergeCell ref="A104:B104"/>
    <mergeCell ref="K24:L24"/>
    <mergeCell ref="A81:F81"/>
    <mergeCell ref="A93:F93"/>
    <mergeCell ref="A96:A97"/>
    <mergeCell ref="A80:B80"/>
    <mergeCell ref="A64:F64"/>
    <mergeCell ref="A68:F68"/>
    <mergeCell ref="A71:F71"/>
    <mergeCell ref="A82:A83"/>
    <mergeCell ref="A63:B63"/>
    <mergeCell ref="A100:B100"/>
    <mergeCell ref="E59:F59"/>
    <mergeCell ref="E28:F28"/>
    <mergeCell ref="A37:B37"/>
    <mergeCell ref="E82:F82"/>
    <mergeCell ref="A101:A103"/>
    <mergeCell ref="A98:B98"/>
    <mergeCell ref="K1:N1"/>
    <mergeCell ref="L2:N2"/>
    <mergeCell ref="L3:N3"/>
    <mergeCell ref="L4:N4"/>
    <mergeCell ref="L8:N8"/>
    <mergeCell ref="L5:N5"/>
    <mergeCell ref="L6:N6"/>
    <mergeCell ref="L7:N7"/>
    <mergeCell ref="E24:F27"/>
    <mergeCell ref="D98:F99"/>
    <mergeCell ref="A89:A90"/>
    <mergeCell ref="A94:B94"/>
    <mergeCell ref="A99:B99"/>
    <mergeCell ref="K13:L13"/>
    <mergeCell ref="F4:H4"/>
    <mergeCell ref="F5:H5"/>
    <mergeCell ref="L32:L33"/>
    <mergeCell ref="L35:L36"/>
    <mergeCell ref="H23:L23"/>
    <mergeCell ref="K14:L14"/>
    <mergeCell ref="K11:M11"/>
    <mergeCell ref="K12:L12"/>
    <mergeCell ref="E30:F31"/>
  </mergeCells>
  <conditionalFormatting sqref="M13:M14">
    <cfRule type="cellIs" dxfId="77" priority="52" operator="equal">
      <formula>"PASS"</formula>
    </cfRule>
    <cfRule type="cellIs" dxfId="76" priority="53" operator="equal">
      <formula>"FAIL"</formula>
    </cfRule>
  </conditionalFormatting>
  <conditionalFormatting sqref="M12">
    <cfRule type="cellIs" dxfId="75" priority="50" operator="equal">
      <formula>"PASS"</formula>
    </cfRule>
    <cfRule type="cellIs" dxfId="74" priority="51" operator="equal">
      <formula>"FAIL"</formula>
    </cfRule>
  </conditionalFormatting>
  <conditionalFormatting sqref="C46:C47">
    <cfRule type="expression" dxfId="73" priority="42">
      <formula>AND(IF(C45="Fly",TRUE,FALSE),NOT($C$46&gt;0))</formula>
    </cfRule>
  </conditionalFormatting>
  <conditionalFormatting sqref="C104">
    <cfRule type="expression" dxfId="72" priority="30">
      <formula>$C$104=$C$80</formula>
    </cfRule>
    <cfRule type="expression" dxfId="71" priority="31">
      <formula>NOT($C$104=$C$80)</formula>
    </cfRule>
  </conditionalFormatting>
  <conditionalFormatting sqref="K26">
    <cfRule type="cellIs" dxfId="70" priority="21" operator="greaterThan">
      <formula>$C$21</formula>
    </cfRule>
  </conditionalFormatting>
  <conditionalFormatting sqref="I31">
    <cfRule type="expression" dxfId="69" priority="14">
      <formula>IF($C$24=$I$31,FALSE,TRUE)</formula>
    </cfRule>
  </conditionalFormatting>
  <conditionalFormatting sqref="M26:M30">
    <cfRule type="cellIs" dxfId="68" priority="22" operator="between">
      <formula>0</formula>
      <formula>$M$24*0.1</formula>
    </cfRule>
    <cfRule type="cellIs" dxfId="67" priority="23" operator="greaterThanOrEqual">
      <formula>0</formula>
    </cfRule>
    <cfRule type="cellIs" dxfId="66" priority="24" operator="lessThan">
      <formula>0</formula>
    </cfRule>
  </conditionalFormatting>
  <conditionalFormatting sqref="C24">
    <cfRule type="expression" dxfId="65" priority="155">
      <formula>IF(OR(#REF!="Single Infusion",$C$24=$I$31),FALSE,TRUE)</formula>
    </cfRule>
  </conditionalFormatting>
  <conditionalFormatting sqref="J31">
    <cfRule type="expression" dxfId="64" priority="7">
      <formula>IF($C$24=$I$31,FALSE,TRUE)</formula>
    </cfRule>
  </conditionalFormatting>
  <conditionalFormatting sqref="C18">
    <cfRule type="expression" dxfId="63" priority="166">
      <formula>IF($M$12="FAIL",TRUE,FALSE)</formula>
    </cfRule>
  </conditionalFormatting>
  <conditionalFormatting sqref="C48">
    <cfRule type="expression" dxfId="62" priority="167">
      <formula>IF($M$13="FAIL",TRUE,FALSE)</formula>
    </cfRule>
  </conditionalFormatting>
  <conditionalFormatting sqref="C54">
    <cfRule type="expression" dxfId="61" priority="168">
      <formula>IF($M$14="FAIL",TRUE,FALSE)</formula>
    </cfRule>
  </conditionalFormatting>
  <conditionalFormatting sqref="L31">
    <cfRule type="cellIs" dxfId="60" priority="188" operator="greaterThan">
      <formula>$M$24</formula>
    </cfRule>
  </conditionalFormatting>
  <conditionalFormatting sqref="L34">
    <cfRule type="cellIs" dxfId="59" priority="2" operator="lessThan">
      <formula>0</formula>
    </cfRule>
  </conditionalFormatting>
  <conditionalFormatting sqref="C41">
    <cfRule type="expression" dxfId="58" priority="190">
      <formula>$M$12="PASS"</formula>
    </cfRule>
    <cfRule type="expression" dxfId="57" priority="191">
      <formula>AND(IF(#REF!&lt;=C41*C42,FALSE,TRUE),NOT(ISBLANK($C$41)))</formula>
    </cfRule>
  </conditionalFormatting>
  <conditionalFormatting sqref="C80">
    <cfRule type="expression" dxfId="56" priority="192">
      <formula>$C$104=$C$80</formula>
    </cfRule>
  </conditionalFormatting>
  <conditionalFormatting sqref="X23">
    <cfRule type="expression" priority="1">
      <formula>$C$34="Hydrometer"</formula>
    </cfRule>
  </conditionalFormatting>
  <dataValidations xWindow="358" yWindow="264" count="41">
    <dataValidation type="decimal" operator="lessThan" showInputMessage="1" showErrorMessage="1" promptTitle="Grain Absorption Rate" prompt="Rate of water absorption into dry grain._x000a_Default setting: .5 for US units, 1.043 for Metric units._x000a_BIAB is closer to .35 US units." sqref="C44"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4"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4"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5"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5"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1" xr:uid="{17584D60-A38F-4160-80A4-BF22F22B15C3}"/>
    <dataValidation operator="lessThan" showInputMessage="1" showErrorMessage="1" promptTitle="Mashtun Max Fill Percentage" prompt="Maximum desired fill for mash tun. Should be less &lt; 95% to avoid spills." sqref="C42" xr:uid="{5429466B-CC50-466F-A8D0-BF3780C0EE4A}"/>
    <dataValidation type="decimal" operator="lessThan" showInputMessage="1" showErrorMessage="1" promptTitle="Mashtun Deadspace" prompt="Amount of wort remaining in mash tun after draining it." sqref="C43" xr:uid="{D96B777E-5D6D-4B01-A024-00D20C17E4E8}">
      <formula1>100</formula1>
    </dataValidation>
    <dataValidation allowBlank="1" showInputMessage="1" showErrorMessage="1" promptTitle="Tun Dead Space" sqref="C43"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5:D45" xr:uid="{9FF5001D-2257-4814-B3F9-5E0EBE5320E9}"/>
    <dataValidation allowBlank="1" showInputMessage="1" showErrorMessage="1" promptTitle="Fly Sparge Flow Rate" prompt="Desired flow rate if fly sparging. Leave blank if using other method." sqref="C46"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7" xr:uid="{665BF534-E976-4104-BAEB-91D653B7ED29}"/>
    <dataValidation allowBlank="1" showInputMessage="1" showErrorMessage="1" promptTitle="Kettle Capacity" prompt="Max volume of boil kettle." sqref="C48" xr:uid="{93830AD3-5AFC-41EF-A584-34FD47C5D8F4}"/>
    <dataValidation allowBlank="1" showInputMessage="1" showErrorMessage="1" promptTitle="Kettle Max Fill" prompt="Max desired fill capacity for boil kettle. Should allow room for foaming and possibility of boil over." sqref="C49" xr:uid="{AB40D7E7-CBEA-4D18-9D9C-0790CDC9D98C}"/>
    <dataValidation allowBlank="1" showInputMessage="1" showErrorMessage="1" promptTitle="Kettle Dead Space" prompt="Amount of wort left in kettle after racking to fermenter." sqref="C50" xr:uid="{97C987F2-D124-42A0-AFB0-6D185AF96A3B}"/>
    <dataValidation allowBlank="1" showInputMessage="1" showErrorMessage="1" promptTitle="Boil-Off Rate" prompt="Rate of evaporation during the boil." sqref="C51" xr:uid="{2C436EFC-17EC-4628-BEF6-97D20A7EB88A}"/>
    <dataValidation allowBlank="1" showInputMessage="1" showErrorMessage="1" promptTitle="Chiller Displacement" prompt="Only used with Immersion Chillers. Can be left blank if Chiller Type is 'Other'." sqref="C53" xr:uid="{C1BFEA51-6D09-4E0E-938D-88E11EBE6ADE}"/>
    <dataValidation allowBlank="1" showInputMessage="1" showErrorMessage="1" promptTitle="Fermenter Max Fill" prompt="Limit amount of wort to reserve space for krausen (foam) during fermentation to avoid a clogged airlock." sqref="C55" xr:uid="{A95D152C-5857-4B5E-830B-9D086B64C8BD}"/>
    <dataValidation allowBlank="1" showInputMessage="1" showErrorMessage="1" promptTitle="Fermenter Dead Space" prompt="Amount of beer left behind in fermenter(s)." sqref="C56" xr:uid="{914A8F29-CEBB-4653-B85D-88C66F57D377}"/>
    <dataValidation allowBlank="1" showInputMessage="1" showErrorMessage="1" promptTitle="Hydrometer Correction Offset" prompt="Hydrometer calibration offset value. (Be sure to test/calibrate your hydrometer in distilled water.)" sqref="C36" xr:uid="{C5B358C6-61C4-4FD1-8A5D-59CDCCDCA9E4}"/>
    <dataValidation allowBlank="1" showInputMessage="1" showErrorMessage="1" promptTitle="Wort Correction Factor" prompt="For use with a refractometer. (Ignore if not using one)" sqref="C37" xr:uid="{CB1D7876-958E-4E27-9B78-F39C3EF2DC46}"/>
    <dataValidation allowBlank="1" showInputMessage="1" showErrorMessage="1" promptTitle="Wort Correction Factor" prompt="for refractometers only" sqref="C37"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Strike Water Temperature" prompt="NOTE: Assumes a preh-heated mash tun._x000a_" sqref="C90" xr:uid="{24685D7C-0FD6-46A6-AF75-3F0D3CFDA5DB}"/>
    <dataValidation allowBlank="1" showInputMessage="1" showErrorMessage="1" promptTitle="Dry Grain Volume" prompt="Assumes dry grain occupies .3125 qt/lb (.652 L/kg) of volume" sqref="C83" xr:uid="{80DDE414-004B-44F1-9D8F-A80D0AF5364C}"/>
    <dataValidation type="list" allowBlank="1" showInputMessage="1" showErrorMessage="1" sqref="C34" xr:uid="{EAF53F5E-AE59-4997-9069-214646C9AEFA}">
      <formula1>"Hydrometer,Refractometer"</formula1>
    </dataValidation>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D90 C47 J31 D23" formula="1"/>
  </ignoredErrors>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Profiles'!$S$6:$S$26</xm:f>
          </x14:formula1>
          <xm:sqref>C12</xm:sqref>
        </x14:dataValidation>
        <x14:dataValidation type="list" allowBlank="1" showInputMessage="1" showErrorMessage="1" xr:uid="{C3802722-6CF6-4341-B165-3A4FC9B31173}">
          <x14:formula1>
            <xm:f>'Equipment Profiles'!$W$6:$W$26</xm:f>
          </x14:formula1>
          <xm:sqref>C13</xm:sqref>
        </x14:dataValidation>
        <x14:dataValidation type="list" allowBlank="1" showInputMessage="1" showErrorMessage="1" xr:uid="{367AD141-93C4-45EC-B474-AC1E8B09A9F7}">
          <x14:formula1>
            <xm:f>'Equipment Profiles'!$AB$6:$AB$25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D26"/>
  <sheetViews>
    <sheetView zoomScaleNormal="100" workbookViewId="0">
      <selection activeCell="H14" sqref="H14"/>
    </sheetView>
  </sheetViews>
  <sheetFormatPr defaultRowHeight="13.2" x14ac:dyDescent="0.25"/>
  <cols>
    <col min="1" max="1" width="48" customWidth="1"/>
    <col min="2" max="2" width="5.6640625" customWidth="1"/>
    <col min="3" max="3" width="6.5546875" style="495" customWidth="1"/>
    <col min="4" max="4" width="5.6640625" customWidth="1"/>
    <col min="5" max="7" width="6.33203125" customWidth="1"/>
    <col min="8" max="8" width="5.6640625" customWidth="1"/>
    <col min="9" max="9" width="9.6640625" customWidth="1"/>
    <col min="10" max="10" width="9.88671875" bestFit="1" customWidth="1"/>
    <col min="11" max="11" width="6.6640625" customWidth="1"/>
    <col min="12" max="12" width="5.6640625" customWidth="1"/>
    <col min="13" max="13" width="5.6640625" style="499" customWidth="1"/>
    <col min="14" max="15" width="5.6640625" customWidth="1"/>
    <col min="16" max="17" width="6.6640625" customWidth="1"/>
    <col min="18" max="18" width="1.6640625" customWidth="1"/>
    <col min="19" max="19" width="30.109375" customWidth="1"/>
    <col min="20" max="20" width="10" customWidth="1"/>
    <col min="21" max="21" width="5.6640625" customWidth="1"/>
    <col min="22" max="22" width="1.6640625" customWidth="1"/>
    <col min="23" max="23" width="29.33203125" customWidth="1"/>
    <col min="24" max="26" width="5.6640625" customWidth="1"/>
    <col min="27" max="27" width="1.6640625" customWidth="1"/>
    <col min="28" max="28" width="29.6640625" customWidth="1"/>
    <col min="29" max="29" width="5.6640625" customWidth="1"/>
    <col min="30" max="30" width="6.6640625" customWidth="1"/>
  </cols>
  <sheetData>
    <row r="1" spans="1:30" ht="18.600000000000001" thickTop="1" thickBot="1" x14ac:dyDescent="0.35">
      <c r="A1" s="1193" t="s">
        <v>2206</v>
      </c>
      <c r="B1" s="1194"/>
      <c r="C1" s="1194"/>
      <c r="D1" s="1194"/>
      <c r="E1" s="1194"/>
      <c r="F1" s="1194"/>
      <c r="G1" s="1194"/>
      <c r="H1" s="1194"/>
      <c r="I1" s="1194"/>
      <c r="J1" s="1194"/>
      <c r="K1" s="1194"/>
      <c r="L1" s="1194"/>
      <c r="M1" s="1194"/>
      <c r="N1" s="1194"/>
      <c r="O1" s="1194"/>
      <c r="P1" s="1194"/>
      <c r="Q1" s="1195"/>
      <c r="S1" s="1193" t="s">
        <v>2205</v>
      </c>
      <c r="T1" s="1194"/>
      <c r="U1" s="1195"/>
      <c r="W1" s="1193" t="s">
        <v>2204</v>
      </c>
      <c r="X1" s="1194"/>
      <c r="Y1" s="1194"/>
      <c r="Z1" s="1195"/>
      <c r="AB1" s="1193" t="s">
        <v>2215</v>
      </c>
      <c r="AC1" s="1194"/>
      <c r="AD1" s="1195"/>
    </row>
    <row r="2" spans="1:30" ht="12.75" customHeight="1" x14ac:dyDescent="0.25">
      <c r="A2" s="1196" t="s">
        <v>2184</v>
      </c>
      <c r="B2" s="1207" t="s">
        <v>2181</v>
      </c>
      <c r="C2" s="1208"/>
      <c r="D2" s="1208"/>
      <c r="E2" s="1208"/>
      <c r="F2" s="1208"/>
      <c r="G2" s="1208"/>
      <c r="H2" s="1208"/>
      <c r="I2" s="1208"/>
      <c r="J2" s="1208"/>
      <c r="K2" s="1230"/>
      <c r="L2" s="1207" t="s">
        <v>2191</v>
      </c>
      <c r="M2" s="1208"/>
      <c r="N2" s="1208"/>
      <c r="O2" s="1209"/>
      <c r="P2" s="1226" t="s">
        <v>2365</v>
      </c>
      <c r="Q2" s="1227"/>
      <c r="S2" s="1199" t="s">
        <v>2272</v>
      </c>
      <c r="T2" s="1202" t="s">
        <v>66</v>
      </c>
      <c r="U2" s="1220" t="s">
        <v>2271</v>
      </c>
      <c r="W2" s="1222" t="s">
        <v>2274</v>
      </c>
      <c r="X2" s="1225" t="s">
        <v>2198</v>
      </c>
      <c r="Y2" s="1225" t="s">
        <v>2179</v>
      </c>
      <c r="Z2" s="1220" t="s">
        <v>2193</v>
      </c>
      <c r="AB2" s="1199" t="s">
        <v>2216</v>
      </c>
      <c r="AC2" s="1225" t="s">
        <v>1651</v>
      </c>
      <c r="AD2" s="1220" t="s">
        <v>2217</v>
      </c>
    </row>
    <row r="3" spans="1:30" ht="46.5" customHeight="1" x14ac:dyDescent="0.25">
      <c r="A3" s="1197"/>
      <c r="B3" s="1216" t="s">
        <v>2198</v>
      </c>
      <c r="C3" s="1215" t="s">
        <v>2179</v>
      </c>
      <c r="D3" s="1214" t="s">
        <v>2193</v>
      </c>
      <c r="E3" s="1213" t="s">
        <v>1680</v>
      </c>
      <c r="F3" s="1210" t="s">
        <v>2264</v>
      </c>
      <c r="G3" s="1211"/>
      <c r="H3" s="1212" t="s">
        <v>96</v>
      </c>
      <c r="I3" s="1228" t="s">
        <v>2318</v>
      </c>
      <c r="J3" s="1205" t="s">
        <v>1870</v>
      </c>
      <c r="K3" s="1217" t="s">
        <v>2180</v>
      </c>
      <c r="L3" s="1218" t="s">
        <v>2198</v>
      </c>
      <c r="M3" s="1231" t="s">
        <v>2179</v>
      </c>
      <c r="N3" s="1214" t="s">
        <v>2193</v>
      </c>
      <c r="O3" s="1219" t="s">
        <v>2182</v>
      </c>
      <c r="P3" s="1232" t="s">
        <v>2363</v>
      </c>
      <c r="Q3" s="1233" t="s">
        <v>2364</v>
      </c>
      <c r="S3" s="1200"/>
      <c r="T3" s="1203"/>
      <c r="U3" s="1219"/>
      <c r="W3" s="1223"/>
      <c r="X3" s="1214"/>
      <c r="Y3" s="1214"/>
      <c r="Z3" s="1219"/>
      <c r="AB3" s="1200"/>
      <c r="AC3" s="1214"/>
      <c r="AD3" s="1219"/>
    </row>
    <row r="4" spans="1:30" x14ac:dyDescent="0.25">
      <c r="A4" s="1197"/>
      <c r="B4" s="1216"/>
      <c r="C4" s="1215"/>
      <c r="D4" s="1214"/>
      <c r="E4" s="1213"/>
      <c r="F4" s="538" t="s">
        <v>2237</v>
      </c>
      <c r="G4" s="538" t="s">
        <v>2258</v>
      </c>
      <c r="H4" s="1212"/>
      <c r="I4" s="1228"/>
      <c r="J4" s="1205"/>
      <c r="K4" s="1217"/>
      <c r="L4" s="1218"/>
      <c r="M4" s="1231"/>
      <c r="N4" s="1214"/>
      <c r="O4" s="1219"/>
      <c r="P4" s="1232"/>
      <c r="Q4" s="1233"/>
      <c r="S4" s="1200"/>
      <c r="T4" s="1203"/>
      <c r="U4" s="1219"/>
      <c r="W4" s="1223"/>
      <c r="X4" s="1214"/>
      <c r="Y4" s="1214"/>
      <c r="Z4" s="1219"/>
      <c r="AB4" s="1200"/>
      <c r="AC4" s="1214"/>
      <c r="AD4" s="1219"/>
    </row>
    <row r="5" spans="1:30" ht="13.8" thickBot="1" x14ac:dyDescent="0.3">
      <c r="A5" s="1198"/>
      <c r="B5" s="773" t="str">
        <f>'Brewhouse Setup &amp; Calcs'!D41</f>
        <v>qt</v>
      </c>
      <c r="C5" s="564" t="s">
        <v>102</v>
      </c>
      <c r="D5" s="585" t="str">
        <f>'Brewhouse Setup &amp; Calcs'!D43</f>
        <v>qt</v>
      </c>
      <c r="E5" s="585" t="str">
        <f>'Brewhouse Setup &amp; Calcs'!D44</f>
        <v>qt/lb</v>
      </c>
      <c r="F5" s="585" t="str">
        <f>'Brewhouse Setup &amp; Calcs'!$D$27</f>
        <v>qt/hr</v>
      </c>
      <c r="G5" s="585" t="str">
        <f>'Brewhouse Setup &amp; Calcs'!$D$27</f>
        <v>qt/hr</v>
      </c>
      <c r="H5" s="565" t="s">
        <v>102</v>
      </c>
      <c r="I5" s="1229"/>
      <c r="J5" s="1206"/>
      <c r="K5" s="586" t="str">
        <f>'Brewhouse Setup &amp; Calcs'!D46</f>
        <v>qt/min</v>
      </c>
      <c r="L5" s="587" t="str">
        <f>'Brewhouse Setup &amp; Calcs'!D48</f>
        <v>qt</v>
      </c>
      <c r="M5" s="565" t="s">
        <v>102</v>
      </c>
      <c r="N5" s="585" t="str">
        <f>'Brewhouse Setup &amp; Calcs'!D50</f>
        <v>qt</v>
      </c>
      <c r="O5" s="588" t="str">
        <f>'Brewhouse Setup &amp; Calcs'!D51</f>
        <v>qt/hr</v>
      </c>
      <c r="P5" s="873" t="str">
        <f>'Brewhouse Setup &amp; Calcs'!D48</f>
        <v>qt</v>
      </c>
      <c r="Q5" s="880" t="str">
        <f>'Brewhouse Setup &amp; Calcs'!D48</f>
        <v>qt</v>
      </c>
      <c r="S5" s="1201"/>
      <c r="T5" s="1204"/>
      <c r="U5" s="588" t="str">
        <f>'Brewhouse Setup &amp; Calcs'!D53</f>
        <v>qt</v>
      </c>
      <c r="W5" s="1224"/>
      <c r="X5" s="585" t="str">
        <f>'Brewhouse Setup &amp; Calcs'!D56</f>
        <v>qt</v>
      </c>
      <c r="Y5" s="507" t="s">
        <v>102</v>
      </c>
      <c r="Z5" s="588" t="str">
        <f>'Brewhouse Setup &amp; Calcs'!D56</f>
        <v>qt</v>
      </c>
      <c r="AB5" s="1201"/>
      <c r="AC5" s="585" t="str">
        <f>'Brewhouse Setup &amp; Calcs'!D35</f>
        <v>°F</v>
      </c>
      <c r="AD5" s="1221"/>
    </row>
    <row r="6" spans="1:30" ht="13.8" thickTop="1" x14ac:dyDescent="0.25">
      <c r="A6" s="616" t="s">
        <v>2260</v>
      </c>
      <c r="B6" s="589">
        <v>65</v>
      </c>
      <c r="C6" s="590">
        <v>0.9</v>
      </c>
      <c r="D6" s="544">
        <v>1.5</v>
      </c>
      <c r="E6" s="567">
        <v>0.5</v>
      </c>
      <c r="F6" s="591">
        <v>0.8</v>
      </c>
      <c r="G6" s="544">
        <v>0</v>
      </c>
      <c r="H6" s="592">
        <v>0.75</v>
      </c>
      <c r="I6" s="619" t="s">
        <v>2320</v>
      </c>
      <c r="J6" s="619" t="s">
        <v>2298</v>
      </c>
      <c r="K6" s="593"/>
      <c r="L6" s="589">
        <v>80</v>
      </c>
      <c r="M6" s="592">
        <v>0.85</v>
      </c>
      <c r="N6" s="544">
        <v>5</v>
      </c>
      <c r="O6" s="877">
        <v>4</v>
      </c>
      <c r="P6" s="874"/>
      <c r="Q6" s="881"/>
      <c r="S6" s="613" t="s">
        <v>2185</v>
      </c>
      <c r="T6" s="619" t="s">
        <v>2175</v>
      </c>
      <c r="U6" s="611">
        <v>1.5</v>
      </c>
      <c r="W6" s="624" t="s">
        <v>2194</v>
      </c>
      <c r="X6" s="853">
        <v>26</v>
      </c>
      <c r="Y6" s="508">
        <v>0.9</v>
      </c>
      <c r="Z6" s="594">
        <v>2</v>
      </c>
      <c r="AB6" s="613" t="s">
        <v>2219</v>
      </c>
      <c r="AC6" s="625">
        <v>60</v>
      </c>
      <c r="AD6" s="621">
        <v>0</v>
      </c>
    </row>
    <row r="7" spans="1:30" x14ac:dyDescent="0.25">
      <c r="A7" s="617" t="s">
        <v>2261</v>
      </c>
      <c r="B7" s="595">
        <v>65</v>
      </c>
      <c r="C7" s="397">
        <v>0.9</v>
      </c>
      <c r="D7" s="543">
        <v>3.5</v>
      </c>
      <c r="E7" s="567">
        <v>0.5</v>
      </c>
      <c r="F7" s="544">
        <v>0.8</v>
      </c>
      <c r="G7" s="544">
        <v>0</v>
      </c>
      <c r="H7" s="592">
        <v>0.75</v>
      </c>
      <c r="I7" s="619" t="s">
        <v>2320</v>
      </c>
      <c r="J7" s="619" t="s">
        <v>2298</v>
      </c>
      <c r="K7" s="596"/>
      <c r="L7" s="595">
        <v>80</v>
      </c>
      <c r="M7" s="597">
        <v>0.85</v>
      </c>
      <c r="N7" s="543">
        <v>8</v>
      </c>
      <c r="O7" s="596">
        <v>4</v>
      </c>
      <c r="P7" s="879"/>
      <c r="Q7" s="882"/>
      <c r="S7" s="614" t="s">
        <v>2187</v>
      </c>
      <c r="T7" s="619" t="s">
        <v>2189</v>
      </c>
      <c r="U7" s="598">
        <v>0</v>
      </c>
      <c r="W7" s="614" t="s">
        <v>2228</v>
      </c>
      <c r="X7" s="854">
        <v>52</v>
      </c>
      <c r="Y7" s="508">
        <v>0.9</v>
      </c>
      <c r="Z7" s="598">
        <v>4</v>
      </c>
      <c r="AB7" s="614" t="s">
        <v>2220</v>
      </c>
      <c r="AC7" s="626">
        <v>60</v>
      </c>
      <c r="AD7" s="622">
        <v>-1E-3</v>
      </c>
    </row>
    <row r="8" spans="1:30" x14ac:dyDescent="0.25">
      <c r="A8" s="617" t="s">
        <v>2178</v>
      </c>
      <c r="B8" s="595">
        <v>32</v>
      </c>
      <c r="C8" s="397">
        <v>0.9</v>
      </c>
      <c r="D8" s="543">
        <v>0</v>
      </c>
      <c r="E8" s="567">
        <v>0.5</v>
      </c>
      <c r="F8" s="544">
        <v>0.3</v>
      </c>
      <c r="G8" s="544">
        <v>0</v>
      </c>
      <c r="H8" s="592">
        <v>0.85</v>
      </c>
      <c r="I8" s="619" t="s">
        <v>2320</v>
      </c>
      <c r="J8" s="619" t="s">
        <v>2299</v>
      </c>
      <c r="K8" s="596">
        <v>3</v>
      </c>
      <c r="L8" s="595">
        <v>32</v>
      </c>
      <c r="M8" s="597">
        <v>0.85</v>
      </c>
      <c r="N8" s="543">
        <v>2.25</v>
      </c>
      <c r="O8" s="596">
        <v>2</v>
      </c>
      <c r="P8" s="875"/>
      <c r="Q8" s="882"/>
      <c r="S8" s="614" t="s">
        <v>2212</v>
      </c>
      <c r="T8" s="619" t="s">
        <v>2175</v>
      </c>
      <c r="U8" s="598">
        <v>2</v>
      </c>
      <c r="W8" s="614" t="s">
        <v>2195</v>
      </c>
      <c r="X8" s="854">
        <v>28</v>
      </c>
      <c r="Y8" s="508">
        <v>0.85</v>
      </c>
      <c r="Z8" s="598">
        <v>2</v>
      </c>
      <c r="AB8" s="614" t="s">
        <v>2218</v>
      </c>
      <c r="AC8" s="626">
        <v>60</v>
      </c>
      <c r="AD8" s="622">
        <v>0</v>
      </c>
    </row>
    <row r="9" spans="1:30" x14ac:dyDescent="0.25">
      <c r="A9" s="617" t="s">
        <v>2263</v>
      </c>
      <c r="B9" s="595">
        <v>80</v>
      </c>
      <c r="C9" s="397">
        <v>0.9</v>
      </c>
      <c r="D9" s="543">
        <v>0</v>
      </c>
      <c r="E9" s="567">
        <v>0.35</v>
      </c>
      <c r="F9" s="591">
        <v>0.8</v>
      </c>
      <c r="G9" s="544">
        <v>0</v>
      </c>
      <c r="H9" s="592">
        <v>0.75</v>
      </c>
      <c r="I9" s="619" t="s">
        <v>2319</v>
      </c>
      <c r="J9" s="619" t="s">
        <v>2259</v>
      </c>
      <c r="K9" s="596"/>
      <c r="L9" s="595">
        <v>80</v>
      </c>
      <c r="M9" s="597">
        <v>0.85</v>
      </c>
      <c r="N9" s="599">
        <v>5</v>
      </c>
      <c r="O9" s="596">
        <v>5</v>
      </c>
      <c r="P9" s="875"/>
      <c r="Q9" s="882"/>
      <c r="S9" s="614" t="s">
        <v>2190</v>
      </c>
      <c r="T9" s="619" t="s">
        <v>2175</v>
      </c>
      <c r="U9" s="598">
        <v>2</v>
      </c>
      <c r="W9" s="614" t="s">
        <v>2196</v>
      </c>
      <c r="X9" s="854"/>
      <c r="Y9" s="508">
        <v>0.85</v>
      </c>
      <c r="Z9" s="598">
        <v>2</v>
      </c>
      <c r="AB9" s="614"/>
      <c r="AC9" s="626"/>
      <c r="AD9" s="622"/>
    </row>
    <row r="10" spans="1:30" x14ac:dyDescent="0.25">
      <c r="A10" s="617" t="s">
        <v>2262</v>
      </c>
      <c r="B10" s="595">
        <v>60</v>
      </c>
      <c r="C10" s="397">
        <v>0.9</v>
      </c>
      <c r="D10" s="543">
        <v>0.5</v>
      </c>
      <c r="E10" s="567">
        <v>0.38</v>
      </c>
      <c r="F10" s="544">
        <v>0.8</v>
      </c>
      <c r="G10" s="544">
        <v>0</v>
      </c>
      <c r="H10" s="592">
        <v>0.72</v>
      </c>
      <c r="I10" s="619" t="s">
        <v>2320</v>
      </c>
      <c r="J10" s="619" t="s">
        <v>2259</v>
      </c>
      <c r="K10" s="596"/>
      <c r="L10" s="595">
        <v>80</v>
      </c>
      <c r="M10" s="597">
        <v>0.85</v>
      </c>
      <c r="N10" s="599">
        <v>1.5</v>
      </c>
      <c r="O10" s="596">
        <v>5.4</v>
      </c>
      <c r="P10" s="875">
        <v>0.5</v>
      </c>
      <c r="Q10" s="882">
        <v>0.5</v>
      </c>
      <c r="S10" s="614" t="s">
        <v>2213</v>
      </c>
      <c r="T10" s="619" t="s">
        <v>2175</v>
      </c>
      <c r="U10" s="598">
        <v>2</v>
      </c>
      <c r="W10" s="614" t="s">
        <v>2197</v>
      </c>
      <c r="X10" s="854"/>
      <c r="Y10" s="508">
        <v>0.85</v>
      </c>
      <c r="Z10" s="598">
        <v>2</v>
      </c>
      <c r="AB10" s="614"/>
      <c r="AC10" s="626"/>
      <c r="AD10" s="622"/>
    </row>
    <row r="11" spans="1:30" x14ac:dyDescent="0.25">
      <c r="A11" s="617" t="s">
        <v>2354</v>
      </c>
      <c r="B11" s="595">
        <v>65</v>
      </c>
      <c r="C11" s="397">
        <v>0.9</v>
      </c>
      <c r="D11" s="543">
        <v>1.5</v>
      </c>
      <c r="E11" s="753">
        <v>0.5</v>
      </c>
      <c r="F11" s="543">
        <v>0.8</v>
      </c>
      <c r="G11" s="543">
        <v>0</v>
      </c>
      <c r="H11" s="597">
        <v>0.75</v>
      </c>
      <c r="I11" s="619" t="s">
        <v>2320</v>
      </c>
      <c r="J11" s="619" t="s">
        <v>2298</v>
      </c>
      <c r="K11" s="596"/>
      <c r="L11" s="595">
        <v>80</v>
      </c>
      <c r="M11" s="597">
        <v>0.85</v>
      </c>
      <c r="N11" s="543">
        <v>1.5</v>
      </c>
      <c r="O11" s="596">
        <v>5.4</v>
      </c>
      <c r="P11" s="875"/>
      <c r="Q11" s="882"/>
      <c r="S11" s="614" t="s">
        <v>2214</v>
      </c>
      <c r="T11" s="619" t="s">
        <v>2175</v>
      </c>
      <c r="U11" s="598">
        <v>2</v>
      </c>
      <c r="W11" s="614" t="s">
        <v>2342</v>
      </c>
      <c r="X11" s="854">
        <v>31.7</v>
      </c>
      <c r="Y11" s="508">
        <v>0.85</v>
      </c>
      <c r="Z11" s="598">
        <v>2</v>
      </c>
      <c r="AB11" s="614"/>
      <c r="AC11" s="626"/>
      <c r="AD11" s="622"/>
    </row>
    <row r="12" spans="1:30" x14ac:dyDescent="0.25">
      <c r="A12" s="617" t="s">
        <v>2356</v>
      </c>
      <c r="B12" s="589">
        <v>65</v>
      </c>
      <c r="C12" s="590">
        <v>0.9</v>
      </c>
      <c r="D12" s="544">
        <v>1.5</v>
      </c>
      <c r="E12" s="567">
        <v>0.5</v>
      </c>
      <c r="F12" s="591">
        <v>0.8</v>
      </c>
      <c r="G12" s="544">
        <v>0</v>
      </c>
      <c r="H12" s="592">
        <v>0.75</v>
      </c>
      <c r="I12" s="619" t="s">
        <v>2320</v>
      </c>
      <c r="J12" s="619" t="s">
        <v>2298</v>
      </c>
      <c r="K12" s="593"/>
      <c r="L12" s="589">
        <v>80</v>
      </c>
      <c r="M12" s="592">
        <v>0.85</v>
      </c>
      <c r="N12" s="544">
        <v>5</v>
      </c>
      <c r="O12" s="593">
        <v>5</v>
      </c>
      <c r="P12" s="875"/>
      <c r="Q12" s="882"/>
      <c r="S12" s="614" t="s">
        <v>2186</v>
      </c>
      <c r="T12" s="619" t="s">
        <v>2175</v>
      </c>
      <c r="U12" s="598">
        <v>2</v>
      </c>
      <c r="W12" s="614" t="s">
        <v>2343</v>
      </c>
      <c r="X12" s="854">
        <v>59.7</v>
      </c>
      <c r="Y12" s="508">
        <v>0.85</v>
      </c>
      <c r="Z12" s="598">
        <v>4</v>
      </c>
      <c r="AB12" s="614"/>
      <c r="AC12" s="626"/>
      <c r="AD12" s="622"/>
    </row>
    <row r="13" spans="1:30" x14ac:dyDescent="0.25">
      <c r="A13" s="617" t="s">
        <v>2380</v>
      </c>
      <c r="B13" s="595">
        <v>60</v>
      </c>
      <c r="C13" s="397">
        <v>0.9</v>
      </c>
      <c r="D13" s="543">
        <v>0.5</v>
      </c>
      <c r="E13" s="567">
        <v>0.38</v>
      </c>
      <c r="F13" s="544">
        <v>0.8</v>
      </c>
      <c r="G13" s="544">
        <v>0</v>
      </c>
      <c r="H13" s="592">
        <v>0.7</v>
      </c>
      <c r="I13" s="619" t="s">
        <v>2320</v>
      </c>
      <c r="J13" s="619" t="s">
        <v>2259</v>
      </c>
      <c r="K13" s="596"/>
      <c r="L13" s="595">
        <v>80</v>
      </c>
      <c r="M13" s="597">
        <v>0.85</v>
      </c>
      <c r="N13" s="599">
        <v>1.5</v>
      </c>
      <c r="O13" s="596">
        <v>5.4</v>
      </c>
      <c r="P13" s="875">
        <v>0.5</v>
      </c>
      <c r="Q13" s="882">
        <v>0.5</v>
      </c>
      <c r="S13" s="614" t="s">
        <v>2273</v>
      </c>
      <c r="T13" s="619" t="s">
        <v>2175</v>
      </c>
      <c r="U13" s="598">
        <v>2</v>
      </c>
      <c r="W13" s="614" t="s">
        <v>2360</v>
      </c>
      <c r="X13" s="854">
        <v>37</v>
      </c>
      <c r="Y13" s="508">
        <v>0.85</v>
      </c>
      <c r="Z13" s="598">
        <v>3</v>
      </c>
      <c r="AB13" s="614"/>
      <c r="AC13" s="626"/>
      <c r="AD13" s="622"/>
    </row>
    <row r="14" spans="1:30" x14ac:dyDescent="0.25">
      <c r="A14" s="617"/>
      <c r="B14" s="595"/>
      <c r="C14" s="397"/>
      <c r="D14" s="543"/>
      <c r="E14" s="753"/>
      <c r="F14" s="543"/>
      <c r="G14" s="543"/>
      <c r="H14" s="597"/>
      <c r="I14" s="619"/>
      <c r="J14" s="619"/>
      <c r="K14" s="596"/>
      <c r="L14" s="595"/>
      <c r="M14" s="597"/>
      <c r="N14" s="543"/>
      <c r="O14" s="596"/>
      <c r="P14" s="875"/>
      <c r="Q14" s="882"/>
      <c r="S14" s="614" t="s">
        <v>2357</v>
      </c>
      <c r="T14" s="619" t="s">
        <v>2175</v>
      </c>
      <c r="U14" s="598">
        <v>2.2000000000000002</v>
      </c>
      <c r="W14" s="614" t="s">
        <v>2362</v>
      </c>
      <c r="X14" s="854">
        <v>68.7</v>
      </c>
      <c r="Y14" s="508">
        <v>0.85</v>
      </c>
      <c r="Z14" s="598">
        <v>5</v>
      </c>
      <c r="AB14" s="614"/>
      <c r="AC14" s="626"/>
      <c r="AD14" s="622"/>
    </row>
    <row r="15" spans="1:30" x14ac:dyDescent="0.25">
      <c r="A15" s="617"/>
      <c r="B15" s="595"/>
      <c r="C15" s="397"/>
      <c r="D15" s="543"/>
      <c r="E15" s="753"/>
      <c r="F15" s="543"/>
      <c r="G15" s="543"/>
      <c r="H15" s="597"/>
      <c r="I15" s="619"/>
      <c r="J15" s="619"/>
      <c r="K15" s="596"/>
      <c r="L15" s="595"/>
      <c r="M15" s="597"/>
      <c r="N15" s="543"/>
      <c r="O15" s="596"/>
      <c r="P15" s="875"/>
      <c r="Q15" s="882"/>
      <c r="S15" s="614"/>
      <c r="T15" s="619"/>
      <c r="U15" s="598"/>
      <c r="W15" s="614" t="s">
        <v>2372</v>
      </c>
      <c r="X15" s="854">
        <v>65</v>
      </c>
      <c r="Y15" s="508">
        <v>0.85</v>
      </c>
      <c r="Z15" s="598">
        <v>5</v>
      </c>
      <c r="AB15" s="614"/>
      <c r="AC15" s="626"/>
      <c r="AD15" s="622"/>
    </row>
    <row r="16" spans="1:30" x14ac:dyDescent="0.25">
      <c r="A16" s="617"/>
      <c r="B16" s="595"/>
      <c r="C16" s="397"/>
      <c r="D16" s="543"/>
      <c r="E16" s="753"/>
      <c r="F16" s="543"/>
      <c r="G16" s="543"/>
      <c r="H16" s="597"/>
      <c r="I16" s="619"/>
      <c r="J16" s="619"/>
      <c r="K16" s="596"/>
      <c r="L16" s="595"/>
      <c r="M16" s="597"/>
      <c r="N16" s="543"/>
      <c r="O16" s="596"/>
      <c r="P16" s="875"/>
      <c r="Q16" s="882"/>
      <c r="S16" s="614"/>
      <c r="T16" s="619"/>
      <c r="U16" s="598"/>
      <c r="W16" s="614"/>
      <c r="X16" s="854"/>
      <c r="Y16" s="508"/>
      <c r="Z16" s="598"/>
      <c r="AB16" s="614"/>
      <c r="AC16" s="626"/>
      <c r="AD16" s="622"/>
    </row>
    <row r="17" spans="1:30" x14ac:dyDescent="0.25">
      <c r="A17" s="617"/>
      <c r="B17" s="595"/>
      <c r="C17" s="397"/>
      <c r="D17" s="543"/>
      <c r="E17" s="753"/>
      <c r="F17" s="543"/>
      <c r="G17" s="543"/>
      <c r="H17" s="597"/>
      <c r="I17" s="619"/>
      <c r="J17" s="619"/>
      <c r="K17" s="596"/>
      <c r="L17" s="595"/>
      <c r="M17" s="597"/>
      <c r="N17" s="543"/>
      <c r="O17" s="596"/>
      <c r="P17" s="875"/>
      <c r="Q17" s="882"/>
      <c r="S17" s="614"/>
      <c r="T17" s="619"/>
      <c r="U17" s="598"/>
      <c r="W17" s="614"/>
      <c r="X17" s="854"/>
      <c r="Y17" s="508"/>
      <c r="Z17" s="598"/>
      <c r="AB17" s="614"/>
      <c r="AC17" s="626"/>
      <c r="AD17" s="622"/>
    </row>
    <row r="18" spans="1:30" x14ac:dyDescent="0.25">
      <c r="A18" s="617"/>
      <c r="B18" s="595"/>
      <c r="C18" s="397"/>
      <c r="D18" s="543"/>
      <c r="E18" s="753"/>
      <c r="F18" s="543"/>
      <c r="G18" s="543"/>
      <c r="H18" s="597"/>
      <c r="I18" s="619"/>
      <c r="J18" s="619"/>
      <c r="K18" s="596"/>
      <c r="L18" s="595"/>
      <c r="M18" s="597"/>
      <c r="N18" s="543"/>
      <c r="O18" s="596"/>
      <c r="P18" s="875"/>
      <c r="Q18" s="882"/>
      <c r="S18" s="614"/>
      <c r="T18" s="619"/>
      <c r="U18" s="598"/>
      <c r="W18" s="614"/>
      <c r="X18" s="854"/>
      <c r="Y18" s="508"/>
      <c r="Z18" s="598"/>
      <c r="AB18" s="614"/>
      <c r="AC18" s="626"/>
      <c r="AD18" s="622"/>
    </row>
    <row r="19" spans="1:30" x14ac:dyDescent="0.25">
      <c r="A19" s="617"/>
      <c r="B19" s="595"/>
      <c r="C19" s="397"/>
      <c r="D19" s="543"/>
      <c r="E19" s="753"/>
      <c r="F19" s="543"/>
      <c r="G19" s="543"/>
      <c r="H19" s="597"/>
      <c r="I19" s="619"/>
      <c r="J19" s="619"/>
      <c r="K19" s="596"/>
      <c r="L19" s="595"/>
      <c r="M19" s="597"/>
      <c r="N19" s="543"/>
      <c r="O19" s="596"/>
      <c r="P19" s="875"/>
      <c r="Q19" s="882"/>
      <c r="S19" s="614"/>
      <c r="T19" s="619"/>
      <c r="U19" s="598"/>
      <c r="W19" s="614"/>
      <c r="X19" s="854"/>
      <c r="Y19" s="508"/>
      <c r="Z19" s="598"/>
      <c r="AB19" s="614"/>
      <c r="AC19" s="626"/>
      <c r="AD19" s="622"/>
    </row>
    <row r="20" spans="1:30" x14ac:dyDescent="0.25">
      <c r="A20" s="617"/>
      <c r="B20" s="595"/>
      <c r="C20" s="397"/>
      <c r="D20" s="543"/>
      <c r="E20" s="753"/>
      <c r="F20" s="543"/>
      <c r="G20" s="543"/>
      <c r="H20" s="597"/>
      <c r="I20" s="619"/>
      <c r="J20" s="619"/>
      <c r="K20" s="596"/>
      <c r="L20" s="595"/>
      <c r="M20" s="597"/>
      <c r="N20" s="543"/>
      <c r="O20" s="596"/>
      <c r="P20" s="875"/>
      <c r="Q20" s="882"/>
      <c r="S20" s="614"/>
      <c r="T20" s="619"/>
      <c r="U20" s="598"/>
      <c r="W20" s="614"/>
      <c r="X20" s="854"/>
      <c r="Y20" s="508"/>
      <c r="Z20" s="598"/>
      <c r="AB20" s="614"/>
      <c r="AC20" s="626"/>
      <c r="AD20" s="622"/>
    </row>
    <row r="21" spans="1:30" x14ac:dyDescent="0.25">
      <c r="A21" s="617"/>
      <c r="B21" s="595"/>
      <c r="C21" s="397"/>
      <c r="D21" s="543"/>
      <c r="E21" s="753"/>
      <c r="F21" s="543"/>
      <c r="G21" s="543"/>
      <c r="H21" s="597"/>
      <c r="I21" s="619"/>
      <c r="J21" s="619"/>
      <c r="K21" s="596"/>
      <c r="L21" s="595"/>
      <c r="M21" s="597"/>
      <c r="N21" s="543"/>
      <c r="O21" s="596"/>
      <c r="P21" s="875"/>
      <c r="Q21" s="882"/>
      <c r="S21" s="614"/>
      <c r="T21" s="619"/>
      <c r="U21" s="598"/>
      <c r="W21" s="614"/>
      <c r="X21" s="854"/>
      <c r="Y21" s="508"/>
      <c r="Z21" s="598"/>
      <c r="AB21" s="614"/>
      <c r="AC21" s="626"/>
      <c r="AD21" s="622"/>
    </row>
    <row r="22" spans="1:30" x14ac:dyDescent="0.25">
      <c r="A22" s="617"/>
      <c r="B22" s="595"/>
      <c r="C22" s="397"/>
      <c r="D22" s="543"/>
      <c r="E22" s="753"/>
      <c r="F22" s="543"/>
      <c r="G22" s="543"/>
      <c r="H22" s="597"/>
      <c r="I22" s="619"/>
      <c r="J22" s="619"/>
      <c r="K22" s="596"/>
      <c r="L22" s="595"/>
      <c r="M22" s="597"/>
      <c r="N22" s="543"/>
      <c r="O22" s="596"/>
      <c r="P22" s="875"/>
      <c r="Q22" s="882"/>
      <c r="S22" s="614"/>
      <c r="T22" s="619"/>
      <c r="U22" s="598"/>
      <c r="W22" s="614"/>
      <c r="X22" s="854"/>
      <c r="Y22" s="508"/>
      <c r="Z22" s="598"/>
      <c r="AB22" s="614"/>
      <c r="AC22" s="626"/>
      <c r="AD22" s="622"/>
    </row>
    <row r="23" spans="1:30" x14ac:dyDescent="0.25">
      <c r="A23" s="617"/>
      <c r="B23" s="595"/>
      <c r="C23" s="397"/>
      <c r="D23" s="543"/>
      <c r="E23" s="753"/>
      <c r="F23" s="543"/>
      <c r="G23" s="543"/>
      <c r="H23" s="597"/>
      <c r="I23" s="619"/>
      <c r="J23" s="619"/>
      <c r="K23" s="596"/>
      <c r="L23" s="595"/>
      <c r="M23" s="597"/>
      <c r="N23" s="543"/>
      <c r="O23" s="596"/>
      <c r="P23" s="875"/>
      <c r="Q23" s="882"/>
      <c r="S23" s="614"/>
      <c r="T23" s="619"/>
      <c r="U23" s="598"/>
      <c r="W23" s="614"/>
      <c r="X23" s="854"/>
      <c r="Y23" s="508"/>
      <c r="Z23" s="598"/>
      <c r="AB23" s="614"/>
      <c r="AC23" s="626"/>
      <c r="AD23" s="622"/>
    </row>
    <row r="24" spans="1:30" x14ac:dyDescent="0.25">
      <c r="A24" s="617"/>
      <c r="B24" s="600"/>
      <c r="C24" s="601"/>
      <c r="D24" s="602"/>
      <c r="E24" s="754"/>
      <c r="F24" s="602"/>
      <c r="G24" s="602"/>
      <c r="H24" s="603"/>
      <c r="I24" s="619"/>
      <c r="J24" s="619"/>
      <c r="K24" s="604"/>
      <c r="L24" s="600"/>
      <c r="M24" s="597"/>
      <c r="N24" s="602"/>
      <c r="O24" s="604"/>
      <c r="P24" s="876"/>
      <c r="Q24" s="883"/>
      <c r="S24" s="614"/>
      <c r="T24" s="619"/>
      <c r="U24" s="598"/>
      <c r="W24" s="614"/>
      <c r="X24" s="854"/>
      <c r="Y24" s="508"/>
      <c r="Z24" s="598"/>
      <c r="AB24" s="614"/>
      <c r="AC24" s="626"/>
      <c r="AD24" s="622"/>
    </row>
    <row r="25" spans="1:30" ht="13.8" thickBot="1" x14ac:dyDescent="0.3">
      <c r="A25" s="618"/>
      <c r="B25" s="605"/>
      <c r="C25" s="606"/>
      <c r="D25" s="607"/>
      <c r="E25" s="755"/>
      <c r="F25" s="607"/>
      <c r="G25" s="607"/>
      <c r="H25" s="608"/>
      <c r="I25" s="620"/>
      <c r="J25" s="620"/>
      <c r="K25" s="609"/>
      <c r="L25" s="605"/>
      <c r="M25" s="610"/>
      <c r="N25" s="607"/>
      <c r="O25" s="609"/>
      <c r="P25" s="878"/>
      <c r="Q25" s="884"/>
      <c r="S25" s="615"/>
      <c r="T25" s="620"/>
      <c r="U25" s="612"/>
      <c r="W25" s="615"/>
      <c r="X25" s="855"/>
      <c r="Y25" s="509"/>
      <c r="Z25" s="612"/>
      <c r="AB25" s="615"/>
      <c r="AC25" s="627"/>
      <c r="AD25" s="623"/>
    </row>
    <row r="26" spans="1:30" ht="13.8" thickTop="1" x14ac:dyDescent="0.25">
      <c r="A26" s="496"/>
      <c r="B26" s="496"/>
      <c r="C26" s="502"/>
      <c r="D26" s="496"/>
      <c r="E26" s="496"/>
      <c r="F26" s="496"/>
      <c r="G26" s="496"/>
      <c r="H26" s="496"/>
      <c r="I26" s="496"/>
      <c r="J26" s="501"/>
      <c r="K26" s="496"/>
      <c r="L26" s="496"/>
      <c r="M26" s="503"/>
      <c r="N26" s="496"/>
      <c r="O26" s="496"/>
      <c r="P26" s="496"/>
      <c r="Q26" s="496"/>
      <c r="R26" s="496"/>
      <c r="S26" s="496"/>
      <c r="T26" s="500"/>
      <c r="U26" s="504"/>
      <c r="V26" s="496"/>
      <c r="W26" s="496"/>
      <c r="X26" s="496"/>
      <c r="Y26" s="496"/>
      <c r="Z26" s="504"/>
    </row>
  </sheetData>
  <sheetProtection sheet="1" objects="1" scenarios="1"/>
  <dataConsolidate/>
  <mergeCells count="33">
    <mergeCell ref="P2:Q2"/>
    <mergeCell ref="I3:I5"/>
    <mergeCell ref="B2:K2"/>
    <mergeCell ref="U2:U4"/>
    <mergeCell ref="M3:M4"/>
    <mergeCell ref="P3:P4"/>
    <mergeCell ref="Q3:Q4"/>
    <mergeCell ref="AB1:AD1"/>
    <mergeCell ref="AB2:AB5"/>
    <mergeCell ref="AD2:AD5"/>
    <mergeCell ref="S1:U1"/>
    <mergeCell ref="W1:Z1"/>
    <mergeCell ref="W2:W5"/>
    <mergeCell ref="X2:X4"/>
    <mergeCell ref="Y2:Y4"/>
    <mergeCell ref="Z2:Z4"/>
    <mergeCell ref="AC2:AC4"/>
    <mergeCell ref="A1:Q1"/>
    <mergeCell ref="A2:A5"/>
    <mergeCell ref="S2:S5"/>
    <mergeCell ref="T2:T5"/>
    <mergeCell ref="J3:J5"/>
    <mergeCell ref="L2:O2"/>
    <mergeCell ref="F3:G3"/>
    <mergeCell ref="H3:H4"/>
    <mergeCell ref="E3:E4"/>
    <mergeCell ref="D3:D4"/>
    <mergeCell ref="C3:C4"/>
    <mergeCell ref="B3:B4"/>
    <mergeCell ref="K3:K4"/>
    <mergeCell ref="L3:L4"/>
    <mergeCell ref="N3:N4"/>
    <mergeCell ref="O3:O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T6:T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Y6:Y25 H6:H25" xr:uid="{EA78C879-28A0-4B40-A6F3-6FF36944B2DB}">
      <formula1>0</formula1>
      <formula2>1</formula2>
    </dataValidation>
    <dataValidation type="decimal" operator="greaterThanOrEqual" allowBlank="1" showInputMessage="1" showErrorMessage="1" sqref="D6:G25 N6:N25 U6:U25 Z6:Z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Q3" xr:uid="{4B706591-F50C-427E-823D-DE3818DABCE2}"/>
    <dataValidation allowBlank="1" showInputMessage="1" showErrorMessage="1" promptTitle="Chiller Type" prompt="Select the type of chiller." sqref="T2:T5" xr:uid="{4BA0F955-ECE0-4231-90BC-16B03FC47080}"/>
    <dataValidation allowBlank="1" showInputMessage="1" showErrorMessage="1" promptTitle="Chiller Displacement Volume" prompt="For immersion chillers only._x000a_Amount of wort displaced by chiller in boil kettle." sqref="U2:U4" xr:uid="{A0F6E003-A67B-4EF9-9E5F-AE2BBDF68D6D}"/>
    <dataValidation allowBlank="1" showInputMessage="1" showErrorMessage="1" promptTitle="Fermenter Capacity" prompt="Size of fermenter." sqref="X2:X4" xr:uid="{BA77F3C6-76E8-45F4-919C-C6EF59D15A4A}"/>
    <dataValidation allowBlank="1" showInputMessage="1" showErrorMessage="1" promptTitle="Fermenter Max Fill Percentage" prompt="Limits fermenter capacity to provide head space for krausening (foaming)." sqref="Y2:Y4" xr:uid="{CC0B5F95-3FBA-437C-91FA-EBEFD915508F}"/>
    <dataValidation allowBlank="1" showInputMessage="1" showErrorMessage="1" promptTitle="Fermenter Dead Space" prompt="Amount of wort left behind in fermenter after racking." sqref="Z2:Z4" xr:uid="{D5E095F9-AE3A-4B71-B163-B67B2B3E744D}"/>
    <dataValidation allowBlank="1" showInputMessage="1" showErrorMessage="1" promptTitle="Calibration Temperature" prompt="Temperature for which the hydrometer is calibrated." sqref="AC2:AC4" xr:uid="{D246D435-0D70-491A-BBC0-BACB6C5C09CE}"/>
    <dataValidation allowBlank="1" showInputMessage="1" showErrorMessage="1" promptTitle="Hydrometer Offset" prompt="Adjustment value for hydrometers that do not read 1.000 in distilled water at calibration temperature." sqref="AD2:AD5" xr:uid="{998C2645-444D-4BD7-86FE-376F8F48B8D0}"/>
    <dataValidation type="decimal" allowBlank="1" showInputMessage="1" showErrorMessage="1" sqref="AD6:AD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X6:X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Normal="100" workbookViewId="0">
      <selection activeCell="C7" sqref="C7"/>
    </sheetView>
  </sheetViews>
  <sheetFormatPr defaultRowHeight="13.2" x14ac:dyDescent="0.25"/>
  <cols>
    <col min="1" max="1" width="5.6640625" customWidth="1"/>
    <col min="2" max="2" width="51.88671875" customWidth="1"/>
    <col min="3" max="3" width="7.6640625" bestFit="1" customWidth="1"/>
    <col min="4" max="4" width="7.6640625" customWidth="1"/>
    <col min="5" max="5" width="8.5546875" customWidth="1"/>
    <col min="6" max="6" width="8.6640625" bestFit="1" customWidth="1"/>
    <col min="7" max="7" width="9.5546875" customWidth="1"/>
    <col min="8" max="8" width="6.44140625" customWidth="1"/>
    <col min="9" max="9" width="8.6640625" customWidth="1"/>
    <col min="10" max="10" width="7.88671875" customWidth="1"/>
    <col min="11" max="11" width="9" customWidth="1"/>
    <col min="12" max="39" width="9.44140625" customWidth="1"/>
  </cols>
  <sheetData>
    <row r="1" spans="2:15" x14ac:dyDescent="0.25">
      <c r="B1" s="26"/>
      <c r="C1" s="26"/>
      <c r="D1" s="26"/>
      <c r="G1" s="27"/>
      <c r="H1" s="27"/>
      <c r="I1" s="26"/>
      <c r="J1" s="26"/>
      <c r="K1" s="26"/>
      <c r="L1" s="26"/>
      <c r="M1" s="26"/>
    </row>
    <row r="2" spans="2:15" x14ac:dyDescent="0.25">
      <c r="B2" s="1086" t="s">
        <v>116</v>
      </c>
      <c r="C2" s="1248"/>
      <c r="D2" s="1248"/>
      <c r="E2" s="1248"/>
      <c r="F2" s="1248"/>
      <c r="G2" s="1248"/>
      <c r="H2" s="1248"/>
      <c r="I2" s="1248"/>
      <c r="J2" s="1248"/>
      <c r="K2" s="1248"/>
      <c r="L2" s="1248"/>
      <c r="M2" s="1248"/>
      <c r="N2" s="1248"/>
    </row>
    <row r="3" spans="2:15" s="23" customFormat="1" ht="26.4" customHeight="1" x14ac:dyDescent="0.25">
      <c r="B3" s="1246" t="s">
        <v>704</v>
      </c>
      <c r="C3" s="37" t="s">
        <v>123</v>
      </c>
      <c r="D3" s="1249" t="s">
        <v>95</v>
      </c>
      <c r="E3" s="1246" t="s">
        <v>66</v>
      </c>
      <c r="F3" s="419" t="s">
        <v>2022</v>
      </c>
      <c r="G3" s="1246" t="s">
        <v>706</v>
      </c>
      <c r="H3" s="37" t="s">
        <v>1120</v>
      </c>
      <c r="I3" s="1246" t="s">
        <v>1109</v>
      </c>
      <c r="J3" s="1246" t="s">
        <v>97</v>
      </c>
      <c r="K3" s="1246" t="s">
        <v>1118</v>
      </c>
      <c r="L3" s="1246" t="s">
        <v>1119</v>
      </c>
      <c r="M3" s="37" t="s">
        <v>1877</v>
      </c>
      <c r="N3"/>
      <c r="O3"/>
    </row>
    <row r="4" spans="2:15" s="23" customFormat="1" x14ac:dyDescent="0.25">
      <c r="B4" s="1247"/>
      <c r="C4" s="39" t="str">
        <f>'Brewhouse Setup &amp; Calcs'!$C$6</f>
        <v>lb</v>
      </c>
      <c r="D4" s="1250"/>
      <c r="E4" s="1247"/>
      <c r="F4" s="420" t="s">
        <v>2027</v>
      </c>
      <c r="G4" s="1247"/>
      <c r="H4" s="38" t="s">
        <v>1108</v>
      </c>
      <c r="I4" s="1247"/>
      <c r="J4" s="1247"/>
      <c r="K4" s="1247"/>
      <c r="L4" s="1247"/>
      <c r="M4" s="60"/>
      <c r="N4"/>
      <c r="O4"/>
    </row>
    <row r="5" spans="2:15" x14ac:dyDescent="0.25">
      <c r="B5" s="40" t="s">
        <v>1381</v>
      </c>
      <c r="C5" s="31">
        <v>16</v>
      </c>
      <c r="D5" s="737">
        <f t="shared" ref="D5:D14" si="0">IF(ISBLANK(C5),"",C5/$C$17)</f>
        <v>0.71111111111111114</v>
      </c>
      <c r="E5" s="647" t="str">
        <f>IF(ISBLANK(B5),"",VLOOKUP(B5,grains_table[[Ingredient Name]:[Color (° L)]],3))</f>
        <v>Grain</v>
      </c>
      <c r="F5" s="738">
        <f>IF(ISBLANK(B5),"",VLOOKUP(B5,'Grain &amp; Sugar List'!$A$2:$H$302,8,FALSE)*IF('Brewhouse Setup &amp; Calcs'!$C$2="US Customary",C5,C5*2.204623))</f>
        <v>2240</v>
      </c>
      <c r="G5" s="739">
        <f>IF(ISBLANK(B5),"",VLOOKUP(B5,'Grain &amp; Sugar List'!$A$2:$H$302,6,FALSE))</f>
        <v>1.03743334</v>
      </c>
      <c r="H5" s="646">
        <f t="shared" ref="H5:H14" si="1">IF(ISBLANK(B5),"",(G5-1)*1000)</f>
        <v>37.43333999999998</v>
      </c>
      <c r="I5" s="643">
        <f>IF(ISBLANK(B5),"",IF('Brewhouse Setup &amp; Calcs'!$C$2="Metric",2.20462262185*H5*C5,H5*C5))</f>
        <v>598.93343999999968</v>
      </c>
      <c r="J5" s="740">
        <f>IF(ISBLANK(B5),"",IF(E5="Grain",'Brewhouse Setup &amp; Calcs'!$C$47,IF(E5="Sugar",1,)))</f>
        <v>0.7</v>
      </c>
      <c r="K5" s="643">
        <f>IF(ISBLANK(B5),"",IF('Brewhouse Setup &amp; Calcs'!$C$2="Metric",I5*J5/(0.264172*'Brewhouse Setup &amp; Calcs'!$C$80),I5*J5/'Brewhouse Setup &amp; Calcs'!$C$80*4))</f>
        <v>47.808548312472368</v>
      </c>
      <c r="L5" s="643">
        <f>IF(ISBLANK(B5),"",IF('Brewhouse Setup &amp; Calcs'!$C$2="Metric",I5*J5/(0.264172*'Brewhouse Setup &amp; Calcs'!$C$76),I5*J5/'Brewhouse Setup &amp; Calcs'!$C$76*4))</f>
        <v>60.994332542453627</v>
      </c>
      <c r="M5" s="649">
        <f>IF(ISBLANK(C5),"",(IF('Brewhouse Setup &amp; Calcs'!$C$2="US Customary",((VLOOKUP(B5,grains_table[[Ingredient Name]:[Color (° L)]],7,FALSE)*C5)/('Brewhouse Setup &amp; Calcs'!$C$76/4)),((VLOOKUP(B5,grains_table[[Ingredient Name]:[Color (° L)]],7,FALSE)*C5*2.204623)/('Brewhouse Setup &amp; Calcs'!$C$76*1.056688/4)))))</f>
        <v>4.1899165127899582</v>
      </c>
    </row>
    <row r="6" spans="2:15" x14ac:dyDescent="0.25">
      <c r="B6" s="40" t="s">
        <v>2173</v>
      </c>
      <c r="C6" s="31">
        <v>2.5</v>
      </c>
      <c r="D6" s="737">
        <f t="shared" si="0"/>
        <v>0.1111111111111111</v>
      </c>
      <c r="E6" s="647" t="str">
        <f>IF(ISBLANK(B6),"",VLOOKUP(B6,grains_table[[Ingredient Name]:[Color (° L)]],3))</f>
        <v>Grain</v>
      </c>
      <c r="F6" s="738">
        <f>IF(ISBLANK(B6),"",VLOOKUP(B6,'Grain &amp; Sugar List'!$A$2:$H$302,8,FALSE)*IF('Brewhouse Setup &amp; Calcs'!$C$2="US Customary",C6,C6*2.204623))</f>
        <v>100</v>
      </c>
      <c r="G6" s="739">
        <f>IF(ISBLANK(B6),"",VLOOKUP(B6,'Grain &amp; Sugar List'!$A$2:$H$302,6,FALSE))</f>
        <v>1.0372022700000001</v>
      </c>
      <c r="H6" s="646">
        <f t="shared" si="1"/>
        <v>37.202270000000091</v>
      </c>
      <c r="I6" s="643">
        <f>IF(ISBLANK(B6),"",IF('Brewhouse Setup &amp; Calcs'!$C$2="Metric",2.20462262185*H6*C6,H6*C6))</f>
        <v>93.005675000000224</v>
      </c>
      <c r="J6" s="740">
        <f>IF(ISBLANK(B6),"",IF(E6="Grain",'Brewhouse Setup &amp; Calcs'!$C$47,IF(E6="Sugar",1,)))</f>
        <v>0.7</v>
      </c>
      <c r="K6" s="643">
        <f>IF(ISBLANK(B6),"",IF('Brewhouse Setup &amp; Calcs'!$C$2="Metric",I6*J6/(0.264172*'Brewhouse Setup &amp; Calcs'!$C$80),I6*J6/'Brewhouse Setup &amp; Calcs'!$C$80*4))</f>
        <v>7.4239740338619544</v>
      </c>
      <c r="L6" s="643">
        <f>IF(ISBLANK(B6),"",IF('Brewhouse Setup &amp; Calcs'!$C$2="Metric",I6*J6/(0.264172*'Brewhouse Setup &amp; Calcs'!$C$76),I6*J6/'Brewhouse Setup &amp; Calcs'!$C$76*4))</f>
        <v>9.4715350495129851</v>
      </c>
      <c r="M6" s="649">
        <f>IF(ISBLANK(C6),"",(IF('Brewhouse Setup &amp; Calcs'!$C$2="US Customary",((VLOOKUP(B6,grains_table[[Ingredient Name]:[Color (° L)]],7,FALSE)*C6)/('Brewhouse Setup &amp; Calcs'!$C$76/4)),((VLOOKUP(B6,grains_table[[Ingredient Name]:[Color (° L)]],7,FALSE)*C6*2.204623)/('Brewhouse Setup &amp; Calcs'!$C$76*1.056688/4)))))</f>
        <v>5.5283620654867507</v>
      </c>
    </row>
    <row r="7" spans="2:15" x14ac:dyDescent="0.25">
      <c r="B7" s="40" t="s">
        <v>1355</v>
      </c>
      <c r="C7" s="31">
        <v>1</v>
      </c>
      <c r="D7" s="737">
        <f t="shared" si="0"/>
        <v>4.4444444444444446E-2</v>
      </c>
      <c r="E7" s="647" t="str">
        <f>IF(ISBLANK(B7),"",VLOOKUP(B7,grains_table[[Ingredient Name]:[Color (° L)]],3))</f>
        <v>Grain</v>
      </c>
      <c r="F7" s="738">
        <f>IF(ISBLANK(B7),"",VLOOKUP(B7,'Grain &amp; Sugar List'!$A$2:$H$302,8,FALSE)*IF('Brewhouse Setup &amp; Calcs'!$C$2="US Customary",C7,C7*2.204623))</f>
        <v>0</v>
      </c>
      <c r="G7" s="739">
        <f>IF(ISBLANK(B7),"",VLOOKUP(B7,'Grain &amp; Sugar List'!$A$2:$H$302,6,FALSE))</f>
        <v>1.03512264</v>
      </c>
      <c r="H7" s="646">
        <f t="shared" si="1"/>
        <v>35.122639999999983</v>
      </c>
      <c r="I7" s="643">
        <f>IF(ISBLANK(B7),"",IF('Brewhouse Setup &amp; Calcs'!$C$2="Metric",2.20462262185*H7*C7,H7*C7))</f>
        <v>35.122639999999983</v>
      </c>
      <c r="J7" s="740">
        <f>IF(ISBLANK(B7),"",IF(E7="Grain",'Brewhouse Setup &amp; Calcs'!$C$47,IF(E7="Sugar",1,)))</f>
        <v>0.7</v>
      </c>
      <c r="K7" s="643">
        <f>IF(ISBLANK(B7),"",IF('Brewhouse Setup &amp; Calcs'!$C$2="Metric",I7*J7/(0.264172*'Brewhouse Setup &amp; Calcs'!$C$80),I7*J7/'Brewhouse Setup &amp; Calcs'!$C$80*4))</f>
        <v>2.8035877096820219</v>
      </c>
      <c r="L7" s="643">
        <f>IF(ISBLANK(B7),"",IF('Brewhouse Setup &amp; Calcs'!$C$2="Metric",I7*J7/(0.264172*'Brewhouse Setup &amp; Calcs'!$C$76),I7*J7/'Brewhouse Setup &amp; Calcs'!$C$76*4))</f>
        <v>3.5768281429216637</v>
      </c>
      <c r="M7" s="649">
        <f>IF(ISBLANK(C7),"",(IF('Brewhouse Setup &amp; Calcs'!$C$2="US Customary",((VLOOKUP(B7,grains_table[[Ingredient Name]:[Color (° L)]],7,FALSE)*C7)/('Brewhouse Setup &amp; Calcs'!$C$76/4)),((VLOOKUP(B7,grains_table[[Ingredient Name]:[Color (° L)]],7,FALSE)*C7*2.204623)/('Brewhouse Setup &amp; Calcs'!$C$76*1.056688/4)))))</f>
        <v>11.638656979972106</v>
      </c>
    </row>
    <row r="8" spans="2:15" x14ac:dyDescent="0.25">
      <c r="B8" s="40" t="s">
        <v>1242</v>
      </c>
      <c r="C8" s="31">
        <v>1</v>
      </c>
      <c r="D8" s="737">
        <f t="shared" si="0"/>
        <v>4.4444444444444446E-2</v>
      </c>
      <c r="E8" s="647" t="str">
        <f>IF(ISBLANK(B8),"",VLOOKUP(B8,grains_table[[Ingredient Name]:[Color (° L)]],3))</f>
        <v>Grain</v>
      </c>
      <c r="F8" s="738">
        <f>IF(ISBLANK(B8),"",VLOOKUP(B8,'Grain &amp; Sugar List'!$A$2:$H$302,8,FALSE)*IF('Brewhouse Setup &amp; Calcs'!$C$2="US Customary",C8,C8*2.204623))</f>
        <v>0</v>
      </c>
      <c r="G8" s="739">
        <f>IF(ISBLANK(B8),"",VLOOKUP(B8,'Grain &amp; Sugar List'!$A$2:$H$302,6,FALSE))</f>
        <v>1.0323498</v>
      </c>
      <c r="H8" s="646">
        <f t="shared" si="1"/>
        <v>32.349799999999988</v>
      </c>
      <c r="I8" s="643">
        <f>IF(ISBLANK(B8),"",IF('Brewhouse Setup &amp; Calcs'!$C$2="Metric",2.20462262185*H8*C8,H8*C8))</f>
        <v>32.349799999999988</v>
      </c>
      <c r="J8" s="740">
        <f>IF(ISBLANK(B8),"",IF(E8="Grain",'Brewhouse Setup &amp; Calcs'!$C$47,IF(E8="Sugar",1,)))</f>
        <v>0.7</v>
      </c>
      <c r="K8" s="643">
        <f>IF(ISBLANK(B8),"",IF('Brewhouse Setup &amp; Calcs'!$C$2="Metric",I8*J8/(0.264172*'Brewhouse Setup &amp; Calcs'!$C$80),I8*J8/'Brewhouse Setup &amp; Calcs'!$C$80*4))</f>
        <v>2.5822518378650203</v>
      </c>
      <c r="L8" s="643">
        <f>IF(ISBLANK(B8),"",IF('Brewhouse Setup &amp; Calcs'!$C$2="Metric",I8*J8/(0.264172*'Brewhouse Setup &amp; Calcs'!$C$76),I8*J8/'Brewhouse Setup &amp; Calcs'!$C$76*4))</f>
        <v>3.2944469737436379</v>
      </c>
      <c r="M8" s="649">
        <f>IF(ISBLANK(C8),"",(IF('Brewhouse Setup &amp; Calcs'!$C$2="US Customary",((VLOOKUP(B8,grains_table[[Ingredient Name]:[Color (° L)]],7,FALSE)*C8)/('Brewhouse Setup &amp; Calcs'!$C$76/4)),((VLOOKUP(B8,grains_table[[Ingredient Name]:[Color (° L)]],7,FALSE)*C8*2.204623)/('Brewhouse Setup &amp; Calcs'!$C$76*1.056688/4)))))</f>
        <v>0.36370803062412832</v>
      </c>
    </row>
    <row r="9" spans="2:15" x14ac:dyDescent="0.25">
      <c r="B9" s="40" t="s">
        <v>1350</v>
      </c>
      <c r="C9" s="31">
        <v>1</v>
      </c>
      <c r="D9" s="737">
        <f t="shared" si="0"/>
        <v>4.4444444444444446E-2</v>
      </c>
      <c r="E9" s="647" t="str">
        <f>IF(ISBLANK(B9),"",VLOOKUP(B9,grains_table[[Ingredient Name]:[Color (° L)]],3))</f>
        <v>Grain</v>
      </c>
      <c r="F9" s="738">
        <f>IF(ISBLANK(B9),"",VLOOKUP(B9,'Grain &amp; Sugar List'!$A$2:$H$302,8,FALSE)*IF('Brewhouse Setup &amp; Calcs'!$C$2="US Customary",C9,C9*2.204623))</f>
        <v>0</v>
      </c>
      <c r="G9" s="739">
        <f>IF(ISBLANK(B9),"",VLOOKUP(B9,'Grain &amp; Sugar List'!$A$2:$H$302,6,FALSE))</f>
        <v>1.0346605</v>
      </c>
      <c r="H9" s="646">
        <f t="shared" si="1"/>
        <v>34.660499999999985</v>
      </c>
      <c r="I9" s="643">
        <f>IF(ISBLANK(B9),"",IF('Brewhouse Setup &amp; Calcs'!$C$2="Metric",2.20462262185*H9*C9,H9*C9))</f>
        <v>34.660499999999985</v>
      </c>
      <c r="J9" s="740">
        <f>IF(ISBLANK(B9),"",IF(E9="Grain",'Brewhouse Setup &amp; Calcs'!$C$47,IF(E9="Sugar",1,)))</f>
        <v>0.7</v>
      </c>
      <c r="K9" s="643">
        <f>IF(ISBLANK(B9),"",IF('Brewhouse Setup &amp; Calcs'!$C$2="Metric",I9*J9/(0.264172*'Brewhouse Setup &amp; Calcs'!$C$80),I9*J9/'Brewhouse Setup &amp; Calcs'!$C$80*4))</f>
        <v>2.7666983977125215</v>
      </c>
      <c r="L9" s="643">
        <f>IF(ISBLANK(B9),"",IF('Brewhouse Setup &amp; Calcs'!$C$2="Metric",I9*J9/(0.264172*'Brewhouse Setup &amp; Calcs'!$C$76),I9*J9/'Brewhouse Setup &amp; Calcs'!$C$76*4))</f>
        <v>3.5297646147253259</v>
      </c>
      <c r="M9" s="649">
        <f>IF(ISBLANK(C9),"",(IF('Brewhouse Setup &amp; Calcs'!$C$2="US Customary",((VLOOKUP(B9,grains_table[[Ingredient Name]:[Color (° L)]],7,FALSE)*C9)/('Brewhouse Setup &amp; Calcs'!$C$76/4)),((VLOOKUP(B9,grains_table[[Ingredient Name]:[Color (° L)]],7,FALSE)*C9*2.204623)/('Brewhouse Setup &amp; Calcs'!$C$76*1.056688/4)))))</f>
        <v>17.45798546995816</v>
      </c>
    </row>
    <row r="10" spans="2:15" x14ac:dyDescent="0.25">
      <c r="B10" s="40" t="s">
        <v>2001</v>
      </c>
      <c r="C10" s="31">
        <v>0.75</v>
      </c>
      <c r="D10" s="737">
        <f t="shared" si="0"/>
        <v>3.3333333333333333E-2</v>
      </c>
      <c r="E10" s="647" t="str">
        <f>IF(ISBLANK(B10),"",VLOOKUP(B10,grains_table[[Ingredient Name]:[Color (° L)]],3))</f>
        <v>Grain</v>
      </c>
      <c r="F10" s="738">
        <f>IF(ISBLANK(B10),"",VLOOKUP(B10,'Grain &amp; Sugar List'!$A$2:$H$302,8,FALSE)*IF('Brewhouse Setup &amp; Calcs'!$C$2="US Customary",C10,C10*2.204623))</f>
        <v>0</v>
      </c>
      <c r="G10" s="739">
        <f>IF(ISBLANK(B10),"",VLOOKUP(B10,'Grain &amp; Sugar List'!$A$2:$H$302,6,FALSE))</f>
        <v>1.03281194</v>
      </c>
      <c r="H10" s="646">
        <f t="shared" si="1"/>
        <v>32.811939999999986</v>
      </c>
      <c r="I10" s="643">
        <f>IF(ISBLANK(B10),"",IF('Brewhouse Setup &amp; Calcs'!$C$2="Metric",2.20462262185*H10*C10,H10*C10))</f>
        <v>24.608954999999987</v>
      </c>
      <c r="J10" s="740">
        <f>IF(ISBLANK(B10),"",IF(E10="Grain",'Brewhouse Setup &amp; Calcs'!$C$47,IF(E10="Sugar",1,)))</f>
        <v>0.7</v>
      </c>
      <c r="K10" s="643">
        <f>IF(ISBLANK(B10),"",IF('Brewhouse Setup &amp; Calcs'!$C$2="Metric",I10*J10/(0.264172*'Brewhouse Setup &amp; Calcs'!$C$80),I10*J10/'Brewhouse Setup &amp; Calcs'!$C$80*4))</f>
        <v>1.9643558623758901</v>
      </c>
      <c r="L10" s="643">
        <f>IF(ISBLANK(B10),"",IF('Brewhouse Setup &amp; Calcs'!$C$2="Metric",I10*J10/(0.264172*'Brewhouse Setup &amp; Calcs'!$C$76),I10*J10/'Brewhouse Setup &amp; Calcs'!$C$76*4))</f>
        <v>2.5061328764549811</v>
      </c>
      <c r="M10" s="649">
        <f>IF(ISBLANK(C10),"",(IF('Brewhouse Setup &amp; Calcs'!$C$2="US Customary",((VLOOKUP(B10,grains_table[[Ingredient Name]:[Color (° L)]],7,FALSE)*C10)/('Brewhouse Setup &amp; Calcs'!$C$76/4)),((VLOOKUP(B10,grains_table[[Ingredient Name]:[Color (° L)]],7,FALSE)*C10*2.204623)/('Brewhouse Setup &amp; Calcs'!$C$76*1.056688/4)))))</f>
        <v>38.189343215533469</v>
      </c>
    </row>
    <row r="11" spans="2:15" x14ac:dyDescent="0.25">
      <c r="B11" s="40" t="s">
        <v>1407</v>
      </c>
      <c r="C11" s="31">
        <v>0.25</v>
      </c>
      <c r="D11" s="737">
        <f t="shared" si="0"/>
        <v>1.1111111111111112E-2</v>
      </c>
      <c r="E11" s="647" t="str">
        <f>IF(ISBLANK(B11),"",VLOOKUP(B11,grains_table[[Ingredient Name]:[Color (° L)]],3))</f>
        <v>Grain</v>
      </c>
      <c r="F11" s="738">
        <f>IF(ISBLANK(B11),"",VLOOKUP(B11,'Grain &amp; Sugar List'!$A$2:$H$302,8,FALSE)*IF('Brewhouse Setup &amp; Calcs'!$C$2="US Customary",C11,C11*2.204623))</f>
        <v>0</v>
      </c>
      <c r="G11" s="739">
        <f>IF(ISBLANK(B11),"",VLOOKUP(B11,'Grain &amp; Sugar List'!$A$2:$H$302,6,FALSE))</f>
        <v>1.0254177</v>
      </c>
      <c r="H11" s="646">
        <f t="shared" si="1"/>
        <v>25.417699999999989</v>
      </c>
      <c r="I11" s="643">
        <f>IF(ISBLANK(B11),"",IF('Brewhouse Setup &amp; Calcs'!$C$2="Metric",2.20462262185*H11*C11,H11*C11))</f>
        <v>6.3544249999999973</v>
      </c>
      <c r="J11" s="740">
        <f>IF(ISBLANK(B11),"",IF(E11="Grain",'Brewhouse Setup &amp; Calcs'!$C$47,IF(E11="Sugar",1,)))</f>
        <v>0.7</v>
      </c>
      <c r="K11" s="643">
        <f>IF(ISBLANK(B11),"",IF('Brewhouse Setup &amp; Calcs'!$C$2="Metric",I11*J11/(0.264172*'Brewhouse Setup &amp; Calcs'!$C$80),I11*J11/'Brewhouse Setup &amp; Calcs'!$C$80*4))</f>
        <v>0.5072280395806289</v>
      </c>
      <c r="L11" s="643">
        <f>IF(ISBLANK(B11),"",IF('Brewhouse Setup &amp; Calcs'!$C$2="Metric",I11*J11/(0.264172*'Brewhouse Setup &amp; Calcs'!$C$76),I11*J11/'Brewhouse Setup &amp; Calcs'!$C$76*4))</f>
        <v>0.64712351269964308</v>
      </c>
      <c r="M11" s="649">
        <f>IF(ISBLANK(C11),"",(IF('Brewhouse Setup &amp; Calcs'!$C$2="US Customary",((VLOOKUP(B11,grains_table[[Ingredient Name]:[Color (° L)]],7,FALSE)*C11)/('Brewhouse Setup &amp; Calcs'!$C$76/4)),((VLOOKUP(B11,grains_table[[Ingredient Name]:[Color (° L)]],7,FALSE)*C11*2.204623)/('Brewhouse Setup &amp; Calcs'!$C$76*1.056688/4)))))</f>
        <v>20.003941684327057</v>
      </c>
    </row>
    <row r="12" spans="2:15" x14ac:dyDescent="0.25">
      <c r="B12" s="40"/>
      <c r="C12" s="31"/>
      <c r="D12" s="737" t="str">
        <f t="shared" ref="D12" si="2">IF(ISBLANK(C12),"",C12/$C$17)</f>
        <v/>
      </c>
      <c r="E12" s="647" t="str">
        <f>IF(ISBLANK(B12),"",VLOOKUP(B12,grains_table[[Ingredient Name]:[Color (° L)]],3))</f>
        <v/>
      </c>
      <c r="F12" s="738" t="str">
        <f>IF(ISBLANK(B12),"",VLOOKUP(B12,'Grain &amp; Sugar List'!$A$2:$H$302,8,FALSE)*IF('Brewhouse Setup &amp; Calcs'!$C$2="US Customary",C12,C12*2.204623))</f>
        <v/>
      </c>
      <c r="G12" s="739" t="str">
        <f>IF(ISBLANK(B12),"",VLOOKUP(B12,'Grain &amp; Sugar List'!$A$2:$H$302,6,FALSE))</f>
        <v/>
      </c>
      <c r="H12" s="646" t="str">
        <f t="shared" ref="H12" si="3">IF(ISBLANK(B12),"",(G12-1)*1000)</f>
        <v/>
      </c>
      <c r="I12" s="643" t="str">
        <f>IF(ISBLANK(B12),"",IF('Brewhouse Setup &amp; Calcs'!$C$2="Metric",2.20462262185*H12*C12,H12*C12))</f>
        <v/>
      </c>
      <c r="J12" s="740" t="str">
        <f>IF(ISBLANK(B12),"",IF(E12="Grain",'Brewhouse Setup &amp; Calcs'!$C$47,IF(E12="Sugar",1,)))</f>
        <v/>
      </c>
      <c r="K12" s="643" t="str">
        <f>IF(ISBLANK(B12),"",IF('Brewhouse Setup &amp; Calcs'!$C$2="Metric",I12*J12/(0.264172*'Brewhouse Setup &amp; Calcs'!$C$80),I12*J12/'Brewhouse Setup &amp; Calcs'!$C$80*4))</f>
        <v/>
      </c>
      <c r="L12" s="643" t="str">
        <f>IF(ISBLANK(B12),"",IF('Brewhouse Setup &amp; Calcs'!$C$2="Metric",I12*J12/(0.264172*'Brewhouse Setup &amp; Calcs'!$C$76),I12*J12/'Brewhouse Setup &amp; Calcs'!$C$76*4))</f>
        <v/>
      </c>
      <c r="M12" s="649"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5">
      <c r="B13" s="40"/>
      <c r="C13" s="31"/>
      <c r="D13" s="737" t="str">
        <f t="shared" si="0"/>
        <v/>
      </c>
      <c r="E13" s="647" t="str">
        <f>IF(ISBLANK(B13),"",VLOOKUP(B13,grains_table[[Ingredient Name]:[Color (° L)]],3))</f>
        <v/>
      </c>
      <c r="F13" s="738" t="str">
        <f>IF(ISBLANK(B13),"",VLOOKUP(B13,'Grain &amp; Sugar List'!$A$2:$H$302,8,FALSE)*IF('Brewhouse Setup &amp; Calcs'!$C$2="US Customary",C13,C13*2.204623))</f>
        <v/>
      </c>
      <c r="G13" s="739" t="str">
        <f>IF(ISBLANK(B13),"",VLOOKUP(B13,'Grain &amp; Sugar List'!$A$2:$H$302,6,FALSE))</f>
        <v/>
      </c>
      <c r="H13" s="646" t="str">
        <f t="shared" si="1"/>
        <v/>
      </c>
      <c r="I13" s="643" t="str">
        <f>IF(ISBLANK(B13),"",IF('Brewhouse Setup &amp; Calcs'!$C$2="Metric",2.20462262185*H13*C13,H13*C13))</f>
        <v/>
      </c>
      <c r="J13" s="740" t="str">
        <f>IF(ISBLANK(B13),"",IF(E13="Grain",'Brewhouse Setup &amp; Calcs'!$C$47,IF(E13="Sugar",1,)))</f>
        <v/>
      </c>
      <c r="K13" s="643" t="str">
        <f>IF(ISBLANK(B13),"",IF('Brewhouse Setup &amp; Calcs'!$C$2="Metric",I13*J13/(0.264172*'Brewhouse Setup &amp; Calcs'!$C$80),I13*J13/'Brewhouse Setup &amp; Calcs'!$C$80*4))</f>
        <v/>
      </c>
      <c r="L13" s="643" t="str">
        <f>IF(ISBLANK(B13),"",IF('Brewhouse Setup &amp; Calcs'!$C$2="Metric",I13*J13/(0.264172*'Brewhouse Setup &amp; Calcs'!$C$76),I13*J13/'Brewhouse Setup &amp; Calcs'!$C$76*4))</f>
        <v/>
      </c>
      <c r="M13" s="649"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5">
      <c r="B14" s="40"/>
      <c r="C14" s="31"/>
      <c r="D14" s="737" t="str">
        <f t="shared" si="0"/>
        <v/>
      </c>
      <c r="E14" s="647" t="str">
        <f>IF(ISBLANK(B14),"",VLOOKUP(B14,grains_table[[Ingredient Name]:[Color (° L)]],3))</f>
        <v/>
      </c>
      <c r="F14" s="738" t="str">
        <f>IF(ISBLANK(B14),"",VLOOKUP(B14,'Grain &amp; Sugar List'!$A$2:$H$302,8,FALSE)*IF('Brewhouse Setup &amp; Calcs'!$C$2="US Customary",C14,C14*2.204623))</f>
        <v/>
      </c>
      <c r="G14" s="739" t="str">
        <f>IF(ISBLANK(B14),"",VLOOKUP(B14,'Grain &amp; Sugar List'!$A$2:$H$302,6,FALSE))</f>
        <v/>
      </c>
      <c r="H14" s="646" t="str">
        <f t="shared" si="1"/>
        <v/>
      </c>
      <c r="I14" s="643" t="str">
        <f>IF(ISBLANK(B14),"",IF('Brewhouse Setup &amp; Calcs'!$C$2="Metric",2.20462262185*H14*C14,H14*C14))</f>
        <v/>
      </c>
      <c r="J14" s="740" t="str">
        <f>IF(ISBLANK(B14),"",IF(E14="Grain",'Brewhouse Setup &amp; Calcs'!$C$47,IF(E14="Sugar",1,)))</f>
        <v/>
      </c>
      <c r="K14" s="643" t="str">
        <f>IF(ISBLANK(B14),"",IF('Brewhouse Setup &amp; Calcs'!$C$2="Metric",I14*J14/(0.264172*'Brewhouse Setup &amp; Calcs'!$C$80),I14*J14/'Brewhouse Setup &amp; Calcs'!$C$80*4))</f>
        <v/>
      </c>
      <c r="L14" s="643" t="str">
        <f>IF(ISBLANK(B14),"",IF('Brewhouse Setup &amp; Calcs'!$C$2="Metric",I14*J14/(0.264172*'Brewhouse Setup &amp; Calcs'!$C$76),I14*J14/'Brewhouse Setup &amp; Calcs'!$C$76*4))</f>
        <v/>
      </c>
      <c r="M14" s="649"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5">
      <c r="B15" s="21" t="s">
        <v>99</v>
      </c>
      <c r="C15" s="651">
        <f>SUMIF($E$5:$E$14,"Grain",$C$5:$C$14)</f>
        <v>22.5</v>
      </c>
      <c r="D15" s="744">
        <f>SUMIF($E$5:$E$14,"Grain",$D$5:$D$14)</f>
        <v>0.99999999999999978</v>
      </c>
      <c r="F15" s="421">
        <f>ROUND(SUM(F5:F14)/($C$15*IF('Brewhouse Setup &amp; Calcs'!C2="US Customary",1,2.204623)),0)</f>
        <v>104</v>
      </c>
      <c r="H15" s="21" t="s">
        <v>1103</v>
      </c>
      <c r="I15" s="741">
        <f>SUMIF($E$5:$E$14,"Grain",$I$5:$I$14)</f>
        <v>825.03543499999978</v>
      </c>
      <c r="J15" s="21"/>
      <c r="K15" s="741">
        <f>SUMIF($E$5:$E$14,"Grain",$K$5:$K$14)</f>
        <v>65.856644193550409</v>
      </c>
      <c r="L15" s="741">
        <f>SUMIF($E$5:$E$14,"Grain",$L$5:$L$14)</f>
        <v>84.020163712511859</v>
      </c>
      <c r="M15" s="407"/>
    </row>
    <row r="16" spans="2:15" x14ac:dyDescent="0.25">
      <c r="B16" s="21" t="s">
        <v>860</v>
      </c>
      <c r="C16" s="651">
        <f>SUMIF($E$5:$E$14,"Sugar",$C$5:$C$14)</f>
        <v>0</v>
      </c>
      <c r="D16" s="744">
        <f>SUMIF($E$5:$E$14,"Sugar",$D$5:$D$14)</f>
        <v>0</v>
      </c>
      <c r="F16" s="1243" t="s">
        <v>2267</v>
      </c>
      <c r="H16" s="21" t="s">
        <v>1104</v>
      </c>
      <c r="I16" s="741">
        <f>SUMIF($E$5:$E$14,"Sugar",$I$5:$I$14)</f>
        <v>0</v>
      </c>
      <c r="J16" s="21"/>
      <c r="K16" s="741">
        <f>SUMIF($E$5:$E$14,"Sugar",$K$5:$K$14)</f>
        <v>0</v>
      </c>
      <c r="L16" s="741">
        <f>SUMIF($E$5:$E$14,"Sugar",$L$5:$L$14)</f>
        <v>0</v>
      </c>
      <c r="M16" s="408" t="s">
        <v>1878</v>
      </c>
    </row>
    <row r="17" spans="2:13" x14ac:dyDescent="0.25">
      <c r="B17" s="21" t="s">
        <v>117</v>
      </c>
      <c r="C17" s="651">
        <f>C15+C16</f>
        <v>22.5</v>
      </c>
      <c r="D17" s="744">
        <f>D15+D16</f>
        <v>0.99999999999999978</v>
      </c>
      <c r="F17" s="1244"/>
      <c r="H17" s="21" t="s">
        <v>117</v>
      </c>
      <c r="I17" s="741">
        <f>SUM(I5:I14)</f>
        <v>825.03543499999978</v>
      </c>
      <c r="K17" s="741">
        <f>SUM(K5:K14)</f>
        <v>65.856644193550409</v>
      </c>
      <c r="L17" s="741">
        <f>SUM(L5:L14)</f>
        <v>84.020163712511859</v>
      </c>
      <c r="M17" s="742">
        <f>SUM(M5:M14)</f>
        <v>97.371913958691636</v>
      </c>
    </row>
    <row r="18" spans="2:13" x14ac:dyDescent="0.25">
      <c r="F18" s="1244"/>
      <c r="M18" s="409" t="s">
        <v>1235</v>
      </c>
    </row>
    <row r="19" spans="2:13" x14ac:dyDescent="0.25">
      <c r="B19" s="568" t="s">
        <v>2268</v>
      </c>
      <c r="C19" s="569" t="str">
        <f>'Brewhouse Setup &amp; Calcs'!M12</f>
        <v>PASS</v>
      </c>
      <c r="F19" s="1244"/>
      <c r="J19" s="21" t="s">
        <v>118</v>
      </c>
      <c r="K19" s="739">
        <f>SUMIF($E$5:$E$14,"Grain",$K$5:$K$14)*(IF(I4="PKL",2.205,1))/1000+1</f>
        <v>1.0658566441935504</v>
      </c>
      <c r="M19" s="443">
        <f>1.4922*M17^0.6859</f>
        <v>34.490041350524059</v>
      </c>
    </row>
    <row r="20" spans="2:13" x14ac:dyDescent="0.25">
      <c r="C20" s="442"/>
      <c r="F20" s="1244"/>
      <c r="J20" s="21" t="s">
        <v>1105</v>
      </c>
      <c r="K20" s="743">
        <f>SUMIF($E$5:$E$14,"Sugar",$K$5:$K$14)/1000+1</f>
        <v>1</v>
      </c>
    </row>
    <row r="21" spans="2:13" x14ac:dyDescent="0.25">
      <c r="C21" s="584"/>
      <c r="F21" s="1244"/>
      <c r="J21" s="21" t="s">
        <v>120</v>
      </c>
      <c r="K21" s="743">
        <f>SUM(K5:K14)/1000+1</f>
        <v>1.0658566441935504</v>
      </c>
      <c r="L21" s="441">
        <f>L17/1000+1</f>
        <v>1.0840201637125118</v>
      </c>
    </row>
    <row r="22" spans="2:13" x14ac:dyDescent="0.25">
      <c r="F22" s="1245"/>
    </row>
    <row r="23" spans="2:13" ht="13.2" customHeight="1" x14ac:dyDescent="0.25">
      <c r="E23" s="1240" t="s">
        <v>2034</v>
      </c>
      <c r="F23" s="425" t="s">
        <v>2031</v>
      </c>
      <c r="G23" s="429" t="s">
        <v>2033</v>
      </c>
      <c r="H23" s="430"/>
      <c r="I23" s="431"/>
      <c r="K23" s="1240" t="s">
        <v>2156</v>
      </c>
      <c r="L23" s="441"/>
      <c r="M23" s="20" t="s">
        <v>2154</v>
      </c>
    </row>
    <row r="24" spans="2:13" x14ac:dyDescent="0.25">
      <c r="E24" s="1241"/>
      <c r="F24" s="423" t="s">
        <v>2032</v>
      </c>
      <c r="G24" s="429" t="s">
        <v>2028</v>
      </c>
      <c r="H24" s="430"/>
      <c r="I24" s="431"/>
      <c r="K24" s="1242"/>
      <c r="L24" s="424"/>
      <c r="M24" s="20" t="s">
        <v>2155</v>
      </c>
    </row>
    <row r="25" spans="2:13" x14ac:dyDescent="0.25">
      <c r="E25" s="1242"/>
      <c r="F25" s="424" t="s">
        <v>2029</v>
      </c>
      <c r="G25" s="426" t="s">
        <v>2030</v>
      </c>
      <c r="H25" s="427"/>
      <c r="I25" s="428"/>
      <c r="K25" s="442"/>
    </row>
    <row r="26" spans="2:13" x14ac:dyDescent="0.25">
      <c r="K26" s="1234" t="s">
        <v>21</v>
      </c>
      <c r="L26" s="1234"/>
      <c r="M26" s="1234"/>
    </row>
    <row r="27" spans="2:13" x14ac:dyDescent="0.25">
      <c r="K27" s="1235" t="str">
        <f>'Recipe Sheet'!$B$1</f>
        <v>20C. Imperial Stout</v>
      </c>
      <c r="L27" s="1235"/>
      <c r="M27" s="1235"/>
    </row>
    <row r="28" spans="2:13" x14ac:dyDescent="0.25">
      <c r="K28" s="1239" t="s">
        <v>2142</v>
      </c>
      <c r="L28" s="1239"/>
      <c r="M28" s="1239"/>
    </row>
    <row r="29" spans="2:13" x14ac:dyDescent="0.25">
      <c r="F29" s="417"/>
      <c r="K29" s="439">
        <f>VLOOKUP('Recipe Sheet'!$B$1,'BJCP Guidelines'!$A$2:$K$120,10,FALSE)</f>
        <v>30</v>
      </c>
      <c r="L29" s="436" t="s">
        <v>2153</v>
      </c>
      <c r="M29" s="440">
        <f>VLOOKUP('Recipe Sheet'!$B$1,'BJCP Guidelines'!$A$2:$K$120,11,FALSE)</f>
        <v>40</v>
      </c>
    </row>
    <row r="30" spans="2:13" x14ac:dyDescent="0.25">
      <c r="F30" s="422"/>
      <c r="K30" s="1236" t="s">
        <v>2141</v>
      </c>
      <c r="L30" s="1237"/>
      <c r="M30" s="1238"/>
    </row>
    <row r="31" spans="2:13" x14ac:dyDescent="0.25">
      <c r="F31" s="522"/>
      <c r="K31" s="433">
        <f>VLOOKUP('Recipe Sheet'!$B$1,'BJCP Guidelines'!$A$2:$K$120,2,FALSE)</f>
        <v>1.075</v>
      </c>
      <c r="L31" s="434" t="s">
        <v>2153</v>
      </c>
      <c r="M31" s="435">
        <f>VLOOKUP('Recipe Sheet'!$B$1,'BJCP Guidelines'!$A$2:$K$120,3,FALSE)</f>
        <v>1.115</v>
      </c>
    </row>
    <row r="32" spans="2:13" x14ac:dyDescent="0.25">
      <c r="F32" s="417"/>
    </row>
  </sheetData>
  <sheetProtection sheet="1" objects="1" scenarios="1"/>
  <mergeCells count="16">
    <mergeCell ref="F16:F22"/>
    <mergeCell ref="L3:L4"/>
    <mergeCell ref="I3:I4"/>
    <mergeCell ref="G3:G4"/>
    <mergeCell ref="B2:N2"/>
    <mergeCell ref="B3:B4"/>
    <mergeCell ref="D3:D4"/>
    <mergeCell ref="E3:E4"/>
    <mergeCell ref="J3:J4"/>
    <mergeCell ref="K3:K4"/>
    <mergeCell ref="K26:M26"/>
    <mergeCell ref="K27:M27"/>
    <mergeCell ref="K30:M30"/>
    <mergeCell ref="K28:M28"/>
    <mergeCell ref="E23:E25"/>
    <mergeCell ref="K23:K24"/>
  </mergeCells>
  <conditionalFormatting sqref="F15">
    <cfRule type="cellIs" dxfId="55" priority="9" operator="lessThan">
      <formula>30</formula>
    </cfRule>
    <cfRule type="cellIs" dxfId="54" priority="10" operator="between">
      <formula>30</formula>
      <formula>69</formula>
    </cfRule>
    <cfRule type="cellIs" dxfId="53" priority="11" operator="greaterThanOrEqual">
      <formula>70</formula>
    </cfRule>
  </conditionalFormatting>
  <conditionalFormatting sqref="C19">
    <cfRule type="cellIs" dxfId="52" priority="1" operator="equal">
      <formula>"PASS"</formula>
    </cfRule>
    <cfRule type="cellIs" dxfId="51" priority="2" operator="equal">
      <formula>"FAIL"</formula>
    </cfRule>
  </conditionalFormatting>
  <conditionalFormatting sqref="L21">
    <cfRule type="cellIs" dxfId="50" priority="6" operator="between">
      <formula>$K$31</formula>
      <formula>$M$31</formula>
    </cfRule>
    <cfRule type="cellIs" dxfId="49" priority="46" operator="notBetween">
      <formula>$K$31</formula>
      <formula>$M$31</formula>
    </cfRule>
  </conditionalFormatting>
  <conditionalFormatting sqref="M19">
    <cfRule type="cellIs" dxfId="48" priority="5" operator="between">
      <formula>$K$29</formula>
      <formula>$M$29</formula>
    </cfRule>
    <cfRule type="cellIs" dxfId="47"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A8D41688-8D82-43AA-B554-27C3E0B75ED5}">
            <xm:f>IF(VLOOKUP('Recipe Sheet'!B4,'BJCP Guidelines'!$A$2:$K$120,2,FALSE)="NA",TRUE,FALSE)</xm:f>
            <x14:dxf>
              <fill>
                <patternFill>
                  <bgColor rgb="FF92D050"/>
                </patternFill>
              </fill>
            </x14:dxf>
          </x14:cfRule>
          <x14:cfRule type="expression" priority="4" id="{5D30D944-3216-40F0-8627-7082691389DC}">
            <xm:f>OR($L$21&lt;VLOOKUP('Recipe Sheet'!B4,'BJCP Guidelines'!$A$2:$K$120,2,FALSE),$L$21&gt;VLOOKUP('Recipe Sheet'!B4,'BJCP Guidelines'!$A$2:$K$120,3,FALSE))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List'!$A$2:$A$242</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workbookViewId="0">
      <selection activeCell="G10" sqref="G10"/>
    </sheetView>
  </sheetViews>
  <sheetFormatPr defaultRowHeight="13.2" x14ac:dyDescent="0.25"/>
  <cols>
    <col min="1" max="1" width="10.33203125" bestFit="1" customWidth="1"/>
    <col min="2" max="2" width="7.5546875" customWidth="1"/>
    <col min="3" max="3" width="10.6640625" customWidth="1"/>
    <col min="4" max="4" width="7.33203125" customWidth="1"/>
    <col min="5" max="5" width="36.33203125" customWidth="1"/>
    <col min="6" max="6" width="6.5546875" style="25" customWidth="1"/>
    <col min="7" max="7" width="8.33203125" customWidth="1"/>
    <col min="8" max="8" width="7.33203125" customWidth="1"/>
    <col min="9" max="9" width="7.88671875" customWidth="1"/>
    <col min="10" max="10" width="8" customWidth="1"/>
    <col min="11" max="11" width="8.6640625" customWidth="1"/>
    <col min="13" max="13" width="11.6640625" customWidth="1"/>
    <col min="14" max="14" width="1.6640625" bestFit="1" customWidth="1"/>
    <col min="15" max="15" width="11.6640625" customWidth="1"/>
    <col min="16" max="16" width="6.109375" customWidth="1"/>
  </cols>
  <sheetData>
    <row r="1" spans="1:15" x14ac:dyDescent="0.25">
      <c r="C1" s="1254" t="s">
        <v>104</v>
      </c>
      <c r="D1" s="1254"/>
      <c r="E1" s="1254"/>
      <c r="F1" s="1254"/>
      <c r="G1" s="1254"/>
      <c r="H1" s="1254"/>
      <c r="I1" s="1254"/>
      <c r="J1" s="1254"/>
      <c r="K1" s="1254"/>
    </row>
    <row r="2" spans="1:15" x14ac:dyDescent="0.25">
      <c r="C2" s="28" t="s">
        <v>112</v>
      </c>
      <c r="D2" s="397">
        <v>0.1</v>
      </c>
      <c r="E2" s="21" t="s">
        <v>107</v>
      </c>
      <c r="F2" s="32">
        <v>0</v>
      </c>
      <c r="H2" s="396" t="s">
        <v>105</v>
      </c>
      <c r="I2" s="397">
        <v>0.1</v>
      </c>
      <c r="J2" s="396" t="s">
        <v>106</v>
      </c>
      <c r="K2" s="397">
        <v>0.05</v>
      </c>
    </row>
    <row r="3" spans="1:15" x14ac:dyDescent="0.25">
      <c r="C3" s="398" t="s">
        <v>1871</v>
      </c>
      <c r="D3" s="403">
        <v>0.5</v>
      </c>
    </row>
    <row r="4" spans="1:15" x14ac:dyDescent="0.25">
      <c r="C4" s="1254" t="s">
        <v>94</v>
      </c>
      <c r="D4" s="1254"/>
      <c r="E4" s="1254"/>
      <c r="F4" s="1254"/>
      <c r="G4" s="1255"/>
      <c r="H4" s="1254"/>
      <c r="I4" s="1254"/>
      <c r="J4" s="1254"/>
      <c r="K4" s="1254"/>
    </row>
    <row r="5" spans="1:15" ht="30.6" customHeight="1" x14ac:dyDescent="0.25">
      <c r="C5" s="1246" t="s">
        <v>93</v>
      </c>
      <c r="D5" s="1246" t="s">
        <v>66</v>
      </c>
      <c r="E5" s="1246" t="s">
        <v>91</v>
      </c>
      <c r="F5" s="1249" t="s">
        <v>92</v>
      </c>
      <c r="G5" s="37" t="s">
        <v>124</v>
      </c>
      <c r="H5" s="1246" t="s">
        <v>1110</v>
      </c>
      <c r="I5" s="1246" t="s">
        <v>98</v>
      </c>
      <c r="J5" s="1246" t="s">
        <v>88</v>
      </c>
      <c r="K5" s="1246" t="s">
        <v>87</v>
      </c>
    </row>
    <row r="6" spans="1:15" x14ac:dyDescent="0.25">
      <c r="C6" s="1247"/>
      <c r="D6" s="1247"/>
      <c r="E6" s="1247"/>
      <c r="F6" s="1250"/>
      <c r="G6" s="39" t="str">
        <f>'Brewhouse Setup &amp; Calcs'!$C$7</f>
        <v>oz</v>
      </c>
      <c r="H6" s="1247"/>
      <c r="I6" s="1247"/>
      <c r="J6" s="1247"/>
      <c r="K6" s="1247"/>
    </row>
    <row r="7" spans="1:15" x14ac:dyDescent="0.25">
      <c r="A7" s="395" t="str">
        <f t="shared" ref="A7:A8" si="0">IF(C7="Hop Stand","Time (min):","")</f>
        <v/>
      </c>
      <c r="B7" s="399"/>
      <c r="C7" s="40">
        <v>60</v>
      </c>
      <c r="D7" s="40" t="s">
        <v>2000</v>
      </c>
      <c r="E7" s="40" t="s">
        <v>190</v>
      </c>
      <c r="F7" s="33">
        <v>16.2</v>
      </c>
      <c r="G7" s="31">
        <v>0.75</v>
      </c>
      <c r="H7" s="46">
        <f>IF(ISBLANK(G7),"",IF($G$6="grams",F7*G7/28.346,F7*G7))</f>
        <v>12.149999999999999</v>
      </c>
      <c r="I7" s="47">
        <f>1+IF(D7="Leaf",0,IF(D7="Pellet",$I$2,IF(D7="Plug",$K$2,)))+IF(C7="FWH",$D$2,)</f>
        <v>1.1000000000000001</v>
      </c>
      <c r="J7" s="29">
        <f>(1.65*0.000125^(('Grain &amp; Sugar Calcs'!$K$21+'Grain &amp; Sugar Calcs'!$L$21)/2-1))*((1-EXP(-0.04*IF(C7="Hop Stand",$D$3*B7,IF(C7="Dry Hop",0,IF(C7="FWH",'Brewhouse Setup &amp; Calcs'!$C$28,C7)))))/4.15)*I7</f>
        <v>0.20278499426063715</v>
      </c>
      <c r="K7" s="24">
        <f>(F7*IF('Brewhouse Setup &amp; Calcs'!$C$7="grams",G7/28.349523,G7)*J7*74.89/IF($G$6="grams",'Brewhouse Setup &amp; Calcs'!$C$76*1.056688/4,'Brewhouse Setup &amp; Calcs'!$C$76/4))</f>
        <v>26.84409734179955</v>
      </c>
    </row>
    <row r="8" spans="1:15" x14ac:dyDescent="0.25">
      <c r="A8" s="395" t="str">
        <f t="shared" si="0"/>
        <v/>
      </c>
      <c r="B8" s="399"/>
      <c r="C8" s="40">
        <v>10</v>
      </c>
      <c r="D8" s="40" t="s">
        <v>2000</v>
      </c>
      <c r="E8" s="40" t="s">
        <v>274</v>
      </c>
      <c r="F8" s="33">
        <v>7.5</v>
      </c>
      <c r="G8" s="31">
        <v>0.5</v>
      </c>
      <c r="H8" s="46">
        <f t="shared" ref="H8:H9" si="1">IF(ISBLANK(G8),"",IF($G$6="grams",F8*G8/28.346,F8*G8))</f>
        <v>3.75</v>
      </c>
      <c r="I8" s="47">
        <f t="shared" ref="I8:I9" si="2">1+IF(D8="Leaf",0,IF(D8="Pellet",$I$2,IF(D8="Plug",$K$2,)))+IF(C8="FWH",$D$2,)</f>
        <v>1.1000000000000001</v>
      </c>
      <c r="J8" s="29">
        <f>(1.65*0.000125^(('Grain &amp; Sugar Calcs'!$K$21+'Grain &amp; Sugar Calcs'!$L$21)/2-1))*((1-EXP(-0.04*IF(C8="Hop Stand",$D$3*B8,IF(C8="Dry Hop",0,IF(C8="FWH",'Brewhouse Setup &amp; Calcs'!$C$28,C8)))))/4.15)*I8</f>
        <v>7.3524103785355829E-2</v>
      </c>
      <c r="K8" s="24">
        <f>(F8*IF('Brewhouse Setup &amp; Calcs'!$C$7="grams",G8/28.349523,G8)*J8*74.89/IF($G$6="grams",'Brewhouse Setup &amp; Calcs'!$C$76*1.056688/4,'Brewhouse Setup &amp; Calcs'!$C$76/4))</f>
        <v>3.0039847208537322</v>
      </c>
    </row>
    <row r="9" spans="1:15" x14ac:dyDescent="0.25">
      <c r="A9" s="395" t="str">
        <f>IF(C9="Hop Stand","Time (min):","")</f>
        <v/>
      </c>
      <c r="B9" s="399"/>
      <c r="C9" s="40">
        <v>10</v>
      </c>
      <c r="D9" s="40" t="s">
        <v>2000</v>
      </c>
      <c r="E9" s="40" t="s">
        <v>190</v>
      </c>
      <c r="F9" s="33">
        <v>16.2</v>
      </c>
      <c r="G9" s="31">
        <v>0.25</v>
      </c>
      <c r="H9" s="46">
        <f t="shared" si="1"/>
        <v>4.05</v>
      </c>
      <c r="I9" s="47">
        <f t="shared" si="2"/>
        <v>1.1000000000000001</v>
      </c>
      <c r="J9" s="29">
        <f>(1.65*0.000125^(('Grain &amp; Sugar Calcs'!$K$21+'Grain &amp; Sugar Calcs'!$L$21)/2-1))*((1-EXP(-0.04*IF(C9="Hop Stand",$D$3*B9,IF(C9="Dry Hop",0,IF(C9="FWH",'Brewhouse Setup &amp; Calcs'!$C$28,C9)))))/4.15)*I9</f>
        <v>7.3524103785355829E-2</v>
      </c>
      <c r="K9" s="24">
        <f>(F9*IF('Brewhouse Setup &amp; Calcs'!$C$7="grams",G9/28.349523,G9)*J9*74.89/IF($G$6="grams",'Brewhouse Setup &amp; Calcs'!$C$76*1.056688/4,'Brewhouse Setup &amp; Calcs'!$C$76/4))</f>
        <v>3.2443034985220298</v>
      </c>
    </row>
    <row r="10" spans="1:15" x14ac:dyDescent="0.25">
      <c r="A10" s="395"/>
      <c r="B10" s="399"/>
      <c r="C10" s="40"/>
      <c r="D10" s="40"/>
      <c r="E10" s="40"/>
      <c r="F10" s="33"/>
      <c r="G10" s="31"/>
      <c r="H10" s="46" t="str">
        <f t="shared" ref="H10:H18" si="3">IF(ISBLANK(G10),"",IF($G$6="grams",F10*G10/28.346,F10*G10))</f>
        <v/>
      </c>
      <c r="I10" s="47">
        <f t="shared" ref="I10:I18" si="4">1+IF(D10="Leaf",0,IF(D10="Pellet",$I$2,IF(D10="Plug",$K$2,)))+IF(C10="FWH",$D$2,)</f>
        <v>1</v>
      </c>
      <c r="J10" s="29">
        <f>(1.65*0.000125^(('Grain &amp; Sugar Calcs'!$K$21+'Grain &amp; Sugar Calcs'!$L$21)/2-1))*((1-EXP(-0.04*IF(C10="Hop Stand",$D$3*B10,IF(C10="Dry Hop",0,IF(C10="FWH",'Brewhouse Setup &amp; Calcs'!$C$28,C10)))))/4.15)*I10</f>
        <v>0</v>
      </c>
      <c r="K10" s="24">
        <f>(F10*IF('Brewhouse Setup &amp; Calcs'!$C$7="grams",G10/28.349523,G10)*J10*74.89/IF($G$6="grams",'Brewhouse Setup &amp; Calcs'!$C$76*1.056688/4,'Brewhouse Setup &amp; Calcs'!$C$76/4))</f>
        <v>0</v>
      </c>
    </row>
    <row r="11" spans="1:15" x14ac:dyDescent="0.25">
      <c r="A11" s="395"/>
      <c r="B11" s="399"/>
      <c r="C11" s="40"/>
      <c r="D11" s="40"/>
      <c r="E11" s="40"/>
      <c r="F11" s="33"/>
      <c r="G11" s="31"/>
      <c r="H11" s="46" t="str">
        <f t="shared" si="3"/>
        <v/>
      </c>
      <c r="I11" s="47">
        <f t="shared" si="4"/>
        <v>1</v>
      </c>
      <c r="J11" s="29">
        <f>(1.65*0.000125^(('Grain &amp; Sugar Calcs'!$K$21+'Grain &amp; Sugar Calcs'!$L$21)/2-1))*((1-EXP(-0.04*IF(C11="Hop Stand",$D$3*B11,IF(C11="Dry Hop",0,IF(C11="FWH",'Brewhouse Setup &amp; Calcs'!$C$28,C11)))))/4.15)*I11</f>
        <v>0</v>
      </c>
      <c r="K11" s="24">
        <f>(F11*IF('Brewhouse Setup &amp; Calcs'!$C$7="grams",G11/28.349523,G11)*J11*74.89/IF($G$6="grams",'Brewhouse Setup &amp; Calcs'!$C$76*1.056688/4,'Brewhouse Setup &amp; Calcs'!$C$76/4))</f>
        <v>0</v>
      </c>
    </row>
    <row r="12" spans="1:15" x14ac:dyDescent="0.25">
      <c r="A12" s="395" t="str">
        <f t="shared" ref="A12:A18" si="5">IF(C12="Hop Stand","Time (min):","")</f>
        <v/>
      </c>
      <c r="B12" s="399"/>
      <c r="C12" s="40"/>
      <c r="D12" s="40"/>
      <c r="E12" s="40"/>
      <c r="F12" s="33"/>
      <c r="G12" s="31"/>
      <c r="H12" s="46" t="str">
        <f t="shared" si="3"/>
        <v/>
      </c>
      <c r="I12" s="47">
        <f t="shared" si="4"/>
        <v>1</v>
      </c>
      <c r="J12" s="29">
        <f>(1.65*0.000125^(('Grain &amp; Sugar Calcs'!$K$21+'Grain &amp; Sugar Calcs'!$L$21)/2-1))*((1-EXP(-0.04*IF(C12="Hop Stand",$D$3*B12,IF(C12="Dry Hop",0,IF(C12="FWH",'Brewhouse Setup &amp; Calcs'!$C$28,C12)))))/4.15)*I12</f>
        <v>0</v>
      </c>
      <c r="K12" s="24">
        <f>(F12*IF('Brewhouse Setup &amp; Calcs'!$C$7="grams",G12/28.349523,G12)*J12*74.89/IF($G$6="grams",'Brewhouse Setup &amp; Calcs'!$C$76*1.056688/4,'Brewhouse Setup &amp; Calcs'!$C$76/4))</f>
        <v>0</v>
      </c>
    </row>
    <row r="13" spans="1:15" x14ac:dyDescent="0.25">
      <c r="A13" s="395" t="str">
        <f t="shared" si="5"/>
        <v/>
      </c>
      <c r="B13" s="399"/>
      <c r="C13" s="40"/>
      <c r="D13" s="40"/>
      <c r="E13" s="40"/>
      <c r="F13" s="33"/>
      <c r="G13" s="31"/>
      <c r="H13" s="46" t="str">
        <f t="shared" si="3"/>
        <v/>
      </c>
      <c r="I13" s="47">
        <f t="shared" si="4"/>
        <v>1</v>
      </c>
      <c r="J13" s="29">
        <f>(1.65*0.000125^(('Grain &amp; Sugar Calcs'!$K$21+'Grain &amp; Sugar Calcs'!$L$21)/2-1))*((1-EXP(-0.04*IF(C13="Hop Stand",$D$3*B13,IF(C13="Dry Hop",0,IF(C13="FWH",'Brewhouse Setup &amp; Calcs'!$C$28,C13)))))/4.15)*I13</f>
        <v>0</v>
      </c>
      <c r="K13" s="24">
        <f>(F13*IF('Brewhouse Setup &amp; Calcs'!$C$7="grams",G13/28.349523,G13)*J13*74.89/IF($G$6="grams",'Brewhouse Setup &amp; Calcs'!$C$76*1.056688/4,'Brewhouse Setup &amp; Calcs'!$C$76/4))</f>
        <v>0</v>
      </c>
    </row>
    <row r="14" spans="1:15" x14ac:dyDescent="0.25">
      <c r="A14" s="395"/>
      <c r="B14" s="399"/>
      <c r="C14" s="40"/>
      <c r="D14" s="40"/>
      <c r="E14" s="40"/>
      <c r="F14" s="33"/>
      <c r="G14" s="31"/>
      <c r="H14" s="46" t="str">
        <f t="shared" si="3"/>
        <v/>
      </c>
      <c r="I14" s="47">
        <f t="shared" si="4"/>
        <v>1</v>
      </c>
      <c r="J14" s="29">
        <f>(1.65*0.000125^(('Grain &amp; Sugar Calcs'!$K$21+'Grain &amp; Sugar Calcs'!$L$21)/2-1))*((1-EXP(-0.04*IF(C14="Hop Stand",$D$3*B14,IF(C14="Dry Hop",0,IF(C14="FWH",'Brewhouse Setup &amp; Calcs'!$C$28,C14)))))/4.15)*I14</f>
        <v>0</v>
      </c>
      <c r="K14" s="24">
        <f>(F14*IF('Brewhouse Setup &amp; Calcs'!$C$7="grams",G14/28.349523,G14)*J14*74.89/IF($G$6="grams",'Brewhouse Setup &amp; Calcs'!$C$76*1.056688/4,'Brewhouse Setup &amp; Calcs'!$C$76/4))</f>
        <v>0</v>
      </c>
    </row>
    <row r="15" spans="1:15" x14ac:dyDescent="0.25">
      <c r="A15" s="395"/>
      <c r="B15" s="399"/>
      <c r="C15" s="40"/>
      <c r="D15" s="40"/>
      <c r="E15" s="40"/>
      <c r="F15" s="33"/>
      <c r="G15" s="31"/>
      <c r="H15" s="46" t="str">
        <f t="shared" si="3"/>
        <v/>
      </c>
      <c r="I15" s="47">
        <f t="shared" si="4"/>
        <v>1</v>
      </c>
      <c r="J15" s="29">
        <f>(1.65*0.000125^(('Grain &amp; Sugar Calcs'!$K$21+'Grain &amp; Sugar Calcs'!$L$21)/2-1))*((1-EXP(-0.04*IF(C15="Hop Stand",$D$3*B15,IF(C15="Dry Hop",0,IF(C15="FWH",'Brewhouse Setup &amp; Calcs'!$C$28,C15)))))/4.15)*I15</f>
        <v>0</v>
      </c>
      <c r="K15" s="24">
        <f>(F15*IF('Brewhouse Setup &amp; Calcs'!$C$7="grams",G15/28.349523,G15)*J15*74.89/IF($G$6="grams",'Brewhouse Setup &amp; Calcs'!$C$76*1.056688/4,'Brewhouse Setup &amp; Calcs'!$C$76/4))</f>
        <v>0</v>
      </c>
      <c r="M15" s="1234" t="s">
        <v>21</v>
      </c>
      <c r="N15" s="1234"/>
      <c r="O15" s="1234"/>
    </row>
    <row r="16" spans="1:15" x14ac:dyDescent="0.25">
      <c r="A16" s="395"/>
      <c r="B16" s="399"/>
      <c r="C16" s="40"/>
      <c r="D16" s="40"/>
      <c r="E16" s="40"/>
      <c r="F16" s="33"/>
      <c r="G16" s="31"/>
      <c r="H16" s="46" t="str">
        <f t="shared" si="3"/>
        <v/>
      </c>
      <c r="I16" s="47">
        <f t="shared" si="4"/>
        <v>1</v>
      </c>
      <c r="J16" s="29">
        <f>(1.65*0.000125^(('Grain &amp; Sugar Calcs'!$K$21+'Grain &amp; Sugar Calcs'!$L$21)/2-1))*((1-EXP(-0.04*IF(C16="Hop Stand",$D$3*B16,IF(C16="Dry Hop",0,IF(C16="FWH",'Brewhouse Setup &amp; Calcs'!$C$28,C16)))))/4.15)*I16</f>
        <v>0</v>
      </c>
      <c r="K16" s="24">
        <f>(F16*IF('Brewhouse Setup &amp; Calcs'!$C$7="grams",G16/28.349523,G16)*J16*74.89/IF($G$6="grams",'Brewhouse Setup &amp; Calcs'!$C$76*1.056688/4,'Brewhouse Setup &amp; Calcs'!$C$76/4))</f>
        <v>0</v>
      </c>
      <c r="M16" s="1235" t="str">
        <f>'Recipe Sheet'!$B$1</f>
        <v>20C. Imperial Stout</v>
      </c>
      <c r="N16" s="1235"/>
      <c r="O16" s="1235"/>
    </row>
    <row r="17" spans="1:15" x14ac:dyDescent="0.25">
      <c r="A17" s="395" t="str">
        <f t="shared" si="5"/>
        <v/>
      </c>
      <c r="B17" s="399"/>
      <c r="C17" s="40"/>
      <c r="D17" s="40"/>
      <c r="E17" s="40"/>
      <c r="F17" s="33"/>
      <c r="G17" s="31"/>
      <c r="H17" s="46" t="str">
        <f t="shared" si="3"/>
        <v/>
      </c>
      <c r="I17" s="47">
        <f t="shared" si="4"/>
        <v>1</v>
      </c>
      <c r="J17" s="29">
        <f>(1.65*0.000125^(('Grain &amp; Sugar Calcs'!$K$21+'Grain &amp; Sugar Calcs'!$L$21)/2-1))*((1-EXP(-0.04*IF(C17="Hop Stand",$D$3*B17,IF(C17="Dry Hop",0,IF(C17="FWH",'Brewhouse Setup &amp; Calcs'!$C$28,C17)))))/4.15)*I17</f>
        <v>0</v>
      </c>
      <c r="K17" s="24">
        <f>(F17*IF('Brewhouse Setup &amp; Calcs'!$C$7="grams",G17/28.349523,G17)*J17*74.89/IF($G$6="grams",'Brewhouse Setup &amp; Calcs'!$C$76*1.056688/4,'Brewhouse Setup &amp; Calcs'!$C$76/4))</f>
        <v>0</v>
      </c>
      <c r="M17" s="1251" t="s">
        <v>87</v>
      </c>
      <c r="N17" s="1252"/>
      <c r="O17" s="1253"/>
    </row>
    <row r="18" spans="1:15" x14ac:dyDescent="0.25">
      <c r="A18" s="395" t="str">
        <f t="shared" si="5"/>
        <v/>
      </c>
      <c r="B18" s="399"/>
      <c r="C18" s="40"/>
      <c r="D18" s="40"/>
      <c r="E18" s="40"/>
      <c r="F18" s="33"/>
      <c r="G18" s="31"/>
      <c r="H18" s="46" t="str">
        <f t="shared" si="3"/>
        <v/>
      </c>
      <c r="I18" s="47">
        <f t="shared" si="4"/>
        <v>1</v>
      </c>
      <c r="J18" s="29">
        <f>(1.65*0.000125^(('Grain &amp; Sugar Calcs'!$K$21+'Grain &amp; Sugar Calcs'!$L$21)/2-1))*((1-EXP(-0.04*IF(C18="Hop Stand",$D$3*B18,IF(C18="Dry Hop",0,IF(C18="FWH",'Brewhouse Setup &amp; Calcs'!$C$28,C18)))))/4.15)*I18</f>
        <v>0</v>
      </c>
      <c r="K18" s="24">
        <f>(F18*IF('Brewhouse Setup &amp; Calcs'!$C$7="grams",G18/28.349523,G18)*J18*74.89/IF($G$6="grams",'Brewhouse Setup &amp; Calcs'!$C$76*1.056688/4,'Brewhouse Setup &amp; Calcs'!$C$76/4))</f>
        <v>0</v>
      </c>
      <c r="M18" s="437">
        <f>VLOOKUP('Recipe Sheet'!$B$1,'BJCP Guidelines'!$A$2:$K$120,6,FALSE)</f>
        <v>50</v>
      </c>
      <c r="N18" s="436" t="s">
        <v>2153</v>
      </c>
      <c r="O18" s="438">
        <f>VLOOKUP('Recipe Sheet'!$B$1,'BJCP Guidelines'!$A$2:$K$120,7,FALSE)</f>
        <v>90</v>
      </c>
    </row>
    <row r="19" spans="1:15" x14ac:dyDescent="0.25">
      <c r="D19" s="4"/>
      <c r="K19" s="462">
        <f>SUM(K7:K18)</f>
        <v>33.092385561175313</v>
      </c>
      <c r="L19" s="22" t="s">
        <v>90</v>
      </c>
    </row>
    <row r="20" spans="1:15" x14ac:dyDescent="0.25">
      <c r="D20" s="4"/>
      <c r="F20" s="77" t="s">
        <v>1667</v>
      </c>
      <c r="G20" s="46">
        <f>SUM(G7:G18)</f>
        <v>1.5</v>
      </c>
    </row>
    <row r="21" spans="1:15" x14ac:dyDescent="0.25">
      <c r="D21" s="4"/>
      <c r="J21" s="1240" t="s">
        <v>2156</v>
      </c>
      <c r="K21" s="463"/>
      <c r="L21" s="20" t="s">
        <v>2154</v>
      </c>
    </row>
    <row r="22" spans="1:15" x14ac:dyDescent="0.25">
      <c r="D22" s="4"/>
      <c r="J22" s="1242"/>
      <c r="K22" s="424"/>
      <c r="L22" s="20" t="s">
        <v>2155</v>
      </c>
    </row>
    <row r="23" spans="1:15" x14ac:dyDescent="0.25">
      <c r="D23" s="4"/>
    </row>
    <row r="24" spans="1:15" x14ac:dyDescent="0.25">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44" priority="8">
      <formula>IF(C7="Hop Stand",TRUE,FALSE)</formula>
    </cfRule>
  </conditionalFormatting>
  <conditionalFormatting sqref="K19">
    <cfRule type="cellIs" dxfId="43" priority="3" operator="between">
      <formula>$M$18</formula>
      <formula>$O$18</formula>
    </cfRule>
    <cfRule type="cellIs" dxfId="42"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8" id="{1ACAAA16-9E3D-4ED4-A3F6-95570B77178C}">
            <xm:f>IF(VLOOKUP('Recipe Sheet'!#REF!,'BJCP Guidelines'!$A$2:$K$120,10,FALSE)="NA",TRUE,FALSE)</xm:f>
            <x14:dxf>
              <fill>
                <patternFill>
                  <bgColor rgb="FF92D050"/>
                </patternFill>
              </fill>
            </x14:dxf>
          </x14:cfRule>
          <x14:cfRule type="expression" priority="49" id="{CFD567C1-6C40-40C6-AF89-30D4389AA670}">
            <xm:f>OR($M$21&lt;VLOOKUP('Recipe Sheet'!#REF!,'BJCP Guidelines'!$A$2:$K$120,10,FALSE),$M$21&gt;VLOOKUP('Recipe Sheet'!#REF!,'BJCP Guidelines'!$A$2:$K$120,11,FALSE))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9" zoomScale="85" workbookViewId="0">
      <selection activeCell="D9" sqref="D9"/>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1301" t="s">
        <v>1800</v>
      </c>
      <c r="D1" s="1301"/>
      <c r="E1" s="1301"/>
      <c r="F1" s="1301"/>
      <c r="G1" s="1301"/>
      <c r="H1" s="1301"/>
      <c r="I1" s="1301"/>
      <c r="J1" s="1301"/>
      <c r="K1" s="1301"/>
      <c r="L1" s="4"/>
    </row>
    <row r="2" spans="2:12" ht="15" customHeight="1" x14ac:dyDescent="0.25">
      <c r="B2" s="83"/>
      <c r="C2" s="84" t="s">
        <v>1683</v>
      </c>
      <c r="D2" s="85"/>
      <c r="E2" s="85"/>
      <c r="F2" s="85"/>
      <c r="G2" s="85"/>
      <c r="H2" s="85"/>
      <c r="I2" s="85"/>
      <c r="J2" s="85"/>
      <c r="K2" s="86"/>
      <c r="L2" s="4"/>
    </row>
    <row r="3" spans="2:12" ht="15" customHeight="1" x14ac:dyDescent="0.35">
      <c r="B3" s="87"/>
      <c r="C3" s="88"/>
      <c r="D3" s="89" t="s">
        <v>1684</v>
      </c>
      <c r="E3" s="89" t="s">
        <v>1685</v>
      </c>
      <c r="F3" s="89" t="s">
        <v>1686</v>
      </c>
      <c r="G3" s="89" t="s">
        <v>1687</v>
      </c>
      <c r="H3" s="89" t="s">
        <v>1688</v>
      </c>
      <c r="I3" s="1302" t="s">
        <v>1689</v>
      </c>
      <c r="J3" s="1302"/>
      <c r="K3" s="1303">
        <v>2</v>
      </c>
      <c r="L3" s="4"/>
    </row>
    <row r="4" spans="2:12" ht="15" customHeight="1" x14ac:dyDescent="0.35">
      <c r="B4" s="87"/>
      <c r="C4" s="90" t="s">
        <v>1690</v>
      </c>
      <c r="D4" s="91" t="s">
        <v>1691</v>
      </c>
      <c r="E4" s="91" t="s">
        <v>1692</v>
      </c>
      <c r="F4" s="91" t="s">
        <v>1693</v>
      </c>
      <c r="G4" s="91" t="s">
        <v>1694</v>
      </c>
      <c r="H4" s="91" t="s">
        <v>1695</v>
      </c>
      <c r="I4" s="1304" t="s">
        <v>1696</v>
      </c>
      <c r="J4" s="1304"/>
      <c r="K4" s="1303"/>
      <c r="L4" s="4"/>
    </row>
    <row r="5" spans="2:12" s="96" customFormat="1" ht="18" customHeight="1" x14ac:dyDescent="0.25">
      <c r="B5" s="92"/>
      <c r="C5" s="93" t="s">
        <v>1697</v>
      </c>
      <c r="D5" s="388">
        <f>'Recipe Sheet'!Q8</f>
        <v>37</v>
      </c>
      <c r="E5" s="388">
        <f>'Recipe Sheet'!Q9</f>
        <v>12</v>
      </c>
      <c r="F5" s="388">
        <f>'Recipe Sheet'!Q10</f>
        <v>9</v>
      </c>
      <c r="G5" s="388">
        <f>'Recipe Sheet'!Q11</f>
        <v>16</v>
      </c>
      <c r="H5" s="388">
        <f>'Recipe Sheet'!Q12</f>
        <v>25</v>
      </c>
      <c r="I5" s="388">
        <f>'Recipe Sheet'!Q13</f>
        <v>102</v>
      </c>
      <c r="J5" s="94"/>
      <c r="K5" s="95"/>
    </row>
    <row r="6" spans="2:12" ht="15" customHeight="1" x14ac:dyDescent="0.25">
      <c r="B6" s="87"/>
      <c r="C6" s="97" t="s">
        <v>1698</v>
      </c>
      <c r="D6" s="89"/>
      <c r="E6" s="98"/>
      <c r="F6" s="99"/>
      <c r="G6" s="99"/>
      <c r="H6" s="100"/>
      <c r="I6" s="100"/>
      <c r="J6" s="101"/>
      <c r="K6" s="102"/>
      <c r="L6" s="4"/>
    </row>
    <row r="7" spans="2:12" ht="15" customHeight="1" x14ac:dyDescent="0.25">
      <c r="B7" s="87"/>
      <c r="C7" s="90" t="s">
        <v>1699</v>
      </c>
      <c r="D7" s="89" t="s">
        <v>1700</v>
      </c>
      <c r="E7" s="89" t="s">
        <v>1701</v>
      </c>
      <c r="F7" s="89"/>
      <c r="G7" s="103"/>
      <c r="H7" s="101"/>
      <c r="I7" s="1305" t="s">
        <v>1702</v>
      </c>
      <c r="J7" s="1305"/>
      <c r="K7" s="1306"/>
      <c r="L7" s="4"/>
    </row>
    <row r="8" spans="2:12" s="96" customFormat="1" ht="18" customHeight="1" x14ac:dyDescent="0.25">
      <c r="B8" s="92"/>
      <c r="C8" s="104" t="s">
        <v>1703</v>
      </c>
      <c r="D8" s="367">
        <f>IF('Brewhouse Setup &amp; Calcs'!$C$2="US Customary",'Brewhouse Setup &amp; Calcs'!C89/4,"NA")</f>
        <v>4.921875</v>
      </c>
      <c r="E8" s="367">
        <f>IF('Brewhouse Setup &amp; Calcs'!$C$2="US Customary",'Brewhouse Setup &amp; Calcs'!C95/4,"NA")</f>
        <v>6.3100485194048801</v>
      </c>
      <c r="F8" s="103"/>
      <c r="G8" s="103"/>
      <c r="H8" s="101"/>
      <c r="I8" s="1305"/>
      <c r="J8" s="1305"/>
      <c r="K8" s="1306"/>
    </row>
    <row r="9" spans="2:12" s="96" customFormat="1" ht="18" customHeight="1" x14ac:dyDescent="0.25">
      <c r="B9" s="92"/>
      <c r="C9" s="104" t="s">
        <v>1704</v>
      </c>
      <c r="D9" s="410">
        <v>0</v>
      </c>
      <c r="E9" s="410">
        <v>0</v>
      </c>
      <c r="F9" s="103"/>
      <c r="G9" s="103"/>
      <c r="H9" s="101"/>
      <c r="I9" s="1305"/>
      <c r="J9" s="1305"/>
      <c r="K9" s="1306"/>
    </row>
    <row r="10" spans="2:12" s="96" customFormat="1" ht="15" customHeight="1" thickBot="1" x14ac:dyDescent="0.3">
      <c r="B10" s="105"/>
      <c r="C10" s="106"/>
      <c r="D10" s="107"/>
      <c r="E10" s="107"/>
      <c r="F10" s="107"/>
      <c r="G10" s="107"/>
      <c r="H10" s="108"/>
      <c r="I10" s="1307"/>
      <c r="J10" s="1307"/>
      <c r="K10" s="1308"/>
    </row>
    <row r="11" spans="2:12" s="96" customFormat="1" ht="15" customHeight="1" x14ac:dyDescent="0.25">
      <c r="B11" s="109"/>
      <c r="C11" s="110" t="s">
        <v>1705</v>
      </c>
      <c r="D11" s="111"/>
      <c r="E11" s="111"/>
      <c r="F11" s="111"/>
      <c r="G11" s="112" t="s">
        <v>1706</v>
      </c>
      <c r="H11" s="113"/>
      <c r="I11" s="113" t="s">
        <v>1707</v>
      </c>
      <c r="J11" s="113" t="s">
        <v>1708</v>
      </c>
      <c r="K11" s="114"/>
    </row>
    <row r="12" spans="2:12" s="96" customFormat="1" ht="15" customHeight="1" x14ac:dyDescent="0.25">
      <c r="B12" s="115"/>
      <c r="C12" s="116"/>
      <c r="D12" s="117" t="s">
        <v>1709</v>
      </c>
      <c r="E12" s="117" t="s">
        <v>1710</v>
      </c>
      <c r="F12" s="117" t="s">
        <v>1711</v>
      </c>
      <c r="G12" s="113" t="s">
        <v>1662</v>
      </c>
      <c r="H12" s="118">
        <v>1</v>
      </c>
      <c r="I12" s="119" t="s">
        <v>1712</v>
      </c>
      <c r="J12" s="120"/>
      <c r="K12" s="121"/>
    </row>
    <row r="13" spans="2:12" s="96" customFormat="1" ht="15" customHeight="1" x14ac:dyDescent="0.25">
      <c r="B13" s="115"/>
      <c r="C13" s="122"/>
      <c r="D13" s="392" t="s">
        <v>66</v>
      </c>
      <c r="E13" s="117" t="s">
        <v>1713</v>
      </c>
      <c r="F13" s="123" t="s">
        <v>1714</v>
      </c>
      <c r="G13" s="113" t="s">
        <v>1715</v>
      </c>
      <c r="H13" s="118">
        <v>2</v>
      </c>
      <c r="I13" s="124" t="s">
        <v>1716</v>
      </c>
      <c r="J13" s="125">
        <v>5.7</v>
      </c>
      <c r="K13" s="126"/>
    </row>
    <row r="14" spans="2:12" s="96" customFormat="1" ht="18" customHeight="1" x14ac:dyDescent="0.25">
      <c r="B14" s="115"/>
      <c r="C14" s="1300" t="s">
        <v>1717</v>
      </c>
      <c r="D14" s="391">
        <v>2</v>
      </c>
      <c r="E14" s="367">
        <f>IF('Brewhouse Setup &amp; Calcs'!$C$2="US Customary",'Grain &amp; Sugar Calcs'!C5,"NA")</f>
        <v>16</v>
      </c>
      <c r="F14" s="390">
        <v>0</v>
      </c>
      <c r="G14" s="127">
        <f t="shared" ref="G14:G22" si="0">IF(D14=10,5.22-0.00504*F14,VLOOKUP(D14,H$12:J$22,3,FALSE))</f>
        <v>5.7</v>
      </c>
      <c r="H14" s="118">
        <v>3</v>
      </c>
      <c r="I14" s="124" t="s">
        <v>1718</v>
      </c>
      <c r="J14" s="125">
        <v>5.79</v>
      </c>
      <c r="K14" s="126"/>
    </row>
    <row r="15" spans="2:12" s="96" customFormat="1" ht="18" customHeight="1" x14ac:dyDescent="0.25">
      <c r="B15" s="115"/>
      <c r="C15" s="1300"/>
      <c r="D15" s="391">
        <v>5</v>
      </c>
      <c r="E15" s="367">
        <f>IF('Brewhouse Setup &amp; Calcs'!$C$2="US Customary",'Grain &amp; Sugar Calcs'!C6,"NA")</f>
        <v>2.5</v>
      </c>
      <c r="F15" s="390">
        <v>27</v>
      </c>
      <c r="G15" s="127">
        <f t="shared" si="0"/>
        <v>5.43</v>
      </c>
      <c r="H15" s="118">
        <v>4</v>
      </c>
      <c r="I15" s="124" t="s">
        <v>1719</v>
      </c>
      <c r="J15" s="125">
        <v>5.77</v>
      </c>
      <c r="K15" s="126"/>
    </row>
    <row r="16" spans="2:12" s="96" customFormat="1" ht="18" customHeight="1" x14ac:dyDescent="0.25">
      <c r="B16" s="115"/>
      <c r="C16" s="1300"/>
      <c r="D16" s="391">
        <v>10</v>
      </c>
      <c r="E16" s="367">
        <f>IF('Brewhouse Setup &amp; Calcs'!$C$2="US Customary",'Grain &amp; Sugar Calcs'!C7,"NA")</f>
        <v>1</v>
      </c>
      <c r="F16" s="390">
        <v>80</v>
      </c>
      <c r="G16" s="127">
        <f t="shared" si="0"/>
        <v>4.8167999999999997</v>
      </c>
      <c r="H16" s="118">
        <v>5</v>
      </c>
      <c r="I16" s="124" t="s">
        <v>1720</v>
      </c>
      <c r="J16" s="125">
        <v>5.43</v>
      </c>
      <c r="K16" s="126"/>
    </row>
    <row r="17" spans="2:12" s="96" customFormat="1" ht="18" customHeight="1" x14ac:dyDescent="0.25">
      <c r="B17" s="115"/>
      <c r="C17" s="1300"/>
      <c r="D17" s="391">
        <v>9</v>
      </c>
      <c r="E17" s="367">
        <f>IF('Brewhouse Setup &amp; Calcs'!$C$2="US Customary",'Grain &amp; Sugar Calcs'!C8,"NA")</f>
        <v>1</v>
      </c>
      <c r="F17" s="390"/>
      <c r="G17" s="127">
        <f t="shared" si="0"/>
        <v>5.7</v>
      </c>
      <c r="H17" s="118">
        <v>6</v>
      </c>
      <c r="I17" s="124" t="s">
        <v>1721</v>
      </c>
      <c r="J17" s="125">
        <v>5.75</v>
      </c>
      <c r="K17" s="126"/>
    </row>
    <row r="18" spans="2:12" s="96" customFormat="1" ht="18" customHeight="1" x14ac:dyDescent="0.25">
      <c r="B18" s="115"/>
      <c r="C18" s="1300"/>
      <c r="D18" s="391">
        <v>10</v>
      </c>
      <c r="E18" s="367">
        <f>IF('Brewhouse Setup &amp; Calcs'!$C$2="US Customary",'Grain &amp; Sugar Calcs'!C9,"NA")</f>
        <v>1</v>
      </c>
      <c r="F18" s="390">
        <v>120</v>
      </c>
      <c r="G18" s="127">
        <f t="shared" si="0"/>
        <v>4.6151999999999997</v>
      </c>
      <c r="H18" s="118">
        <v>7</v>
      </c>
      <c r="I18" s="124" t="s">
        <v>1722</v>
      </c>
      <c r="J18" s="125">
        <v>6.04</v>
      </c>
      <c r="K18" s="126"/>
    </row>
    <row r="19" spans="2:12" s="96" customFormat="1" ht="18" customHeight="1" x14ac:dyDescent="0.25">
      <c r="B19" s="115"/>
      <c r="C19" s="1300"/>
      <c r="D19" s="391">
        <v>11</v>
      </c>
      <c r="E19" s="367">
        <f>IF('Brewhouse Setup &amp; Calcs'!$C$2="US Customary",'Grain &amp; Sugar Calcs'!C10,"NA")</f>
        <v>0.75</v>
      </c>
      <c r="F19" s="390">
        <v>0</v>
      </c>
      <c r="G19" s="127">
        <f t="shared" si="0"/>
        <v>4.71</v>
      </c>
      <c r="H19" s="118">
        <v>8</v>
      </c>
      <c r="I19" s="124" t="s">
        <v>1723</v>
      </c>
      <c r="J19" s="125">
        <v>5.56</v>
      </c>
      <c r="K19" s="126"/>
    </row>
    <row r="20" spans="2:12" s="96" customFormat="1" ht="18" customHeight="1" x14ac:dyDescent="0.25">
      <c r="B20" s="115"/>
      <c r="C20" s="1300"/>
      <c r="D20" s="391">
        <v>11</v>
      </c>
      <c r="E20" s="367">
        <f>IF('Brewhouse Setup &amp; Calcs'!$C$2="US Customary",'Grain &amp; Sugar Calcs'!C11,"NA")</f>
        <v>0.25</v>
      </c>
      <c r="F20" s="390">
        <v>0</v>
      </c>
      <c r="G20" s="127">
        <f t="shared" si="0"/>
        <v>4.71</v>
      </c>
      <c r="H20" s="118">
        <v>9</v>
      </c>
      <c r="I20" s="124" t="s">
        <v>1724</v>
      </c>
      <c r="J20" s="125">
        <v>5.7</v>
      </c>
      <c r="K20" s="126"/>
    </row>
    <row r="21" spans="2:12" s="96" customFormat="1" ht="18" customHeight="1" x14ac:dyDescent="0.25">
      <c r="B21" s="115"/>
      <c r="C21" s="1300"/>
      <c r="D21" s="391">
        <v>1</v>
      </c>
      <c r="E21" s="367">
        <f>IF('Brewhouse Setup &amp; Calcs'!$C$2="US Customary",'Grain &amp; Sugar Calcs'!C12,"NA")</f>
        <v>0</v>
      </c>
      <c r="F21" s="390">
        <v>0</v>
      </c>
      <c r="G21" s="127">
        <f t="shared" si="0"/>
        <v>0</v>
      </c>
      <c r="H21" s="118">
        <v>10</v>
      </c>
      <c r="I21" s="124" t="s">
        <v>1725</v>
      </c>
      <c r="J21" s="125" t="s">
        <v>1726</v>
      </c>
      <c r="K21" s="126"/>
    </row>
    <row r="22" spans="2:12" s="96" customFormat="1" ht="18" customHeight="1" x14ac:dyDescent="0.25">
      <c r="B22" s="115"/>
      <c r="C22" s="1300"/>
      <c r="D22" s="391">
        <v>1</v>
      </c>
      <c r="E22" s="367">
        <f>IF('Brewhouse Setup &amp; Calcs'!$C$2="US Customary",'Grain &amp; Sugar Calcs'!C13,"NA")</f>
        <v>0</v>
      </c>
      <c r="F22" s="390">
        <v>0</v>
      </c>
      <c r="G22" s="127">
        <f t="shared" si="0"/>
        <v>0</v>
      </c>
      <c r="H22" s="118">
        <v>11</v>
      </c>
      <c r="I22" s="128" t="s">
        <v>1727</v>
      </c>
      <c r="J22" s="129">
        <v>4.71</v>
      </c>
      <c r="K22" s="126"/>
    </row>
    <row r="23" spans="2:12" s="96" customFormat="1" ht="18" customHeight="1" x14ac:dyDescent="0.25">
      <c r="B23" s="115"/>
      <c r="C23" s="745"/>
      <c r="D23" s="746">
        <v>1</v>
      </c>
      <c r="E23" s="367">
        <f>IF('Brewhouse Setup &amp; Calcs'!$C$2="US Customary",'Grain &amp; Sugar Calcs'!C14,"NA")</f>
        <v>0</v>
      </c>
      <c r="F23" s="390">
        <v>1</v>
      </c>
      <c r="G23" s="127">
        <f t="shared" ref="G23" si="1">IF(D23=10,5.22-0.00504*F23,VLOOKUP(D23,H$12:J$22,3,FALSE))</f>
        <v>0</v>
      </c>
      <c r="H23" s="118"/>
      <c r="I23" s="748"/>
      <c r="J23" s="747"/>
      <c r="K23" s="126"/>
    </row>
    <row r="24" spans="2:12" s="96" customFormat="1" ht="15" customHeight="1" x14ac:dyDescent="0.25">
      <c r="B24" s="115"/>
      <c r="C24" s="130"/>
      <c r="D24" s="131" t="s">
        <v>1728</v>
      </c>
      <c r="E24" s="132">
        <f>SUM(E14:E22)</f>
        <v>22.5</v>
      </c>
      <c r="F24" s="133"/>
      <c r="G24" s="134"/>
      <c r="H24" s="1270" t="s">
        <v>1729</v>
      </c>
      <c r="I24" s="1271"/>
      <c r="J24" s="1271"/>
      <c r="K24" s="1272"/>
    </row>
    <row r="25" spans="2:12" s="96" customFormat="1" ht="15" customHeight="1" x14ac:dyDescent="0.25">
      <c r="B25" s="115"/>
      <c r="C25" s="130"/>
      <c r="D25" s="131" t="s">
        <v>1730</v>
      </c>
      <c r="E25" s="132" t="str">
        <f>ROUND(D8*4/E24,2)&amp;" qt/lb"</f>
        <v>0.88 qt/lb</v>
      </c>
      <c r="F25" s="135"/>
      <c r="G25" s="134"/>
      <c r="H25" s="1271"/>
      <c r="I25" s="1271"/>
      <c r="J25" s="1271"/>
      <c r="K25" s="1272"/>
    </row>
    <row r="26" spans="2:12" s="96" customFormat="1" ht="15" customHeight="1" x14ac:dyDescent="0.25">
      <c r="B26" s="115"/>
      <c r="C26" s="130"/>
      <c r="D26" s="131"/>
      <c r="E26" s="132"/>
      <c r="F26" s="135"/>
      <c r="G26" s="134"/>
      <c r="H26" s="1271"/>
      <c r="I26" s="1271"/>
      <c r="J26" s="1271"/>
      <c r="K26" s="1272"/>
    </row>
    <row r="27" spans="2:12" ht="15" customHeight="1" thickBot="1" x14ac:dyDescent="0.3">
      <c r="B27" s="136"/>
      <c r="C27" s="137"/>
      <c r="D27" s="137"/>
      <c r="E27" s="137"/>
      <c r="F27" s="138"/>
      <c r="G27" s="138"/>
      <c r="H27" s="1273"/>
      <c r="I27" s="1273"/>
      <c r="J27" s="1273"/>
      <c r="K27" s="1274"/>
      <c r="L27" s="4"/>
    </row>
    <row r="28" spans="2:12" ht="14.25" customHeight="1" x14ac:dyDescent="0.25">
      <c r="B28" s="139"/>
      <c r="C28" s="140" t="s">
        <v>1731</v>
      </c>
      <c r="D28" s="141"/>
      <c r="E28" s="142"/>
      <c r="F28" s="143"/>
      <c r="G28" s="143"/>
      <c r="H28" s="1275" t="s">
        <v>1732</v>
      </c>
      <c r="I28" s="1275"/>
      <c r="J28" s="1275"/>
      <c r="K28" s="1276"/>
      <c r="L28" s="4"/>
    </row>
    <row r="29" spans="2:12" ht="15" customHeight="1" x14ac:dyDescent="0.25">
      <c r="B29" s="144"/>
      <c r="C29" s="145"/>
      <c r="D29" s="1279" t="s">
        <v>1733</v>
      </c>
      <c r="E29" s="1281" t="s">
        <v>1734</v>
      </c>
      <c r="F29" s="1284" t="s">
        <v>1735</v>
      </c>
      <c r="G29" s="1286" t="s">
        <v>1736</v>
      </c>
      <c r="H29" s="1277"/>
      <c r="I29" s="1277"/>
      <c r="J29" s="1277"/>
      <c r="K29" s="1278"/>
      <c r="L29" s="4"/>
    </row>
    <row r="30" spans="2:12" ht="15" customHeight="1" x14ac:dyDescent="0.25">
      <c r="B30" s="144"/>
      <c r="C30" s="146"/>
      <c r="D30" s="1279"/>
      <c r="E30" s="1282"/>
      <c r="F30" s="1284"/>
      <c r="G30" s="1286"/>
      <c r="H30" s="1277"/>
      <c r="I30" s="1277"/>
      <c r="J30" s="1277"/>
      <c r="K30" s="1278"/>
      <c r="L30" s="4"/>
    </row>
    <row r="31" spans="2:12" ht="15" customHeight="1" thickBot="1" x14ac:dyDescent="0.3">
      <c r="B31" s="144"/>
      <c r="C31" s="147"/>
      <c r="D31" s="1280"/>
      <c r="E31" s="1283"/>
      <c r="F31" s="1285"/>
      <c r="G31" s="1287"/>
      <c r="H31" s="148"/>
      <c r="I31" s="148"/>
      <c r="J31" s="148"/>
      <c r="K31" s="149"/>
      <c r="L31" s="4"/>
    </row>
    <row r="32" spans="2:12" ht="27.75" customHeight="1" thickTop="1" thickBot="1" x14ac:dyDescent="0.3">
      <c r="B32" s="144"/>
      <c r="C32" s="150"/>
      <c r="D32" s="151">
        <f>(1-D$9)*I$5*IF(K$3=1,50/61,IF(OR(K$3=0,K$3=2),1,"ERROR"))+(F$44*130+E$44*157-176.1*J37*J36*2-4160.4*H36*H37*2.5+D$44*357)/D$8</f>
        <v>102</v>
      </c>
      <c r="E32" s="152">
        <f>D32-((D51/1.4)+(E51/1.7))</f>
        <v>15.069147659063617</v>
      </c>
      <c r="F32" s="153">
        <f>(E14*G14+E15*G15+E16*G16+E17*G17+E18*G18+E19*G19+E20*G20+E21*G21+E22*G22)/E24+(0.1085*D8/E24+0.013)*E32/50</f>
        <v>5.5496044477541018</v>
      </c>
      <c r="G32" s="154" t="s">
        <v>1737</v>
      </c>
      <c r="H32" s="1277" t="s">
        <v>1738</v>
      </c>
      <c r="I32" s="1288"/>
      <c r="J32" s="1288"/>
      <c r="K32" s="1289"/>
      <c r="L32" s="4"/>
    </row>
    <row r="33" spans="2:12" ht="15" customHeight="1" thickTop="1" thickBot="1" x14ac:dyDescent="0.3">
      <c r="B33" s="155"/>
      <c r="C33" s="156"/>
      <c r="D33" s="156"/>
      <c r="E33" s="156"/>
      <c r="F33" s="156"/>
      <c r="G33" s="157"/>
      <c r="H33" s="1290"/>
      <c r="I33" s="1290"/>
      <c r="J33" s="1290"/>
      <c r="K33" s="1291"/>
      <c r="L33" s="4"/>
    </row>
    <row r="34" spans="2:12" ht="15" customHeight="1" x14ac:dyDescent="0.25">
      <c r="B34" s="158"/>
      <c r="C34" s="159" t="s">
        <v>1739</v>
      </c>
      <c r="D34" s="160"/>
      <c r="E34" s="160"/>
      <c r="F34" s="160"/>
      <c r="G34" s="160"/>
      <c r="H34" s="160"/>
      <c r="I34" s="161"/>
      <c r="J34" s="162"/>
      <c r="K34" s="163"/>
      <c r="L34" s="4"/>
    </row>
    <row r="35" spans="2:12" ht="15" customHeight="1" x14ac:dyDescent="0.25">
      <c r="B35" s="164"/>
      <c r="C35" s="165"/>
      <c r="D35" s="166" t="s">
        <v>1740</v>
      </c>
      <c r="E35" s="166" t="s">
        <v>1741</v>
      </c>
      <c r="F35" s="166" t="s">
        <v>1742</v>
      </c>
      <c r="G35" s="167"/>
      <c r="H35" s="167" t="s">
        <v>1743</v>
      </c>
      <c r="I35" s="168"/>
      <c r="J35" s="167" t="s">
        <v>1744</v>
      </c>
      <c r="K35" s="169"/>
      <c r="L35" s="4"/>
    </row>
    <row r="36" spans="2:12" ht="15" customHeight="1" x14ac:dyDescent="0.25">
      <c r="B36" s="164"/>
      <c r="C36" s="170" t="s">
        <v>1745</v>
      </c>
      <c r="D36" s="167" t="s">
        <v>1746</v>
      </c>
      <c r="E36" s="167" t="s">
        <v>1747</v>
      </c>
      <c r="F36" s="167" t="s">
        <v>1748</v>
      </c>
      <c r="G36" s="171" t="s">
        <v>1749</v>
      </c>
      <c r="H36" s="172">
        <v>0.02</v>
      </c>
      <c r="I36" s="173" t="s">
        <v>1749</v>
      </c>
      <c r="J36" s="174">
        <v>0.88</v>
      </c>
      <c r="K36" s="169"/>
      <c r="L36" s="4"/>
    </row>
    <row r="37" spans="2:12" s="96" customFormat="1" ht="18" customHeight="1" x14ac:dyDescent="0.25">
      <c r="B37" s="175"/>
      <c r="C37" s="171" t="s">
        <v>1750</v>
      </c>
      <c r="D37" s="393">
        <v>1</v>
      </c>
      <c r="E37" s="393">
        <v>4</v>
      </c>
      <c r="F37" s="393">
        <v>1</v>
      </c>
      <c r="G37" s="173" t="s">
        <v>1751</v>
      </c>
      <c r="H37" s="394"/>
      <c r="I37" s="173" t="s">
        <v>1752</v>
      </c>
      <c r="J37" s="393"/>
      <c r="K37" s="176"/>
    </row>
    <row r="38" spans="2:12" ht="18" customHeight="1" x14ac:dyDescent="0.25">
      <c r="B38" s="164"/>
      <c r="C38" s="171" t="s">
        <v>1753</v>
      </c>
      <c r="D38" s="400" t="b">
        <v>1</v>
      </c>
      <c r="E38" s="400" t="b">
        <v>1</v>
      </c>
      <c r="F38" s="400" t="b">
        <v>1</v>
      </c>
      <c r="G38" s="177"/>
      <c r="H38" s="178" t="str">
        <f>"("&amp;ROUND(100*H37/E24/16,1)&amp;"% of total wt)"</f>
        <v>(0% of total wt)</v>
      </c>
      <c r="I38" s="179" t="s">
        <v>1754</v>
      </c>
      <c r="J38" s="168"/>
      <c r="K38" s="169"/>
      <c r="L38" s="4"/>
    </row>
    <row r="39" spans="2:12" s="96" customFormat="1" ht="18" customHeight="1" x14ac:dyDescent="0.25">
      <c r="B39" s="175"/>
      <c r="C39" s="171" t="s">
        <v>1755</v>
      </c>
      <c r="D39" s="180">
        <f>IF(D38,D37/$D8*$E8,0)</f>
        <v>1.2820416039425788</v>
      </c>
      <c r="E39" s="180">
        <f>IF(E38,E37/$D8*$E8,0)</f>
        <v>5.1281664157703153</v>
      </c>
      <c r="F39" s="180">
        <f>IF(F38,F37/$D8*$E8,0)</f>
        <v>1.2820416039425788</v>
      </c>
      <c r="G39" s="177"/>
      <c r="H39" s="181" t="s">
        <v>1756</v>
      </c>
      <c r="I39" s="182"/>
      <c r="J39" s="183"/>
      <c r="K39" s="184"/>
    </row>
    <row r="40" spans="2:12" s="96" customFormat="1" ht="15" customHeight="1" thickBot="1" x14ac:dyDescent="0.3">
      <c r="B40" s="175"/>
      <c r="C40" s="185" t="s">
        <v>1757</v>
      </c>
      <c r="D40" s="177"/>
      <c r="E40" s="177"/>
      <c r="F40" s="177"/>
      <c r="G40" s="177"/>
      <c r="H40" s="186"/>
      <c r="I40" s="182"/>
      <c r="J40" s="187"/>
      <c r="K40" s="188"/>
    </row>
    <row r="41" spans="2:12" s="96" customFormat="1" ht="15" customHeight="1" x14ac:dyDescent="0.25">
      <c r="B41" s="189"/>
      <c r="C41" s="159" t="s">
        <v>1758</v>
      </c>
      <c r="D41" s="190"/>
      <c r="E41" s="190"/>
      <c r="F41" s="190"/>
      <c r="G41" s="1292" t="s">
        <v>1759</v>
      </c>
      <c r="H41" s="1292"/>
      <c r="I41" s="1292"/>
      <c r="J41" s="1292"/>
      <c r="K41" s="1293"/>
    </row>
    <row r="42" spans="2:12" s="96" customFormat="1" ht="15" customHeight="1" x14ac:dyDescent="0.25">
      <c r="B42" s="175"/>
      <c r="C42" s="171"/>
      <c r="D42" s="166" t="s">
        <v>1760</v>
      </c>
      <c r="E42" s="166" t="s">
        <v>1761</v>
      </c>
      <c r="F42" s="191" t="s">
        <v>1762</v>
      </c>
      <c r="G42" s="1294"/>
      <c r="H42" s="1294"/>
      <c r="I42" s="1294"/>
      <c r="J42" s="1294"/>
      <c r="K42" s="1295"/>
    </row>
    <row r="43" spans="2:12" s="96" customFormat="1" ht="15" customHeight="1" x14ac:dyDescent="0.25">
      <c r="B43" s="164"/>
      <c r="C43" s="170" t="s">
        <v>1745</v>
      </c>
      <c r="D43" s="167" t="s">
        <v>1763</v>
      </c>
      <c r="E43" s="167" t="s">
        <v>1764</v>
      </c>
      <c r="F43" s="192" t="s">
        <v>1765</v>
      </c>
      <c r="G43" s="1294"/>
      <c r="H43" s="1294"/>
      <c r="I43" s="1294"/>
      <c r="J43" s="1294"/>
      <c r="K43" s="1295"/>
    </row>
    <row r="44" spans="2:12" s="96" customFormat="1" ht="18" customHeight="1" x14ac:dyDescent="0.25">
      <c r="B44" s="175"/>
      <c r="C44" s="171" t="s">
        <v>1750</v>
      </c>
      <c r="D44" s="393"/>
      <c r="E44" s="393"/>
      <c r="F44" s="393"/>
      <c r="G44" s="193"/>
      <c r="H44" s="193"/>
      <c r="I44" s="193"/>
      <c r="J44" s="177"/>
      <c r="K44" s="176"/>
    </row>
    <row r="45" spans="2:12" s="96" customFormat="1" ht="18" customHeight="1" x14ac:dyDescent="0.25">
      <c r="B45" s="164"/>
      <c r="C45" s="171" t="s">
        <v>1753</v>
      </c>
      <c r="D45" s="400" t="b">
        <v>0</v>
      </c>
      <c r="E45" s="400" t="b">
        <v>0</v>
      </c>
      <c r="F45" s="400" t="b">
        <v>0</v>
      </c>
      <c r="G45" s="193"/>
      <c r="H45" s="193"/>
      <c r="I45" s="193"/>
      <c r="J45" s="177"/>
      <c r="K45" s="176"/>
    </row>
    <row r="46" spans="2:12" s="96" customFormat="1" ht="18" customHeight="1" x14ac:dyDescent="0.25">
      <c r="B46" s="175"/>
      <c r="C46" s="171" t="s">
        <v>1755</v>
      </c>
      <c r="D46" s="180">
        <f>IF(D45,D44/$D8*$E8,0)</f>
        <v>0</v>
      </c>
      <c r="E46" s="180">
        <f>IF(E45,E44/$D8*$E8,0)</f>
        <v>0</v>
      </c>
      <c r="F46" s="180">
        <f>IF(F45,F44/$D8*$E8,0)</f>
        <v>0</v>
      </c>
      <c r="G46" s="177"/>
      <c r="H46" s="167"/>
      <c r="I46" s="167"/>
      <c r="J46" s="177"/>
      <c r="K46" s="176"/>
    </row>
    <row r="47" spans="2:12" ht="15" customHeight="1" thickBot="1" x14ac:dyDescent="0.3">
      <c r="B47" s="175"/>
      <c r="C47" s="185" t="s">
        <v>1757</v>
      </c>
      <c r="D47" s="194"/>
      <c r="E47" s="194"/>
      <c r="F47" s="195"/>
      <c r="G47" s="196"/>
      <c r="H47" s="194"/>
      <c r="I47" s="195"/>
      <c r="J47" s="195"/>
      <c r="K47" s="197"/>
      <c r="L47" s="4"/>
    </row>
    <row r="48" spans="2:12" ht="15" customHeight="1" x14ac:dyDescent="0.25">
      <c r="B48" s="83"/>
      <c r="C48" s="84" t="s">
        <v>1766</v>
      </c>
      <c r="D48" s="85"/>
      <c r="E48" s="85"/>
      <c r="F48" s="85"/>
      <c r="G48" s="85"/>
      <c r="H48" s="85"/>
      <c r="I48" s="85"/>
      <c r="J48" s="85"/>
      <c r="K48" s="198"/>
      <c r="L48" s="4"/>
    </row>
    <row r="49" spans="2:14" ht="15" customHeight="1" x14ac:dyDescent="0.25">
      <c r="B49" s="87"/>
      <c r="C49" s="88"/>
      <c r="D49" s="89" t="s">
        <v>1684</v>
      </c>
      <c r="E49" s="89" t="s">
        <v>1685</v>
      </c>
      <c r="F49" s="89" t="s">
        <v>1686</v>
      </c>
      <c r="G49" s="89" t="s">
        <v>1687</v>
      </c>
      <c r="H49" s="89" t="s">
        <v>1688</v>
      </c>
      <c r="I49" s="1296" t="s">
        <v>1767</v>
      </c>
      <c r="J49" s="1296"/>
      <c r="K49" s="199"/>
      <c r="L49" s="4"/>
    </row>
    <row r="50" spans="2:14" s="200" customFormat="1" ht="15" customHeight="1" x14ac:dyDescent="0.35">
      <c r="B50" s="201"/>
      <c r="C50" s="202"/>
      <c r="D50" s="91" t="s">
        <v>1691</v>
      </c>
      <c r="E50" s="91" t="s">
        <v>1692</v>
      </c>
      <c r="F50" s="91" t="s">
        <v>1693</v>
      </c>
      <c r="G50" s="91" t="s">
        <v>1694</v>
      </c>
      <c r="H50" s="91" t="s">
        <v>1695</v>
      </c>
      <c r="I50" s="1297" t="s">
        <v>1768</v>
      </c>
      <c r="J50" s="1297"/>
      <c r="K50" s="203"/>
      <c r="L50" s="204"/>
      <c r="M50" s="96"/>
    </row>
    <row r="51" spans="2:14" s="96" customFormat="1" ht="18" customHeight="1" thickBot="1" x14ac:dyDescent="0.3">
      <c r="B51" s="92"/>
      <c r="C51" s="104" t="s">
        <v>1769</v>
      </c>
      <c r="D51" s="205">
        <f>(1-D$9)*D$5+(F$44*105.89+D$37*60+E$37*72+D$44*143)/D$8</f>
        <v>107.70476190476191</v>
      </c>
      <c r="E51" s="205">
        <f>(1-D$9)*E$5+F$37*24.6/D$8</f>
        <v>16.998095238095239</v>
      </c>
      <c r="F51" s="205">
        <f>(1-D$9)*F$5+E$44*72.3/D$8</f>
        <v>9</v>
      </c>
      <c r="G51" s="205">
        <f>(1-D$9)*G$5+E$37*127.47/D$8</f>
        <v>119.59466666666667</v>
      </c>
      <c r="H51" s="205">
        <f>(1-D$9)*H$5+(D$37*147.4+F$37*103)/D$8</f>
        <v>75.874920634920642</v>
      </c>
      <c r="I51" s="1298">
        <f>G51/H51</f>
        <v>1.5762081286662257</v>
      </c>
      <c r="J51" s="1299"/>
      <c r="K51" s="95"/>
    </row>
    <row r="52" spans="2:14" s="96" customFormat="1" ht="18" customHeight="1" thickBot="1" x14ac:dyDescent="0.3">
      <c r="B52" s="92"/>
      <c r="C52" s="104" t="s">
        <v>1770</v>
      </c>
      <c r="D52" s="206">
        <f>IF(E8=0,D51,(1-(((D$9*D$8)+(E$9*E$8))/(D$8+E$8)))*D$5+((F$44+F$46)*105.89+(D$37+D$39)*60+(E$37+E$39)*72+(D$44+D$46)*143)/(D$8+E$8))</f>
        <v>107.70476190476191</v>
      </c>
      <c r="E52" s="206">
        <f>IF(E8=0,E51,(1-(((D$9*D$8)+(E$9*E$8))/(D$8+E$8)))*E$5+(F$37+F$39)*24.6/(D$8+E$8))</f>
        <v>16.998095238095239</v>
      </c>
      <c r="F52" s="206">
        <f>IF(E8=0,F51,(1-(((D$9*D$8)+(E$9*E$8))/(D$8+E$8)))*F$5+(E$44+E$46)*72.3/(D$8+E$8))</f>
        <v>9</v>
      </c>
      <c r="G52" s="206">
        <f>IF(E8=0,G51,(1-(((D$9*D$8)+(E$9*E$8))/(D$8+E$8)))*G$5+(E$37+E$39)*127.47/(D$8+E$8))</f>
        <v>119.59466666666668</v>
      </c>
      <c r="H52" s="206">
        <f>IF(E8=0,H51,(1-(((D$9*D$8)+(E$9*E$8))/(D$8+E$8)))*H$5+((D$37+D$39)*147.4+(F$37+F$39)*103)/(D$8+E$8))</f>
        <v>75.874920634920642</v>
      </c>
      <c r="I52" s="1268">
        <f>G52/H52</f>
        <v>1.5762081286662259</v>
      </c>
      <c r="J52" s="1269"/>
      <c r="K52" s="95"/>
      <c r="M52" s="4"/>
    </row>
    <row r="53" spans="2:14" ht="18" customHeight="1" x14ac:dyDescent="0.25">
      <c r="B53" s="87"/>
      <c r="C53" s="207" t="s">
        <v>1771</v>
      </c>
      <c r="D53" s="208" t="s">
        <v>1772</v>
      </c>
      <c r="E53" s="209" t="s">
        <v>1773</v>
      </c>
      <c r="F53" s="208" t="s">
        <v>1774</v>
      </c>
      <c r="G53" s="208" t="s">
        <v>1775</v>
      </c>
      <c r="H53" s="210" t="s">
        <v>1776</v>
      </c>
      <c r="I53" s="1258" t="str">
        <f>IF(I52&lt;0.77,"Below .77, May enhance bitterness", IF(I52&lt;1.3,".77 to 1.3 = Balanced","Above 1.3 may enhance maltiness"))</f>
        <v>Above 1.3 may enhance maltiness</v>
      </c>
      <c r="J53" s="1259"/>
      <c r="K53" s="199"/>
      <c r="L53" s="4"/>
    </row>
    <row r="54" spans="2:14" ht="15" customHeight="1" x14ac:dyDescent="0.25">
      <c r="B54" s="87"/>
      <c r="C54" s="1260" t="s">
        <v>1777</v>
      </c>
      <c r="D54" s="1260"/>
      <c r="E54" s="1260"/>
      <c r="F54" s="1260"/>
      <c r="G54" s="1260"/>
      <c r="H54" s="1260"/>
      <c r="I54" s="1260"/>
      <c r="J54" s="1260"/>
      <c r="K54" s="1261"/>
      <c r="L54" s="4"/>
      <c r="M54" s="96"/>
      <c r="N54" s="204"/>
    </row>
    <row r="55" spans="2:14" ht="15" customHeight="1" thickBot="1" x14ac:dyDescent="0.3">
      <c r="B55" s="211"/>
      <c r="C55" s="1262"/>
      <c r="D55" s="1262"/>
      <c r="E55" s="1262"/>
      <c r="F55" s="1262"/>
      <c r="G55" s="1262"/>
      <c r="H55" s="1262"/>
      <c r="I55" s="1263"/>
      <c r="J55" s="1263"/>
      <c r="K55" s="1264"/>
    </row>
    <row r="56" spans="2:14" ht="15" customHeight="1" x14ac:dyDescent="0.25">
      <c r="B56" s="212"/>
      <c r="C56" s="213"/>
      <c r="D56" s="213"/>
      <c r="E56" s="213"/>
      <c r="F56" s="213"/>
      <c r="G56" s="213"/>
      <c r="H56" s="213"/>
      <c r="I56" s="214"/>
      <c r="J56" s="214"/>
      <c r="K56" s="214"/>
    </row>
    <row r="57" spans="2:14" s="20" customFormat="1" ht="23.25" customHeight="1" x14ac:dyDescent="0.25">
      <c r="B57" s="215"/>
      <c r="C57" s="1265" t="s">
        <v>1778</v>
      </c>
      <c r="D57" s="1265"/>
      <c r="E57" s="1265"/>
      <c r="F57" s="1265"/>
      <c r="G57" s="1265"/>
      <c r="H57" s="1265"/>
      <c r="I57" s="1265"/>
      <c r="J57" s="1265"/>
      <c r="K57" s="1265"/>
    </row>
    <row r="58" spans="2:14" ht="15" customHeight="1" x14ac:dyDescent="0.25">
      <c r="C58" s="216"/>
      <c r="D58" s="216"/>
      <c r="E58" s="216"/>
      <c r="F58" s="216"/>
      <c r="G58" s="216"/>
      <c r="H58" s="216"/>
      <c r="I58" s="4"/>
      <c r="J58" s="4"/>
      <c r="K58" s="4"/>
    </row>
    <row r="59" spans="2:14" ht="15" customHeight="1" x14ac:dyDescent="0.25">
      <c r="C59" s="216"/>
      <c r="D59" s="217" t="s">
        <v>1779</v>
      </c>
      <c r="E59" s="218"/>
      <c r="F59" s="218"/>
      <c r="G59" s="218"/>
      <c r="H59" s="218"/>
      <c r="I59" s="218"/>
      <c r="J59" s="218"/>
      <c r="K59" s="4"/>
    </row>
    <row r="60" spans="2:14" ht="15" customHeight="1" x14ac:dyDescent="0.25">
      <c r="C60" s="216"/>
      <c r="D60" s="218"/>
      <c r="E60" s="218"/>
      <c r="F60" s="218"/>
      <c r="G60" s="218"/>
      <c r="H60" s="218"/>
      <c r="I60" s="218"/>
      <c r="J60" s="218"/>
      <c r="K60" s="4"/>
    </row>
    <row r="61" spans="2:14" ht="15" customHeight="1" x14ac:dyDescent="0.25">
      <c r="C61" s="216"/>
      <c r="D61" s="218"/>
      <c r="E61" s="218"/>
      <c r="F61" s="218"/>
      <c r="G61" s="218"/>
      <c r="H61" s="218"/>
      <c r="I61" s="218"/>
      <c r="J61" s="218"/>
      <c r="K61" s="4"/>
    </row>
    <row r="62" spans="2:14" ht="15" customHeight="1" x14ac:dyDescent="0.25">
      <c r="C62" s="216"/>
      <c r="D62" s="218"/>
      <c r="E62" s="218"/>
      <c r="F62" s="216"/>
      <c r="G62" s="216"/>
      <c r="H62" s="216"/>
      <c r="I62" s="4"/>
      <c r="J62" s="4"/>
      <c r="K62" s="4"/>
    </row>
    <row r="63" spans="2:14" ht="15" customHeight="1" x14ac:dyDescent="0.25">
      <c r="C63" s="217" t="s">
        <v>1780</v>
      </c>
      <c r="D63" s="218"/>
      <c r="E63" s="218"/>
      <c r="F63" s="216"/>
      <c r="G63" s="216"/>
      <c r="H63" s="216"/>
      <c r="I63" s="4"/>
      <c r="J63" s="4"/>
      <c r="K63" s="4"/>
    </row>
    <row r="64" spans="2:14" ht="41.25" customHeight="1" x14ac:dyDescent="0.25">
      <c r="C64" s="216"/>
      <c r="D64" s="218"/>
      <c r="E64" s="218"/>
      <c r="F64" s="216"/>
      <c r="G64" s="216"/>
      <c r="H64" s="216"/>
      <c r="I64" s="4"/>
      <c r="J64" s="4"/>
      <c r="K64" s="4"/>
    </row>
    <row r="65" spans="3:12" ht="21.75" customHeight="1" x14ac:dyDescent="0.3">
      <c r="C65" s="1266" t="s">
        <v>1781</v>
      </c>
      <c r="D65" s="1266"/>
      <c r="E65" s="1266"/>
      <c r="F65" s="1266"/>
      <c r="G65" s="1266"/>
      <c r="H65" s="1266"/>
      <c r="I65" s="1266"/>
      <c r="J65" s="1266"/>
    </row>
    <row r="66" spans="3:12" x14ac:dyDescent="0.25">
      <c r="C66" s="1267" t="s">
        <v>1782</v>
      </c>
      <c r="D66" s="1267"/>
      <c r="E66" s="1267"/>
      <c r="F66" s="1267"/>
      <c r="G66" s="1267"/>
      <c r="H66" s="1267"/>
      <c r="I66" s="1267"/>
      <c r="J66" s="1267"/>
      <c r="K66" s="1267"/>
    </row>
    <row r="67" spans="3:12" ht="12.75" customHeight="1" x14ac:dyDescent="0.25">
      <c r="C67" s="1256" t="s">
        <v>1783</v>
      </c>
      <c r="D67" s="1256"/>
      <c r="E67" s="1256"/>
      <c r="F67" s="1256"/>
      <c r="G67" s="1256"/>
      <c r="H67" s="1256"/>
      <c r="I67" s="1256"/>
      <c r="J67" s="1256"/>
      <c r="K67" s="1256"/>
    </row>
    <row r="68" spans="3:12" s="221" customFormat="1" ht="12" customHeight="1" x14ac:dyDescent="0.25">
      <c r="C68" s="27" t="s">
        <v>1784</v>
      </c>
      <c r="D68" s="219"/>
      <c r="E68" s="219"/>
      <c r="F68" s="219"/>
      <c r="G68" s="220"/>
      <c r="H68" s="220"/>
      <c r="I68" s="220"/>
      <c r="J68" s="220"/>
      <c r="K68" s="220"/>
      <c r="L68" s="220"/>
    </row>
    <row r="69" spans="3:12" ht="12" customHeight="1" x14ac:dyDescent="0.25">
      <c r="C69" s="1257" t="s">
        <v>1785</v>
      </c>
      <c r="D69" s="1257"/>
      <c r="E69" s="1257"/>
      <c r="F69" s="1257"/>
      <c r="G69" s="1257"/>
      <c r="H69" s="1257"/>
      <c r="I69" s="1257"/>
      <c r="J69" s="1257"/>
    </row>
    <row r="70" spans="3:12" ht="12" customHeight="1" x14ac:dyDescent="0.25">
      <c r="C70" s="222" t="s">
        <v>1786</v>
      </c>
      <c r="D70" s="223"/>
      <c r="E70" s="223"/>
      <c r="F70" s="223"/>
      <c r="G70" s="223"/>
      <c r="H70" s="223"/>
      <c r="I70" s="223"/>
      <c r="J70" s="223"/>
    </row>
    <row r="71" spans="3:12" ht="12" customHeight="1" x14ac:dyDescent="0.25">
      <c r="C71" s="1257" t="s">
        <v>1787</v>
      </c>
      <c r="D71" s="1257"/>
      <c r="E71" s="1257"/>
      <c r="F71" s="1257"/>
      <c r="G71" s="1257"/>
      <c r="H71" s="1257"/>
      <c r="I71" s="1257"/>
      <c r="J71" s="1257"/>
    </row>
    <row r="73" spans="3:12" x14ac:dyDescent="0.25">
      <c r="C73" s="224" t="s">
        <v>1788</v>
      </c>
    </row>
    <row r="74" spans="3:12" x14ac:dyDescent="0.25">
      <c r="C74" s="27" t="s">
        <v>1789</v>
      </c>
    </row>
    <row r="75" spans="3:12" x14ac:dyDescent="0.25">
      <c r="C75" s="224" t="s">
        <v>1790</v>
      </c>
    </row>
    <row r="78" spans="3:12" ht="12.75" customHeight="1" x14ac:dyDescent="0.25"/>
  </sheetData>
  <sheetProtection sheet="1" selectLockedCells="1"/>
  <mergeCells count="27">
    <mergeCell ref="C14:C22"/>
    <mergeCell ref="C1:K1"/>
    <mergeCell ref="I3:J3"/>
    <mergeCell ref="K3:K4"/>
    <mergeCell ref="I4:J4"/>
    <mergeCell ref="I7:K10"/>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39" priority="1" stopIfTrue="1">
      <formula>OR(D$52&lt;49.5,D$52&gt;150.5)</formula>
    </cfRule>
  </conditionalFormatting>
  <conditionalFormatting sqref="E53">
    <cfRule type="expression" dxfId="38" priority="2" stopIfTrue="1">
      <formula>OR(E$52&lt;9.5,E$52&gt;30.5)</formula>
    </cfRule>
  </conditionalFormatting>
  <conditionalFormatting sqref="F53">
    <cfRule type="expression" dxfId="37" priority="3" stopIfTrue="1">
      <formula>OR(F$52&lt;0,F$52&gt;150.5)</formula>
    </cfRule>
  </conditionalFormatting>
  <conditionalFormatting sqref="G53">
    <cfRule type="expression" dxfId="36" priority="4" stopIfTrue="1">
      <formula>OR(G$52&lt;0,G$52&gt;250.5)</formula>
    </cfRule>
  </conditionalFormatting>
  <conditionalFormatting sqref="H53">
    <cfRule type="expression" dxfId="35" priority="5" stopIfTrue="1">
      <formula>OR(H$52&lt;49.5,H$52&gt;350.5)</formula>
    </cfRule>
  </conditionalFormatting>
  <conditionalFormatting sqref="F14:F23">
    <cfRule type="expression" dxfId="34" priority="6" stopIfTrue="1">
      <formula>AND($D14=10)</formula>
    </cfRule>
  </conditionalFormatting>
  <conditionalFormatting sqref="G32">
    <cfRule type="expression" dxfId="33"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79</xdr:row>
                <xdr:rowOff>99060</xdr:rowOff>
              </from>
              <to>
                <xdr:col>3</xdr:col>
                <xdr:colOff>518160</xdr:colOff>
                <xdr:row>79</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175260</xdr:rowOff>
              </from>
              <to>
                <xdr:col>2</xdr:col>
                <xdr:colOff>1584960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693420</xdr:colOff>
                    <xdr:row>37</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693420</xdr:colOff>
                    <xdr:row>37</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8671875" defaultRowHeight="13.2" x14ac:dyDescent="0.25"/>
  <cols>
    <col min="1" max="2" width="1.6640625" style="225" customWidth="1"/>
    <col min="3" max="3" width="29.6640625" style="226" customWidth="1"/>
    <col min="4" max="9" width="14.6640625" style="225" customWidth="1"/>
    <col min="10" max="10" width="14.88671875" style="225" customWidth="1"/>
    <col min="11" max="11" width="5.44140625" style="225" customWidth="1"/>
    <col min="12" max="12" width="9.5546875" style="225" customWidth="1"/>
    <col min="13" max="13" width="8.88671875" style="225"/>
    <col min="14" max="14" width="13.44140625" style="225" bestFit="1" customWidth="1"/>
    <col min="15" max="16384" width="8.88671875" style="225"/>
  </cols>
  <sheetData>
    <row r="1" spans="2:12" ht="21.6" thickBot="1" x14ac:dyDescent="0.45">
      <c r="C1" s="1351" t="s">
        <v>1791</v>
      </c>
      <c r="D1" s="1351"/>
      <c r="E1" s="1351"/>
      <c r="F1" s="1351"/>
      <c r="G1" s="1351"/>
      <c r="H1" s="1351"/>
      <c r="I1" s="1351"/>
      <c r="J1" s="1351"/>
      <c r="K1" s="1351"/>
      <c r="L1" s="226"/>
    </row>
    <row r="2" spans="2:12" ht="15" customHeight="1" x14ac:dyDescent="0.25">
      <c r="B2" s="227"/>
      <c r="C2" s="228" t="s">
        <v>1683</v>
      </c>
      <c r="D2" s="229"/>
      <c r="E2" s="229"/>
      <c r="F2" s="229"/>
      <c r="G2" s="229"/>
      <c r="H2" s="229"/>
      <c r="I2" s="229"/>
      <c r="J2" s="229"/>
      <c r="K2" s="230"/>
      <c r="L2" s="226"/>
    </row>
    <row r="3" spans="2:12" ht="15" customHeight="1" x14ac:dyDescent="0.35">
      <c r="B3" s="231"/>
      <c r="C3" s="232"/>
      <c r="D3" s="233" t="s">
        <v>1684</v>
      </c>
      <c r="E3" s="233" t="s">
        <v>1685</v>
      </c>
      <c r="F3" s="233" t="s">
        <v>1686</v>
      </c>
      <c r="G3" s="233" t="s">
        <v>1687</v>
      </c>
      <c r="H3" s="233" t="s">
        <v>1688</v>
      </c>
      <c r="I3" s="1352" t="s">
        <v>1689</v>
      </c>
      <c r="J3" s="1352"/>
      <c r="K3" s="1353">
        <v>2</v>
      </c>
      <c r="L3" s="226"/>
    </row>
    <row r="4" spans="2:12" ht="15" customHeight="1" x14ac:dyDescent="0.35">
      <c r="B4" s="231"/>
      <c r="C4" s="234" t="s">
        <v>1690</v>
      </c>
      <c r="D4" s="233" t="s">
        <v>1691</v>
      </c>
      <c r="E4" s="233" t="s">
        <v>1692</v>
      </c>
      <c r="F4" s="233" t="s">
        <v>1693</v>
      </c>
      <c r="G4" s="233" t="s">
        <v>1694</v>
      </c>
      <c r="H4" s="233" t="s">
        <v>1695</v>
      </c>
      <c r="I4" s="1352" t="s">
        <v>1696</v>
      </c>
      <c r="J4" s="1352"/>
      <c r="K4" s="1353"/>
      <c r="L4" s="226"/>
    </row>
    <row r="5" spans="2:12" s="239" customFormat="1" ht="18" customHeight="1" x14ac:dyDescent="0.25">
      <c r="B5" s="235"/>
      <c r="C5" s="236" t="s">
        <v>1697</v>
      </c>
      <c r="D5" s="388">
        <f>'Recipe Sheet'!Q8</f>
        <v>37</v>
      </c>
      <c r="E5" s="388">
        <f>'Recipe Sheet'!Q9</f>
        <v>12</v>
      </c>
      <c r="F5" s="388">
        <f>'Recipe Sheet'!Q10</f>
        <v>9</v>
      </c>
      <c r="G5" s="388">
        <f>'Recipe Sheet'!Q11</f>
        <v>16</v>
      </c>
      <c r="H5" s="388">
        <f>'Recipe Sheet'!Q12</f>
        <v>25</v>
      </c>
      <c r="I5" s="388">
        <f>'Recipe Sheet'!Q13</f>
        <v>102</v>
      </c>
      <c r="J5" s="237"/>
      <c r="K5" s="238"/>
    </row>
    <row r="6" spans="2:12" ht="15" customHeight="1" x14ac:dyDescent="0.25">
      <c r="B6" s="231"/>
      <c r="C6" s="240" t="s">
        <v>1698</v>
      </c>
      <c r="D6" s="233"/>
      <c r="E6" s="241"/>
      <c r="F6" s="242"/>
      <c r="G6" s="242"/>
      <c r="H6" s="243"/>
      <c r="I6" s="243"/>
      <c r="J6" s="244"/>
      <c r="K6" s="245"/>
      <c r="L6" s="226"/>
    </row>
    <row r="7" spans="2:12" ht="15" customHeight="1" x14ac:dyDescent="0.25">
      <c r="B7" s="231"/>
      <c r="C7" s="234" t="s">
        <v>1699</v>
      </c>
      <c r="D7" s="233" t="s">
        <v>1700</v>
      </c>
      <c r="E7" s="233" t="s">
        <v>1701</v>
      </c>
      <c r="F7" s="233"/>
      <c r="G7" s="246"/>
      <c r="H7" s="244"/>
      <c r="I7" s="1354" t="s">
        <v>1702</v>
      </c>
      <c r="J7" s="1354"/>
      <c r="K7" s="1355"/>
      <c r="L7" s="226"/>
    </row>
    <row r="8" spans="2:12" s="239" customFormat="1" ht="18" customHeight="1" x14ac:dyDescent="0.25">
      <c r="B8" s="235"/>
      <c r="C8" s="247" t="s">
        <v>1792</v>
      </c>
      <c r="D8" s="367" t="str">
        <f>IF('Brewhouse Setup &amp; Calcs'!$C$2="Metric",'Brewhouse Setup &amp; Calcs'!C89,"NA")</f>
        <v>NA</v>
      </c>
      <c r="E8" s="367" t="str">
        <f>IF('Brewhouse Setup &amp; Calcs'!$C$2="Metric",'Brewhouse Setup &amp; Calcs'!C95,"NA")</f>
        <v>NA</v>
      </c>
      <c r="F8" s="246"/>
      <c r="G8" s="246"/>
      <c r="H8" s="244"/>
      <c r="I8" s="1354"/>
      <c r="J8" s="1354"/>
      <c r="K8" s="1355"/>
    </row>
    <row r="9" spans="2:12" s="239" customFormat="1" ht="18" customHeight="1" x14ac:dyDescent="0.25">
      <c r="B9" s="235"/>
      <c r="C9" s="248" t="s">
        <v>1793</v>
      </c>
      <c r="D9" s="249" t="e">
        <f>D8/3.785412</f>
        <v>#VALUE!</v>
      </c>
      <c r="E9" s="249" t="e">
        <f>E8/3.785412</f>
        <v>#VALUE!</v>
      </c>
      <c r="F9" s="246"/>
      <c r="G9" s="246"/>
      <c r="H9" s="244"/>
      <c r="I9" s="1354"/>
      <c r="J9" s="1354"/>
      <c r="K9" s="1355"/>
    </row>
    <row r="10" spans="2:12" s="239" customFormat="1" ht="18" customHeight="1" x14ac:dyDescent="0.25">
      <c r="B10" s="235"/>
      <c r="C10" s="247" t="s">
        <v>1704</v>
      </c>
      <c r="D10" s="410">
        <v>0</v>
      </c>
      <c r="E10" s="410">
        <v>0</v>
      </c>
      <c r="F10" s="246"/>
      <c r="G10" s="246"/>
      <c r="H10" s="244"/>
      <c r="I10" s="1354"/>
      <c r="J10" s="1354"/>
      <c r="K10" s="1355"/>
    </row>
    <row r="11" spans="2:12" s="239" customFormat="1" ht="15" customHeight="1" thickBot="1" x14ac:dyDescent="0.3">
      <c r="B11" s="250"/>
      <c r="C11" s="251"/>
      <c r="D11" s="252"/>
      <c r="E11" s="252"/>
      <c r="F11" s="252"/>
      <c r="G11" s="252"/>
      <c r="H11" s="253"/>
      <c r="I11" s="1356"/>
      <c r="J11" s="1356"/>
      <c r="K11" s="1357"/>
    </row>
    <row r="12" spans="2:12" s="239" customFormat="1" ht="15" customHeight="1" x14ac:dyDescent="0.25">
      <c r="B12" s="254"/>
      <c r="C12" s="255" t="s">
        <v>1705</v>
      </c>
      <c r="D12" s="256"/>
      <c r="E12" s="256"/>
      <c r="F12" s="256"/>
      <c r="G12" s="257" t="s">
        <v>1706</v>
      </c>
      <c r="H12" s="258"/>
      <c r="I12" s="258" t="s">
        <v>1707</v>
      </c>
      <c r="J12" s="258" t="s">
        <v>1708</v>
      </c>
      <c r="K12" s="259"/>
    </row>
    <row r="13" spans="2:12" s="239" customFormat="1" ht="15" customHeight="1" x14ac:dyDescent="0.25">
      <c r="B13" s="260"/>
      <c r="C13" s="261"/>
      <c r="D13" s="262" t="s">
        <v>1709</v>
      </c>
      <c r="E13" s="262" t="s">
        <v>1710</v>
      </c>
      <c r="F13" s="262" t="s">
        <v>1711</v>
      </c>
      <c r="G13" s="258" t="s">
        <v>1662</v>
      </c>
      <c r="H13" s="263">
        <v>1</v>
      </c>
      <c r="I13" s="264" t="s">
        <v>1712</v>
      </c>
      <c r="J13" s="265"/>
      <c r="K13" s="266"/>
    </row>
    <row r="14" spans="2:12" s="239" customFormat="1" ht="15" customHeight="1" x14ac:dyDescent="0.25">
      <c r="B14" s="260"/>
      <c r="C14" s="267"/>
      <c r="D14" s="262" t="s">
        <v>66</v>
      </c>
      <c r="E14" s="262" t="s">
        <v>1794</v>
      </c>
      <c r="F14" s="268" t="s">
        <v>1714</v>
      </c>
      <c r="G14" s="258" t="s">
        <v>1715</v>
      </c>
      <c r="H14" s="263">
        <v>2</v>
      </c>
      <c r="I14" s="269" t="s">
        <v>1716</v>
      </c>
      <c r="J14" s="270">
        <v>5.7</v>
      </c>
      <c r="K14" s="271"/>
    </row>
    <row r="15" spans="2:12" s="239" customFormat="1" ht="18" customHeight="1" x14ac:dyDescent="0.25">
      <c r="B15" s="260"/>
      <c r="C15" s="1350" t="s">
        <v>1717</v>
      </c>
      <c r="D15" s="402">
        <v>1</v>
      </c>
      <c r="E15" s="367" t="str">
        <f>IF('Brewhouse Setup &amp; Calcs'!$C$2="Metric",'Grain &amp; Sugar Calcs'!C5,"NA")</f>
        <v>NA</v>
      </c>
      <c r="F15" s="272">
        <v>0</v>
      </c>
      <c r="G15" s="273">
        <f>IF(D15=10,5.22-0.00504*F15,VLOOKUP(D15,H$13:J$23,3,FALSE))</f>
        <v>0</v>
      </c>
      <c r="H15" s="263">
        <v>3</v>
      </c>
      <c r="I15" s="269" t="s">
        <v>1718</v>
      </c>
      <c r="J15" s="270">
        <v>5.79</v>
      </c>
      <c r="K15" s="271"/>
    </row>
    <row r="16" spans="2:12" s="239" customFormat="1" ht="18" customHeight="1" x14ac:dyDescent="0.25">
      <c r="B16" s="260"/>
      <c r="C16" s="1350"/>
      <c r="D16" s="402">
        <v>1</v>
      </c>
      <c r="E16" s="367" t="str">
        <f>IF('Brewhouse Setup &amp; Calcs'!$C$2="Metric",'Grain &amp; Sugar Calcs'!C6,"NA")</f>
        <v>NA</v>
      </c>
      <c r="F16" s="272">
        <v>0</v>
      </c>
      <c r="G16" s="273">
        <f t="shared" ref="G16:G21" si="0">IF(D16=10,5.22-0.00504*F16,VLOOKUP(D16,H$13:J$23,3,FALSE))</f>
        <v>0</v>
      </c>
      <c r="H16" s="263">
        <v>4</v>
      </c>
      <c r="I16" s="269" t="s">
        <v>1719</v>
      </c>
      <c r="J16" s="270">
        <v>5.77</v>
      </c>
      <c r="K16" s="271"/>
    </row>
    <row r="17" spans="2:12" s="239" customFormat="1" ht="18" customHeight="1" x14ac:dyDescent="0.25">
      <c r="B17" s="260"/>
      <c r="C17" s="1350"/>
      <c r="D17" s="402">
        <v>1</v>
      </c>
      <c r="E17" s="367" t="str">
        <f>IF('Brewhouse Setup &amp; Calcs'!$C$2="Metric",'Grain &amp; Sugar Calcs'!C7,"NA")</f>
        <v>NA</v>
      </c>
      <c r="F17" s="272">
        <v>40</v>
      </c>
      <c r="G17" s="273">
        <f t="shared" si="0"/>
        <v>0</v>
      </c>
      <c r="H17" s="263">
        <v>5</v>
      </c>
      <c r="I17" s="269" t="s">
        <v>1720</v>
      </c>
      <c r="J17" s="270">
        <v>5.43</v>
      </c>
      <c r="K17" s="271"/>
    </row>
    <row r="18" spans="2:12" s="239" customFormat="1" ht="18" customHeight="1" x14ac:dyDescent="0.25">
      <c r="B18" s="260"/>
      <c r="C18" s="1350"/>
      <c r="D18" s="402">
        <v>1</v>
      </c>
      <c r="E18" s="367" t="str">
        <f>IF('Brewhouse Setup &amp; Calcs'!$C$2="Metric",'Grain &amp; Sugar Calcs'!C8,"NA")</f>
        <v>NA</v>
      </c>
      <c r="F18" s="272">
        <v>0</v>
      </c>
      <c r="G18" s="273">
        <f t="shared" si="0"/>
        <v>0</v>
      </c>
      <c r="H18" s="263">
        <v>6</v>
      </c>
      <c r="I18" s="269" t="s">
        <v>1721</v>
      </c>
      <c r="J18" s="270">
        <v>5.75</v>
      </c>
      <c r="K18" s="271"/>
    </row>
    <row r="19" spans="2:12" s="239" customFormat="1" ht="18" customHeight="1" x14ac:dyDescent="0.25">
      <c r="B19" s="260"/>
      <c r="C19" s="1350"/>
      <c r="D19" s="402">
        <v>1</v>
      </c>
      <c r="E19" s="367" t="str">
        <f>IF('Brewhouse Setup &amp; Calcs'!$C$2="Metric",'Grain &amp; Sugar Calcs'!C9,"NA")</f>
        <v>NA</v>
      </c>
      <c r="F19" s="272">
        <v>0</v>
      </c>
      <c r="G19" s="273">
        <f t="shared" si="0"/>
        <v>0</v>
      </c>
      <c r="H19" s="263">
        <v>7</v>
      </c>
      <c r="I19" s="269" t="s">
        <v>1722</v>
      </c>
      <c r="J19" s="270">
        <v>6.04</v>
      </c>
      <c r="K19" s="271"/>
    </row>
    <row r="20" spans="2:12" s="239" customFormat="1" ht="18" customHeight="1" x14ac:dyDescent="0.25">
      <c r="B20" s="260"/>
      <c r="C20" s="1350"/>
      <c r="D20" s="402">
        <v>1</v>
      </c>
      <c r="E20" s="367" t="str">
        <f>IF('Brewhouse Setup &amp; Calcs'!$C$2="Metric",'Grain &amp; Sugar Calcs'!C10,"NA")</f>
        <v>NA</v>
      </c>
      <c r="F20" s="272">
        <v>0</v>
      </c>
      <c r="G20" s="273">
        <f t="shared" si="0"/>
        <v>0</v>
      </c>
      <c r="H20" s="263">
        <v>8</v>
      </c>
      <c r="I20" s="269" t="s">
        <v>1723</v>
      </c>
      <c r="J20" s="270">
        <v>5.56</v>
      </c>
      <c r="K20" s="271"/>
    </row>
    <row r="21" spans="2:12" s="239" customFormat="1" ht="18" customHeight="1" x14ac:dyDescent="0.25">
      <c r="B21" s="260"/>
      <c r="C21" s="1350"/>
      <c r="D21" s="402">
        <v>1</v>
      </c>
      <c r="E21" s="367" t="str">
        <f>IF('Brewhouse Setup &amp; Calcs'!$C$2="Metric",'Grain &amp; Sugar Calcs'!C11,"NA")</f>
        <v>NA</v>
      </c>
      <c r="F21" s="272">
        <v>0</v>
      </c>
      <c r="G21" s="273">
        <f t="shared" si="0"/>
        <v>0</v>
      </c>
      <c r="H21" s="263">
        <v>9</v>
      </c>
      <c r="I21" s="269" t="s">
        <v>1724</v>
      </c>
      <c r="J21" s="270">
        <v>5.7</v>
      </c>
      <c r="K21" s="271"/>
    </row>
    <row r="22" spans="2:12" s="239" customFormat="1" ht="18" customHeight="1" x14ac:dyDescent="0.25">
      <c r="B22" s="260"/>
      <c r="C22" s="1350"/>
      <c r="D22" s="402">
        <v>1</v>
      </c>
      <c r="E22" s="367" t="str">
        <f>IF('Brewhouse Setup &amp; Calcs'!$C$2="Metric",'Grain &amp; Sugar Calcs'!C12,"NA")</f>
        <v>NA</v>
      </c>
      <c r="F22" s="272">
        <v>1</v>
      </c>
      <c r="G22" s="273">
        <f t="shared" ref="G22:G24" si="1">IF(D22=10,5.22-0.00504*F22,VLOOKUP(D22,H$13:J$23,3,FALSE))</f>
        <v>0</v>
      </c>
      <c r="H22" s="263">
        <v>10</v>
      </c>
      <c r="I22" s="269" t="s">
        <v>1725</v>
      </c>
      <c r="J22" s="270" t="s">
        <v>1726</v>
      </c>
      <c r="K22" s="271"/>
    </row>
    <row r="23" spans="2:12" s="239" customFormat="1" ht="18" customHeight="1" x14ac:dyDescent="0.25">
      <c r="B23" s="260"/>
      <c r="C23" s="1350"/>
      <c r="D23" s="402">
        <v>5</v>
      </c>
      <c r="E23" s="367" t="str">
        <f>IF('Brewhouse Setup &amp; Calcs'!$C$2="Metric",'Grain &amp; Sugar Calcs'!C13,"NA")</f>
        <v>NA</v>
      </c>
      <c r="F23" s="272">
        <v>2</v>
      </c>
      <c r="G23" s="273">
        <f t="shared" si="1"/>
        <v>5.43</v>
      </c>
      <c r="H23" s="263">
        <v>11</v>
      </c>
      <c r="I23" s="274" t="s">
        <v>1727</v>
      </c>
      <c r="J23" s="275">
        <v>4.71</v>
      </c>
      <c r="K23" s="271"/>
    </row>
    <row r="24" spans="2:12" s="239" customFormat="1" ht="18" customHeight="1" x14ac:dyDescent="0.25">
      <c r="B24" s="260"/>
      <c r="C24" s="749"/>
      <c r="D24" s="750">
        <v>5</v>
      </c>
      <c r="E24" s="367" t="str">
        <f>IF('Brewhouse Setup &amp; Calcs'!$C$2="Metric",'Grain &amp; Sugar Calcs'!C14,"NA")</f>
        <v>NA</v>
      </c>
      <c r="F24" s="272">
        <v>3</v>
      </c>
      <c r="G24" s="273">
        <f t="shared" si="1"/>
        <v>5.43</v>
      </c>
      <c r="H24" s="263"/>
      <c r="I24" s="752"/>
      <c r="J24" s="751"/>
      <c r="K24" s="271"/>
    </row>
    <row r="25" spans="2:12" s="239" customFormat="1" ht="15" customHeight="1" x14ac:dyDescent="0.25">
      <c r="B25" s="260"/>
      <c r="C25" s="276"/>
      <c r="D25" s="277" t="s">
        <v>1795</v>
      </c>
      <c r="E25" s="278">
        <f>SUM(E15:E23)</f>
        <v>0</v>
      </c>
      <c r="F25" s="279"/>
      <c r="G25" s="280"/>
      <c r="H25" s="1321" t="s">
        <v>1729</v>
      </c>
      <c r="I25" s="1322"/>
      <c r="J25" s="1322"/>
      <c r="K25" s="1323"/>
    </row>
    <row r="26" spans="2:12" s="239" customFormat="1" ht="15" customHeight="1" x14ac:dyDescent="0.25">
      <c r="B26" s="260"/>
      <c r="C26" s="276"/>
      <c r="D26" s="263" t="s">
        <v>1796</v>
      </c>
      <c r="E26" s="281">
        <f>E25*2.20462</f>
        <v>0</v>
      </c>
      <c r="F26" s="282"/>
      <c r="G26" s="280"/>
      <c r="H26" s="1322"/>
      <c r="I26" s="1322"/>
      <c r="J26" s="1322"/>
      <c r="K26" s="1323"/>
    </row>
    <row r="27" spans="2:12" s="239" customFormat="1" ht="15" customHeight="1" x14ac:dyDescent="0.25">
      <c r="B27" s="260"/>
      <c r="C27" s="276"/>
      <c r="D27" s="277" t="s">
        <v>1730</v>
      </c>
      <c r="E27" s="278" t="e">
        <f>ROUND(D8/E25,2)&amp;" l/kg"</f>
        <v>#VALUE!</v>
      </c>
      <c r="F27" s="282"/>
      <c r="G27" s="280"/>
      <c r="H27" s="1322"/>
      <c r="I27" s="1322"/>
      <c r="J27" s="1322"/>
      <c r="K27" s="1323"/>
    </row>
    <row r="28" spans="2:12" ht="15" customHeight="1" thickBot="1" x14ac:dyDescent="0.3">
      <c r="B28" s="283"/>
      <c r="C28" s="284"/>
      <c r="D28" s="285"/>
      <c r="E28" s="258" t="e">
        <f>ROUND(D9*4/E26,2)&amp;" qt/lb"</f>
        <v>#VALUE!</v>
      </c>
      <c r="F28" s="286"/>
      <c r="G28" s="286"/>
      <c r="H28" s="1324"/>
      <c r="I28" s="1324"/>
      <c r="J28" s="1324"/>
      <c r="K28" s="1325"/>
      <c r="L28" s="226"/>
    </row>
    <row r="29" spans="2:12" ht="14.25" customHeight="1" x14ac:dyDescent="0.25">
      <c r="B29" s="287"/>
      <c r="C29" s="288" t="s">
        <v>1731</v>
      </c>
      <c r="D29" s="289"/>
      <c r="E29" s="290"/>
      <c r="F29" s="291"/>
      <c r="G29" s="291"/>
      <c r="H29" s="1326" t="s">
        <v>1732</v>
      </c>
      <c r="I29" s="1326"/>
      <c r="J29" s="1326"/>
      <c r="K29" s="1327"/>
      <c r="L29" s="226"/>
    </row>
    <row r="30" spans="2:12" ht="15" customHeight="1" x14ac:dyDescent="0.25">
      <c r="B30" s="292"/>
      <c r="C30" s="293"/>
      <c r="D30" s="1330" t="s">
        <v>1733</v>
      </c>
      <c r="E30" s="1330" t="s">
        <v>1734</v>
      </c>
      <c r="F30" s="1334" t="s">
        <v>1735</v>
      </c>
      <c r="G30" s="1336" t="s">
        <v>1736</v>
      </c>
      <c r="H30" s="1328"/>
      <c r="I30" s="1328"/>
      <c r="J30" s="1328"/>
      <c r="K30" s="1329"/>
      <c r="L30" s="226"/>
    </row>
    <row r="31" spans="2:12" ht="15" customHeight="1" x14ac:dyDescent="0.25">
      <c r="B31" s="292"/>
      <c r="C31" s="294"/>
      <c r="D31" s="1330"/>
      <c r="E31" s="1332"/>
      <c r="F31" s="1334"/>
      <c r="G31" s="1336"/>
      <c r="H31" s="1328"/>
      <c r="I31" s="1328"/>
      <c r="J31" s="1328"/>
      <c r="K31" s="1329"/>
      <c r="L31" s="226"/>
    </row>
    <row r="32" spans="2:12" ht="15" customHeight="1" thickBot="1" x14ac:dyDescent="0.3">
      <c r="B32" s="292"/>
      <c r="C32" s="295"/>
      <c r="D32" s="1331"/>
      <c r="E32" s="1333"/>
      <c r="F32" s="1335"/>
      <c r="G32" s="1337"/>
      <c r="H32" s="296"/>
      <c r="I32" s="296"/>
      <c r="J32" s="296"/>
      <c r="K32" s="297"/>
      <c r="L32" s="226"/>
    </row>
    <row r="33" spans="2:12" ht="27.75" customHeight="1" thickTop="1" thickBot="1" x14ac:dyDescent="0.3">
      <c r="B33" s="292"/>
      <c r="C33" s="298"/>
      <c r="D33" s="299" t="e">
        <f>(1-D$10)*I$5*IF(K$3=1,50/61,IF(OR(K$3=0,K$3=2),1,"ERROR"))+(F$45*130+E$45*157-176.1*J38*J37*2-4160.4*H37*H39*2.5+D$45*357)/D$9</f>
        <v>#VALUE!</v>
      </c>
      <c r="E33" s="300" t="e">
        <f>D33-((D52/1.4)+(E52/1.7))</f>
        <v>#VALUE!</v>
      </c>
      <c r="F33" s="301" t="e">
        <f>(E15*G15+E16*G16+E17*G17+E18*G18+E19*G19+E20*G20+E21*G21+E22*G22+E23*G23)/E25+(0.1085*D9/E26+0.013)*E33/50</f>
        <v>#VALUE!</v>
      </c>
      <c r="G33" s="302" t="s">
        <v>1737</v>
      </c>
      <c r="H33" s="1328" t="s">
        <v>1738</v>
      </c>
      <c r="I33" s="1338"/>
      <c r="J33" s="1338"/>
      <c r="K33" s="1339"/>
      <c r="L33" s="226"/>
    </row>
    <row r="34" spans="2:12" ht="15" customHeight="1" thickTop="1" thickBot="1" x14ac:dyDescent="0.3">
      <c r="B34" s="303"/>
      <c r="C34" s="304"/>
      <c r="D34" s="304"/>
      <c r="E34" s="304"/>
      <c r="F34" s="304"/>
      <c r="G34" s="305"/>
      <c r="H34" s="1340"/>
      <c r="I34" s="1340"/>
      <c r="J34" s="1340"/>
      <c r="K34" s="1341"/>
      <c r="L34" s="226"/>
    </row>
    <row r="35" spans="2:12" ht="15" customHeight="1" x14ac:dyDescent="0.25">
      <c r="B35" s="306"/>
      <c r="C35" s="307" t="s">
        <v>1739</v>
      </c>
      <c r="D35" s="308"/>
      <c r="E35" s="308"/>
      <c r="F35" s="308"/>
      <c r="G35" s="308"/>
      <c r="H35" s="308"/>
      <c r="I35" s="309"/>
      <c r="J35" s="310"/>
      <c r="K35" s="311"/>
      <c r="L35" s="226"/>
    </row>
    <row r="36" spans="2:12" ht="15" customHeight="1" x14ac:dyDescent="0.25">
      <c r="B36" s="312"/>
      <c r="C36" s="313"/>
      <c r="D36" s="314" t="s">
        <v>1740</v>
      </c>
      <c r="E36" s="314" t="s">
        <v>1741</v>
      </c>
      <c r="F36" s="314" t="s">
        <v>1742</v>
      </c>
      <c r="G36" s="315"/>
      <c r="H36" s="315" t="s">
        <v>1743</v>
      </c>
      <c r="I36" s="316"/>
      <c r="J36" s="315" t="s">
        <v>1744</v>
      </c>
      <c r="K36" s="317"/>
      <c r="L36" s="226"/>
    </row>
    <row r="37" spans="2:12" ht="15" customHeight="1" x14ac:dyDescent="0.25">
      <c r="B37" s="312"/>
      <c r="C37" s="318" t="s">
        <v>1745</v>
      </c>
      <c r="D37" s="315" t="s">
        <v>1746</v>
      </c>
      <c r="E37" s="315" t="s">
        <v>1747</v>
      </c>
      <c r="F37" s="315" t="s">
        <v>1748</v>
      </c>
      <c r="G37" s="319" t="s">
        <v>1749</v>
      </c>
      <c r="H37" s="172">
        <v>0.02</v>
      </c>
      <c r="I37" s="320" t="s">
        <v>1749</v>
      </c>
      <c r="J37" s="174">
        <v>0.88</v>
      </c>
      <c r="K37" s="317"/>
      <c r="L37" s="226"/>
    </row>
    <row r="38" spans="2:12" s="239" customFormat="1" ht="18" customHeight="1" x14ac:dyDescent="0.25">
      <c r="B38" s="321"/>
      <c r="C38" s="319" t="s">
        <v>1750</v>
      </c>
      <c r="D38" s="411"/>
      <c r="E38" s="411"/>
      <c r="F38" s="411"/>
      <c r="G38" s="320" t="s">
        <v>1797</v>
      </c>
      <c r="H38" s="394">
        <v>0</v>
      </c>
      <c r="I38" s="320" t="s">
        <v>1752</v>
      </c>
      <c r="J38" s="411">
        <v>0</v>
      </c>
      <c r="K38" s="322"/>
    </row>
    <row r="39" spans="2:12" ht="18" customHeight="1" x14ac:dyDescent="0.25">
      <c r="B39" s="312"/>
      <c r="C39" s="319" t="s">
        <v>1753</v>
      </c>
      <c r="D39" s="401" t="b">
        <v>1</v>
      </c>
      <c r="E39" s="401" t="b">
        <v>1</v>
      </c>
      <c r="F39" s="401" t="b">
        <v>1</v>
      </c>
      <c r="G39" s="323" t="s">
        <v>1751</v>
      </c>
      <c r="H39" s="324">
        <f>H38/28.34952</f>
        <v>0</v>
      </c>
      <c r="I39" s="325" t="s">
        <v>1754</v>
      </c>
      <c r="J39" s="316"/>
      <c r="K39" s="317"/>
      <c r="L39" s="226"/>
    </row>
    <row r="40" spans="2:12" s="239" customFormat="1" ht="18" customHeight="1" x14ac:dyDescent="0.25">
      <c r="B40" s="321"/>
      <c r="C40" s="319" t="s">
        <v>1755</v>
      </c>
      <c r="D40" s="326" t="e">
        <f>IF(D39,D38/$D8*$E8,0)</f>
        <v>#VALUE!</v>
      </c>
      <c r="E40" s="326" t="e">
        <f>IF(E39,E38/$D8*$E8,0)</f>
        <v>#VALUE!</v>
      </c>
      <c r="F40" s="326" t="e">
        <f>IF(F39,F38/$D8*$E8,0)</f>
        <v>#VALUE!</v>
      </c>
      <c r="G40" s="327"/>
      <c r="H40" s="328" t="e">
        <f>"("&amp;ROUND(100*H38/E25/1000,1)&amp;"% of total wt)"</f>
        <v>#DIV/0!</v>
      </c>
      <c r="I40" s="329" t="s">
        <v>1798</v>
      </c>
      <c r="J40" s="330"/>
      <c r="K40" s="331"/>
    </row>
    <row r="41" spans="2:12" s="239" customFormat="1" ht="15" customHeight="1" thickBot="1" x14ac:dyDescent="0.3">
      <c r="B41" s="321"/>
      <c r="C41" s="332" t="s">
        <v>1757</v>
      </c>
      <c r="D41" s="327"/>
      <c r="E41" s="327"/>
      <c r="F41" s="327"/>
      <c r="G41" s="327"/>
      <c r="H41" s="333"/>
      <c r="I41" s="330"/>
      <c r="J41" s="334"/>
      <c r="K41" s="335"/>
    </row>
    <row r="42" spans="2:12" s="239" customFormat="1" ht="15" customHeight="1" x14ac:dyDescent="0.25">
      <c r="B42" s="336"/>
      <c r="C42" s="307" t="s">
        <v>1758</v>
      </c>
      <c r="D42" s="337"/>
      <c r="E42" s="337"/>
      <c r="F42" s="337"/>
      <c r="G42" s="1342" t="s">
        <v>1759</v>
      </c>
      <c r="H42" s="1342"/>
      <c r="I42" s="1342"/>
      <c r="J42" s="1342"/>
      <c r="K42" s="1343"/>
    </row>
    <row r="43" spans="2:12" s="239" customFormat="1" ht="15" customHeight="1" x14ac:dyDescent="0.25">
      <c r="B43" s="321"/>
      <c r="C43" s="319"/>
      <c r="D43" s="314" t="s">
        <v>1760</v>
      </c>
      <c r="E43" s="314" t="s">
        <v>1761</v>
      </c>
      <c r="F43" s="338" t="s">
        <v>1762</v>
      </c>
      <c r="G43" s="1344"/>
      <c r="H43" s="1344"/>
      <c r="I43" s="1344"/>
      <c r="J43" s="1344"/>
      <c r="K43" s="1345"/>
    </row>
    <row r="44" spans="2:12" s="239" customFormat="1" ht="15" customHeight="1" x14ac:dyDescent="0.25">
      <c r="B44" s="312"/>
      <c r="C44" s="318" t="s">
        <v>1745</v>
      </c>
      <c r="D44" s="315" t="s">
        <v>1763</v>
      </c>
      <c r="E44" s="315" t="s">
        <v>1764</v>
      </c>
      <c r="F44" s="339" t="s">
        <v>1765</v>
      </c>
      <c r="G44" s="1344"/>
      <c r="H44" s="1344"/>
      <c r="I44" s="1344"/>
      <c r="J44" s="1344"/>
      <c r="K44" s="1345"/>
    </row>
    <row r="45" spans="2:12" s="239" customFormat="1" ht="18" customHeight="1" x14ac:dyDescent="0.25">
      <c r="B45" s="321"/>
      <c r="C45" s="319" t="s">
        <v>1750</v>
      </c>
      <c r="D45" s="411"/>
      <c r="E45" s="411"/>
      <c r="F45" s="411"/>
      <c r="G45" s="340"/>
      <c r="H45" s="340"/>
      <c r="I45" s="340"/>
      <c r="J45" s="327"/>
      <c r="K45" s="322"/>
    </row>
    <row r="46" spans="2:12" s="239" customFormat="1" ht="18" customHeight="1" x14ac:dyDescent="0.25">
      <c r="B46" s="312"/>
      <c r="C46" s="319" t="s">
        <v>1753</v>
      </c>
      <c r="D46" s="401" t="b">
        <v>1</v>
      </c>
      <c r="E46" s="401" t="b">
        <v>1</v>
      </c>
      <c r="F46" s="401" t="b">
        <v>1</v>
      </c>
      <c r="G46" s="340"/>
      <c r="H46" s="340"/>
      <c r="I46" s="340"/>
      <c r="J46" s="327"/>
      <c r="K46" s="322"/>
    </row>
    <row r="47" spans="2:12" s="239" customFormat="1" ht="18" customHeight="1" x14ac:dyDescent="0.25">
      <c r="B47" s="321"/>
      <c r="C47" s="319" t="s">
        <v>1755</v>
      </c>
      <c r="D47" s="326" t="e">
        <f>IF(D46,D45/$D8*$E8,0)</f>
        <v>#VALUE!</v>
      </c>
      <c r="E47" s="326" t="e">
        <f>IF(E46,E45/$D8*$E8,0)</f>
        <v>#VALUE!</v>
      </c>
      <c r="F47" s="326" t="e">
        <f>IF(F46,F45/$D8*$E8,0)</f>
        <v>#VALUE!</v>
      </c>
      <c r="G47" s="327"/>
      <c r="H47" s="315"/>
      <c r="I47" s="315"/>
      <c r="J47" s="327"/>
      <c r="K47" s="322"/>
    </row>
    <row r="48" spans="2:12" ht="15" customHeight="1" thickBot="1" x14ac:dyDescent="0.3">
      <c r="B48" s="321"/>
      <c r="C48" s="332" t="s">
        <v>1757</v>
      </c>
      <c r="D48" s="341"/>
      <c r="E48" s="341"/>
      <c r="F48" s="342"/>
      <c r="G48" s="343"/>
      <c r="H48" s="341"/>
      <c r="I48" s="342"/>
      <c r="J48" s="342"/>
      <c r="K48" s="344"/>
      <c r="L48" s="226"/>
    </row>
    <row r="49" spans="2:14" ht="15" customHeight="1" x14ac:dyDescent="0.25">
      <c r="B49" s="227"/>
      <c r="C49" s="228" t="s">
        <v>1766</v>
      </c>
      <c r="D49" s="229"/>
      <c r="E49" s="229"/>
      <c r="F49" s="229"/>
      <c r="G49" s="229"/>
      <c r="H49" s="229"/>
      <c r="I49" s="229"/>
      <c r="J49" s="229"/>
      <c r="K49" s="345"/>
      <c r="L49" s="226"/>
    </row>
    <row r="50" spans="2:14" ht="15" customHeight="1" x14ac:dyDescent="0.25">
      <c r="B50" s="231"/>
      <c r="C50" s="232"/>
      <c r="D50" s="233" t="s">
        <v>1684</v>
      </c>
      <c r="E50" s="233" t="s">
        <v>1685</v>
      </c>
      <c r="F50" s="233" t="s">
        <v>1686</v>
      </c>
      <c r="G50" s="233" t="s">
        <v>1687</v>
      </c>
      <c r="H50" s="233" t="s">
        <v>1688</v>
      </c>
      <c r="I50" s="1346" t="s">
        <v>1767</v>
      </c>
      <c r="J50" s="1346"/>
      <c r="K50" s="346"/>
      <c r="L50" s="226"/>
    </row>
    <row r="51" spans="2:14" s="347" customFormat="1" ht="15" customHeight="1" x14ac:dyDescent="0.35">
      <c r="B51" s="348"/>
      <c r="C51" s="349"/>
      <c r="D51" s="233" t="s">
        <v>1691</v>
      </c>
      <c r="E51" s="233" t="s">
        <v>1692</v>
      </c>
      <c r="F51" s="233" t="s">
        <v>1693</v>
      </c>
      <c r="G51" s="233" t="s">
        <v>1694</v>
      </c>
      <c r="H51" s="233" t="s">
        <v>1695</v>
      </c>
      <c r="I51" s="1347" t="s">
        <v>1768</v>
      </c>
      <c r="J51" s="1347"/>
      <c r="K51" s="238"/>
      <c r="L51" s="239"/>
      <c r="M51" s="239"/>
    </row>
    <row r="52" spans="2:14" s="239" customFormat="1" ht="18" customHeight="1" thickBot="1" x14ac:dyDescent="0.3">
      <c r="B52" s="235"/>
      <c r="C52" s="247" t="s">
        <v>1769</v>
      </c>
      <c r="D52" s="350" t="e">
        <f>(1-D$10)*D$5+(F$45*105.89+D$38*60+E$38*72+D$45*143)/D$9</f>
        <v>#VALUE!</v>
      </c>
      <c r="E52" s="350" t="e">
        <f>(1-D$10)*E$5+F$38*24.6/D$9</f>
        <v>#VALUE!</v>
      </c>
      <c r="F52" s="350" t="e">
        <f>(1-D$10)*F$5+E$45*72.3/D$9</f>
        <v>#VALUE!</v>
      </c>
      <c r="G52" s="350" t="e">
        <f>(1-D$10)*G$5+E$38*127.47/D$9</f>
        <v>#VALUE!</v>
      </c>
      <c r="H52" s="350" t="e">
        <f>(1-D$10)*H$5+(D$38*147.4+F$38*103)/D$9</f>
        <v>#VALUE!</v>
      </c>
      <c r="I52" s="1348" t="e">
        <f>G52/H52</f>
        <v>#VALUE!</v>
      </c>
      <c r="J52" s="1349"/>
      <c r="K52" s="238"/>
    </row>
    <row r="53" spans="2:14" s="239" customFormat="1" ht="18" customHeight="1" thickBot="1" x14ac:dyDescent="0.3">
      <c r="B53" s="235"/>
      <c r="C53" s="247" t="s">
        <v>1770</v>
      </c>
      <c r="D53" s="351" t="e">
        <f>IF(E8=0,D52,(1-(((D$10*D$9)+(E$10*E$9))/(D$9+E$9)))*D$5+((F$45+F$47)*105.89+(D$38+D$40)*60+(E$38+E$40)*72+(D$45+D$47)*143)/(D$9+E$9))</f>
        <v>#VALUE!</v>
      </c>
      <c r="E53" s="351" t="e">
        <f>IF(E8=0,E52,(1-(((D$10*D$9)+(E$10*E$9))/(D$9+E$9)))*E$5+(F$38+F$40)*24.6/(D$9+E$9))</f>
        <v>#VALUE!</v>
      </c>
      <c r="F53" s="351" t="e">
        <f>IF(E8=0,F52,(1-(((D$10*D$9)+(E$10*E$9))/(D$9+E$9)))*F$5+(E$45+E$47)*72.3/(D$9+E$9))</f>
        <v>#VALUE!</v>
      </c>
      <c r="G53" s="351" t="e">
        <f>IF(E8=0,G52,(1-(((D$10*D$9)+(E$10*E$9))/(D$9+E$9)))*G$5+(E$38+E$40)*127.47/(D$9+E$9))</f>
        <v>#VALUE!</v>
      </c>
      <c r="H53" s="351" t="e">
        <f>IF(E8=0,H52,(1-(((D$10*D$9)+(E$10*E$9))/(D$9+E$9)))*H$5+((D$38+D$40)*147.4+(F$38+F$40)*103)/(D$9+E$9))</f>
        <v>#VALUE!</v>
      </c>
      <c r="I53" s="1319" t="e">
        <f>G53/H53</f>
        <v>#VALUE!</v>
      </c>
      <c r="J53" s="1320"/>
      <c r="K53" s="238"/>
      <c r="M53" s="226"/>
    </row>
    <row r="54" spans="2:14" ht="18" customHeight="1" x14ac:dyDescent="0.25">
      <c r="B54" s="231"/>
      <c r="C54" s="352" t="s">
        <v>1771</v>
      </c>
      <c r="D54" s="353" t="s">
        <v>1772</v>
      </c>
      <c r="E54" s="354" t="s">
        <v>1773</v>
      </c>
      <c r="F54" s="353" t="s">
        <v>1774</v>
      </c>
      <c r="G54" s="353" t="s">
        <v>1775</v>
      </c>
      <c r="H54" s="355" t="s">
        <v>1776</v>
      </c>
      <c r="I54" s="1309" t="e">
        <f>IF(I53&lt;0.77,"Below .77, May enhance bitterness", IF(I53&lt;1.3,".77 to 1.3 = Balanced","Above 1.3 may enhance maltiness"))</f>
        <v>#VALUE!</v>
      </c>
      <c r="J54" s="1310"/>
      <c r="K54" s="346"/>
      <c r="L54" s="226"/>
    </row>
    <row r="55" spans="2:14" ht="15" customHeight="1" x14ac:dyDescent="0.25">
      <c r="B55" s="231"/>
      <c r="C55" s="1311" t="s">
        <v>1777</v>
      </c>
      <c r="D55" s="1311"/>
      <c r="E55" s="1311"/>
      <c r="F55" s="1311"/>
      <c r="G55" s="1311"/>
      <c r="H55" s="1311"/>
      <c r="I55" s="1311"/>
      <c r="J55" s="1311"/>
      <c r="K55" s="1312"/>
      <c r="L55" s="226"/>
      <c r="M55" s="239"/>
      <c r="N55" s="239"/>
    </row>
    <row r="56" spans="2:14" ht="15" customHeight="1" thickBot="1" x14ac:dyDescent="0.3">
      <c r="B56" s="356"/>
      <c r="C56" s="1313"/>
      <c r="D56" s="1313"/>
      <c r="E56" s="1313"/>
      <c r="F56" s="1313"/>
      <c r="G56" s="1313"/>
      <c r="H56" s="1313"/>
      <c r="I56" s="1314"/>
      <c r="J56" s="1314"/>
      <c r="K56" s="1315"/>
    </row>
    <row r="57" spans="2:14" s="357" customFormat="1" ht="15" customHeight="1" x14ac:dyDescent="0.25">
      <c r="C57" s="358"/>
      <c r="D57" s="358"/>
      <c r="E57" s="358"/>
      <c r="F57" s="358"/>
      <c r="G57" s="358"/>
      <c r="H57" s="358"/>
      <c r="I57" s="359"/>
      <c r="J57" s="359"/>
      <c r="K57" s="359"/>
    </row>
    <row r="58" spans="2:14" s="357" customFormat="1" ht="23.25" customHeight="1" x14ac:dyDescent="0.25">
      <c r="C58" s="1316" t="s">
        <v>1778</v>
      </c>
      <c r="D58" s="1316"/>
      <c r="E58" s="1316"/>
      <c r="F58" s="1316"/>
      <c r="G58" s="1316"/>
      <c r="H58" s="1316"/>
      <c r="I58" s="1316"/>
      <c r="J58" s="1316"/>
      <c r="K58" s="1316"/>
    </row>
    <row r="59" spans="2:14" ht="15" customHeight="1" x14ac:dyDescent="0.25">
      <c r="C59" s="360"/>
      <c r="D59" s="360"/>
      <c r="E59" s="360"/>
      <c r="F59" s="360"/>
      <c r="G59" s="360"/>
      <c r="H59" s="360"/>
      <c r="I59" s="226"/>
      <c r="J59" s="226"/>
      <c r="K59" s="226"/>
    </row>
    <row r="60" spans="2:14" ht="15" customHeight="1" x14ac:dyDescent="0.25">
      <c r="C60" s="360"/>
      <c r="D60" s="361" t="s">
        <v>1779</v>
      </c>
      <c r="E60" s="362"/>
      <c r="F60" s="362"/>
      <c r="G60" s="360"/>
      <c r="H60" s="360"/>
      <c r="I60" s="226"/>
      <c r="J60" s="226"/>
      <c r="K60" s="226"/>
    </row>
    <row r="61" spans="2:14" ht="15" customHeight="1" x14ac:dyDescent="0.25">
      <c r="C61" s="360"/>
      <c r="D61" s="362"/>
      <c r="E61" s="362"/>
      <c r="F61" s="362"/>
      <c r="G61" s="360"/>
      <c r="H61" s="360"/>
      <c r="I61" s="226"/>
      <c r="J61" s="226"/>
      <c r="K61" s="226"/>
    </row>
    <row r="62" spans="2:14" ht="15" customHeight="1" x14ac:dyDescent="0.25">
      <c r="C62" s="360"/>
      <c r="D62" s="362"/>
      <c r="E62" s="362"/>
      <c r="F62" s="362"/>
      <c r="G62" s="360"/>
      <c r="H62" s="360"/>
      <c r="I62" s="226"/>
      <c r="J62" s="226"/>
      <c r="K62" s="226"/>
    </row>
    <row r="63" spans="2:14" ht="15" customHeight="1" x14ac:dyDescent="0.25">
      <c r="C63" s="360"/>
      <c r="D63" s="362"/>
      <c r="E63" s="362"/>
      <c r="F63" s="360"/>
      <c r="G63" s="360"/>
      <c r="H63" s="360"/>
      <c r="I63" s="226"/>
      <c r="J63" s="226"/>
      <c r="K63" s="226"/>
    </row>
    <row r="64" spans="2:14" ht="15" customHeight="1" x14ac:dyDescent="0.25">
      <c r="C64" s="361" t="s">
        <v>1780</v>
      </c>
      <c r="D64" s="362"/>
      <c r="E64" s="362"/>
      <c r="F64" s="360"/>
      <c r="G64" s="360"/>
      <c r="H64" s="360"/>
      <c r="I64" s="226"/>
      <c r="J64" s="226"/>
      <c r="K64" s="226"/>
    </row>
    <row r="65" spans="1:11" ht="41.25" customHeight="1" x14ac:dyDescent="0.25">
      <c r="C65" s="360"/>
      <c r="D65" s="362"/>
      <c r="E65" s="362"/>
      <c r="F65" s="360"/>
      <c r="G65" s="360"/>
      <c r="H65" s="360"/>
      <c r="I65" s="226"/>
      <c r="J65" s="226"/>
      <c r="K65" s="226"/>
    </row>
    <row r="66" spans="1:11" ht="21.75" customHeight="1" x14ac:dyDescent="0.3">
      <c r="C66" s="1317" t="s">
        <v>1781</v>
      </c>
      <c r="D66" s="1317"/>
      <c r="E66" s="1317"/>
      <c r="F66" s="1317"/>
      <c r="G66" s="1317"/>
      <c r="H66" s="1317"/>
      <c r="I66" s="1317"/>
      <c r="J66" s="1317"/>
    </row>
    <row r="67" spans="1:11" ht="12" customHeight="1" x14ac:dyDescent="0.25">
      <c r="C67" s="1318" t="s">
        <v>1782</v>
      </c>
      <c r="D67" s="1318"/>
      <c r="E67" s="1318"/>
      <c r="F67" s="1318"/>
      <c r="G67" s="1318"/>
      <c r="H67" s="1318"/>
      <c r="I67" s="1318"/>
      <c r="J67" s="1318"/>
      <c r="K67" s="1318"/>
    </row>
    <row r="68" spans="1:11" ht="12" customHeight="1" x14ac:dyDescent="0.25">
      <c r="C68" s="1256" t="s">
        <v>1783</v>
      </c>
      <c r="D68" s="1256"/>
      <c r="E68" s="1256"/>
      <c r="F68" s="1256"/>
      <c r="G68" s="1256"/>
      <c r="H68" s="1256"/>
      <c r="I68" s="1256"/>
      <c r="J68" s="1256"/>
      <c r="K68" s="1256"/>
    </row>
    <row r="69" spans="1:11" x14ac:dyDescent="0.25">
      <c r="A69" s="363"/>
      <c r="B69" s="363"/>
      <c r="C69" s="364" t="s">
        <v>1784</v>
      </c>
      <c r="D69" s="219"/>
      <c r="E69" s="219"/>
      <c r="F69" s="219"/>
      <c r="G69" s="365"/>
      <c r="H69" s="365"/>
      <c r="I69" s="365"/>
      <c r="J69" s="365"/>
      <c r="K69" s="365"/>
    </row>
    <row r="70" spans="1:11" x14ac:dyDescent="0.25">
      <c r="C70" s="1257" t="s">
        <v>1785</v>
      </c>
      <c r="D70" s="1257"/>
      <c r="E70" s="1257"/>
      <c r="F70" s="1257"/>
      <c r="G70" s="1257"/>
      <c r="H70" s="1257"/>
      <c r="I70" s="1257"/>
      <c r="J70" s="1257"/>
    </row>
    <row r="71" spans="1:11" x14ac:dyDescent="0.25">
      <c r="C71" s="364" t="s">
        <v>1786</v>
      </c>
      <c r="D71" s="223"/>
      <c r="E71" s="223"/>
      <c r="F71" s="223"/>
      <c r="G71" s="223"/>
      <c r="H71" s="223"/>
      <c r="I71" s="223"/>
      <c r="J71" s="223"/>
    </row>
    <row r="72" spans="1:11" x14ac:dyDescent="0.25">
      <c r="C72" s="1257" t="s">
        <v>1787</v>
      </c>
      <c r="D72" s="1257"/>
      <c r="E72" s="1257"/>
      <c r="F72" s="1257"/>
      <c r="G72" s="1257"/>
      <c r="H72" s="1257"/>
      <c r="I72" s="1257"/>
      <c r="J72" s="1257"/>
    </row>
    <row r="74" spans="1:11" x14ac:dyDescent="0.25">
      <c r="C74" s="224" t="s">
        <v>1788</v>
      </c>
    </row>
    <row r="75" spans="1:11" ht="12.75" customHeight="1" x14ac:dyDescent="0.25">
      <c r="C75" s="364" t="s">
        <v>1799</v>
      </c>
    </row>
    <row r="76" spans="1:11" x14ac:dyDescent="0.25">
      <c r="C76" s="224" t="s">
        <v>1790</v>
      </c>
    </row>
  </sheetData>
  <sheetProtection sheet="1" selectLockedCells="1"/>
  <mergeCells count="27">
    <mergeCell ref="C15:C23"/>
    <mergeCell ref="C1:K1"/>
    <mergeCell ref="I3:J3"/>
    <mergeCell ref="K3:K4"/>
    <mergeCell ref="I4:J4"/>
    <mergeCell ref="I7:K11"/>
    <mergeCell ref="I53:J53"/>
    <mergeCell ref="H25:K28"/>
    <mergeCell ref="H29:K31"/>
    <mergeCell ref="D30:D32"/>
    <mergeCell ref="E30:E32"/>
    <mergeCell ref="F30:F32"/>
    <mergeCell ref="G30:G32"/>
    <mergeCell ref="H33:K34"/>
    <mergeCell ref="G42:K44"/>
    <mergeCell ref="I50:J50"/>
    <mergeCell ref="I51:J51"/>
    <mergeCell ref="I52:J52"/>
    <mergeCell ref="C68:K68"/>
    <mergeCell ref="C70:J70"/>
    <mergeCell ref="C72:J72"/>
    <mergeCell ref="I54:J54"/>
    <mergeCell ref="C55:K55"/>
    <mergeCell ref="C56:K56"/>
    <mergeCell ref="C58:K58"/>
    <mergeCell ref="C66:J66"/>
    <mergeCell ref="C67:K67"/>
  </mergeCells>
  <conditionalFormatting sqref="D54">
    <cfRule type="expression" dxfId="32" priority="1" stopIfTrue="1">
      <formula>OR(D$53&lt;49.5,D$53&gt;150.5)</formula>
    </cfRule>
  </conditionalFormatting>
  <conditionalFormatting sqref="E54">
    <cfRule type="expression" dxfId="31" priority="2" stopIfTrue="1">
      <formula>OR(E$53&lt;9.5,E$53&gt;30.5)</formula>
    </cfRule>
  </conditionalFormatting>
  <conditionalFormatting sqref="F54">
    <cfRule type="expression" dxfId="30" priority="3" stopIfTrue="1">
      <formula>OR(F$53&lt;0,F$53&gt;150.5)</formula>
    </cfRule>
  </conditionalFormatting>
  <conditionalFormatting sqref="G54">
    <cfRule type="expression" dxfId="29" priority="4" stopIfTrue="1">
      <formula>OR(G$53&lt;0,G$53&gt;250.5)</formula>
    </cfRule>
  </conditionalFormatting>
  <conditionalFormatting sqref="H54">
    <cfRule type="expression" dxfId="28" priority="5" stopIfTrue="1">
      <formula>OR(H$53&lt;49.5,H$53&gt;350.5)</formula>
    </cfRule>
  </conditionalFormatting>
  <conditionalFormatting sqref="F15:F24">
    <cfRule type="expression" dxfId="27" priority="6" stopIfTrue="1">
      <formula>AND($D15=10)</formula>
    </cfRule>
  </conditionalFormatting>
  <conditionalFormatting sqref="G33">
    <cfRule type="expression" dxfId="26"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58</xdr:row>
                <xdr:rowOff>182880</xdr:rowOff>
              </from>
              <to>
                <xdr:col>2</xdr:col>
                <xdr:colOff>1607820</xdr:colOff>
                <xdr:row>62</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693420</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693420</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693420</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693420</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693420</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693420</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7620</xdr:colOff>
                    <xdr:row>23</xdr:row>
                    <xdr:rowOff>7620</xdr:rowOff>
                  </from>
                  <to>
                    <xdr:col>3</xdr:col>
                    <xdr:colOff>975360</xdr:colOff>
                    <xdr:row>23</xdr:row>
                    <xdr:rowOff>213360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2"/>
  <sheetViews>
    <sheetView zoomScale="120" zoomScaleNormal="120" workbookViewId="0">
      <pane ySplit="1" topLeftCell="A170" activePane="bottomLeft" state="frozen"/>
      <selection pane="bottomLeft" activeCell="D191" sqref="D191"/>
    </sheetView>
  </sheetViews>
  <sheetFormatPr defaultRowHeight="13.2" x14ac:dyDescent="0.25"/>
  <cols>
    <col min="1" max="1" width="43.6640625" customWidth="1"/>
    <col min="2" max="2" width="15.6640625" customWidth="1"/>
    <col min="3" max="3" width="11.33203125" customWidth="1"/>
    <col min="4" max="4" width="7.5546875" customWidth="1"/>
    <col min="5" max="5" width="8.5546875" customWidth="1"/>
    <col min="6" max="6" width="6.6640625" style="4" customWidth="1"/>
    <col min="7" max="7" width="7" style="4" customWidth="1"/>
    <col min="8" max="8" width="10.6640625" style="418" customWidth="1"/>
    <col min="9" max="9" width="52.88671875" customWidth="1"/>
    <col min="10" max="10" width="68.109375" customWidth="1"/>
    <col min="11" max="29" width="4.88671875" customWidth="1"/>
    <col min="34" max="34" width="10.109375" customWidth="1"/>
  </cols>
  <sheetData>
    <row r="1" spans="1:9" s="54" customFormat="1" ht="40.950000000000003" customHeight="1" x14ac:dyDescent="0.25">
      <c r="A1" s="56" t="s">
        <v>1299</v>
      </c>
      <c r="B1" s="56" t="s">
        <v>1248</v>
      </c>
      <c r="C1" s="56" t="s">
        <v>1298</v>
      </c>
      <c r="D1" s="56" t="s">
        <v>1535</v>
      </c>
      <c r="E1" s="56" t="s">
        <v>1530</v>
      </c>
      <c r="F1" s="56" t="s">
        <v>1525</v>
      </c>
      <c r="G1" s="56" t="s">
        <v>2024</v>
      </c>
      <c r="H1" s="56" t="s">
        <v>2025</v>
      </c>
      <c r="I1" s="56" t="s">
        <v>1247</v>
      </c>
    </row>
    <row r="2" spans="1:9" s="54" customFormat="1" x14ac:dyDescent="0.25">
      <c r="A2" s="472" t="s">
        <v>1341</v>
      </c>
      <c r="B2" s="472" t="s">
        <v>1249</v>
      </c>
      <c r="C2" s="399" t="s">
        <v>89</v>
      </c>
      <c r="D2" s="473">
        <v>0.76</v>
      </c>
      <c r="E2" s="473">
        <v>0.1</v>
      </c>
      <c r="F2" s="491">
        <f>(grains_table[[#This Row],[Extract %]]*46.214)/1000+1</f>
        <v>1.03512264</v>
      </c>
      <c r="G2" s="475">
        <v>3.3</v>
      </c>
      <c r="H2" s="476">
        <v>0</v>
      </c>
      <c r="I2" s="477" t="s">
        <v>1290</v>
      </c>
    </row>
    <row r="3" spans="1:9" s="54" customFormat="1" x14ac:dyDescent="0.25">
      <c r="A3" s="472" t="s">
        <v>1342</v>
      </c>
      <c r="B3" s="472" t="s">
        <v>1294</v>
      </c>
      <c r="C3" s="399" t="s">
        <v>89</v>
      </c>
      <c r="D3" s="473">
        <v>0.76</v>
      </c>
      <c r="E3" s="473">
        <v>0.08</v>
      </c>
      <c r="F3" s="491">
        <f>(grains_table[[#This Row],[Extract %]]*46.214)/1000+1</f>
        <v>1.03512264</v>
      </c>
      <c r="G3" s="475">
        <v>4</v>
      </c>
      <c r="H3" s="476">
        <v>0</v>
      </c>
      <c r="I3" s="478" t="s">
        <v>1329</v>
      </c>
    </row>
    <row r="4" spans="1:9" ht="13.2" customHeight="1" x14ac:dyDescent="0.25">
      <c r="A4" s="472" t="s">
        <v>1909</v>
      </c>
      <c r="B4" s="479" t="s">
        <v>1879</v>
      </c>
      <c r="C4" s="475" t="s">
        <v>89</v>
      </c>
      <c r="D4" s="480">
        <v>0.26</v>
      </c>
      <c r="E4" s="480">
        <v>6.5000000000000002E-2</v>
      </c>
      <c r="F4" s="491">
        <f>(grains_table[[#This Row],[Extract %]]*46.214)/1000+1</f>
        <v>1.01201564</v>
      </c>
      <c r="G4" s="475">
        <v>2.2000000000000002</v>
      </c>
      <c r="H4" s="476">
        <v>0</v>
      </c>
      <c r="I4" s="477" t="s">
        <v>1880</v>
      </c>
    </row>
    <row r="5" spans="1:9" ht="13.2" customHeight="1" x14ac:dyDescent="0.25">
      <c r="A5" s="472" t="s">
        <v>1536</v>
      </c>
      <c r="B5" s="472" t="s">
        <v>1252</v>
      </c>
      <c r="C5" s="399" t="s">
        <v>89</v>
      </c>
      <c r="D5" s="473">
        <v>0.79</v>
      </c>
      <c r="E5" s="473">
        <v>4.4999999999999998E-2</v>
      </c>
      <c r="F5" s="491">
        <f>(grains_table[[#This Row],[Extract %]]*46.214)/1000+1</f>
        <v>1.03650906</v>
      </c>
      <c r="G5" s="475">
        <v>19</v>
      </c>
      <c r="H5" s="476">
        <v>0</v>
      </c>
      <c r="I5" s="477" t="s">
        <v>1287</v>
      </c>
    </row>
    <row r="6" spans="1:9" ht="13.2" customHeight="1" x14ac:dyDescent="0.25">
      <c r="A6" s="472" t="s">
        <v>1491</v>
      </c>
      <c r="B6" s="472" t="s">
        <v>1250</v>
      </c>
      <c r="C6" s="399" t="s">
        <v>89</v>
      </c>
      <c r="D6" s="473">
        <v>0.7</v>
      </c>
      <c r="E6" s="473">
        <v>0.05</v>
      </c>
      <c r="F6" s="491">
        <f>(grains_table[[#This Row],[Extract %]]*46.214)/1000+1</f>
        <v>1.0323498</v>
      </c>
      <c r="G6" s="475">
        <v>22.8</v>
      </c>
      <c r="H6" s="476"/>
      <c r="I6" s="477" t="s">
        <v>1265</v>
      </c>
    </row>
    <row r="7" spans="1:9" ht="13.2" customHeight="1" x14ac:dyDescent="0.25">
      <c r="A7" s="472" t="s">
        <v>1343</v>
      </c>
      <c r="B7" s="472" t="s">
        <v>1252</v>
      </c>
      <c r="C7" s="399" t="s">
        <v>89</v>
      </c>
      <c r="D7" s="473">
        <v>0.77</v>
      </c>
      <c r="E7" s="473">
        <v>4.4999999999999998E-2</v>
      </c>
      <c r="F7" s="491">
        <f>(grains_table[[#This Row],[Extract %]]*46.214)/1000+1</f>
        <v>1.03558478</v>
      </c>
      <c r="G7" s="475">
        <v>38</v>
      </c>
      <c r="H7" s="476">
        <v>0</v>
      </c>
      <c r="I7" s="477" t="s">
        <v>1287</v>
      </c>
    </row>
    <row r="8" spans="1:9" ht="13.2" customHeight="1" x14ac:dyDescent="0.25">
      <c r="A8" s="472" t="s">
        <v>1513</v>
      </c>
      <c r="B8" s="472" t="s">
        <v>1252</v>
      </c>
      <c r="C8" s="399" t="s">
        <v>89</v>
      </c>
      <c r="D8" s="473">
        <v>0.77</v>
      </c>
      <c r="E8" s="473">
        <v>4.4999999999999998E-2</v>
      </c>
      <c r="F8" s="491">
        <f>(grains_table[[#This Row],[Extract %]]*46.214)/1000+1</f>
        <v>1.03558478</v>
      </c>
      <c r="G8" s="475">
        <v>57</v>
      </c>
      <c r="H8" s="476">
        <v>0</v>
      </c>
      <c r="I8" s="477" t="s">
        <v>1287</v>
      </c>
    </row>
    <row r="9" spans="1:9" ht="13.2" customHeight="1" x14ac:dyDescent="0.25">
      <c r="A9" s="472" t="s">
        <v>1883</v>
      </c>
      <c r="B9" s="479" t="s">
        <v>1879</v>
      </c>
      <c r="C9" s="475" t="s">
        <v>89</v>
      </c>
      <c r="D9" s="480">
        <v>0.81</v>
      </c>
      <c r="E9" s="480">
        <v>0.03</v>
      </c>
      <c r="F9" s="491">
        <f>(grains_table[[#This Row],[Extract %]]*46.214)/1000+1</f>
        <v>1.03743334</v>
      </c>
      <c r="G9" s="475">
        <v>17.8</v>
      </c>
      <c r="H9" s="492">
        <f>(150+16)/3.5</f>
        <v>47.428571428571431</v>
      </c>
      <c r="I9" s="477" t="s">
        <v>1880</v>
      </c>
    </row>
    <row r="10" spans="1:9" ht="13.2" customHeight="1" x14ac:dyDescent="0.25">
      <c r="A10" s="472" t="s">
        <v>1514</v>
      </c>
      <c r="B10" s="472" t="s">
        <v>1249</v>
      </c>
      <c r="C10" s="399" t="s">
        <v>89</v>
      </c>
      <c r="D10" s="473">
        <v>0.78</v>
      </c>
      <c r="E10" s="473">
        <v>7.0000000000000007E-2</v>
      </c>
      <c r="F10" s="491">
        <f>(grains_table[[#This Row],[Extract %]]*46.214)/1000+1</f>
        <v>1.03604692</v>
      </c>
      <c r="G10" s="475">
        <v>1.8</v>
      </c>
      <c r="H10" s="476"/>
      <c r="I10" s="477" t="s">
        <v>1290</v>
      </c>
    </row>
    <row r="11" spans="1:9" ht="13.2" customHeight="1" x14ac:dyDescent="0.25">
      <c r="A11" s="472" t="s">
        <v>1537</v>
      </c>
      <c r="B11" s="472" t="s">
        <v>1252</v>
      </c>
      <c r="C11" s="399" t="s">
        <v>89</v>
      </c>
      <c r="D11" s="473">
        <v>0.75</v>
      </c>
      <c r="E11" s="473">
        <v>4.4999999999999998E-2</v>
      </c>
      <c r="F11" s="491">
        <f>(grains_table[[#This Row],[Extract %]]*46.214)/1000+1</f>
        <v>1.0346605</v>
      </c>
      <c r="G11" s="475">
        <v>23</v>
      </c>
      <c r="H11" s="476">
        <v>0</v>
      </c>
      <c r="I11" s="477" t="s">
        <v>1289</v>
      </c>
    </row>
    <row r="12" spans="1:9" ht="13.2" customHeight="1" x14ac:dyDescent="0.25">
      <c r="A12" s="472" t="s">
        <v>1884</v>
      </c>
      <c r="B12" s="479" t="s">
        <v>1879</v>
      </c>
      <c r="C12" s="475" t="s">
        <v>89</v>
      </c>
      <c r="D12" s="480">
        <v>0.74</v>
      </c>
      <c r="E12" s="480">
        <v>0.05</v>
      </c>
      <c r="F12" s="491">
        <f>(grains_table[[#This Row],[Extract %]]*46.214)/1000+1</f>
        <v>1.03419836</v>
      </c>
      <c r="G12" s="475">
        <v>24.9</v>
      </c>
      <c r="H12" s="476">
        <v>0</v>
      </c>
      <c r="I12" s="477" t="s">
        <v>1880</v>
      </c>
    </row>
    <row r="13" spans="1:9" ht="13.2" customHeight="1" x14ac:dyDescent="0.25">
      <c r="A13" s="472" t="s">
        <v>1885</v>
      </c>
      <c r="B13" s="479" t="s">
        <v>1879</v>
      </c>
      <c r="C13" s="475" t="s">
        <v>89</v>
      </c>
      <c r="D13" s="480">
        <v>0.74</v>
      </c>
      <c r="E13" s="480">
        <v>0.05</v>
      </c>
      <c r="F13" s="491">
        <f>(grains_table[[#This Row],[Extract %]]*46.214)/1000+1</f>
        <v>1.03419836</v>
      </c>
      <c r="G13" s="475">
        <v>64.3</v>
      </c>
      <c r="H13" s="476">
        <v>0</v>
      </c>
      <c r="I13" s="477" t="s">
        <v>1880</v>
      </c>
    </row>
    <row r="14" spans="1:9" ht="13.2" customHeight="1" x14ac:dyDescent="0.25">
      <c r="A14" s="472" t="s">
        <v>1531</v>
      </c>
      <c r="B14" s="472" t="s">
        <v>1251</v>
      </c>
      <c r="C14" s="399" t="s">
        <v>89</v>
      </c>
      <c r="D14" s="473">
        <v>0.72</v>
      </c>
      <c r="E14" s="473">
        <v>2.5000000000000001E-2</v>
      </c>
      <c r="F14" s="491">
        <f>(grains_table[[#This Row],[Extract %]]*46.214)/1000+1</f>
        <v>1.03327408</v>
      </c>
      <c r="G14" s="475">
        <v>40</v>
      </c>
      <c r="H14" s="476">
        <v>0</v>
      </c>
      <c r="I14" s="477" t="s">
        <v>1497</v>
      </c>
    </row>
    <row r="15" spans="1:9" ht="13.2" customHeight="1" x14ac:dyDescent="0.25">
      <c r="A15" s="472" t="s">
        <v>1532</v>
      </c>
      <c r="B15" s="472" t="s">
        <v>1251</v>
      </c>
      <c r="C15" s="399" t="s">
        <v>89</v>
      </c>
      <c r="D15" s="473">
        <v>0.75</v>
      </c>
      <c r="E15" s="473">
        <v>2.5000000000000001E-2</v>
      </c>
      <c r="F15" s="491">
        <f>(grains_table[[#This Row],[Extract %]]*46.214)/1000+1</f>
        <v>1.0346605</v>
      </c>
      <c r="G15" s="475">
        <v>28</v>
      </c>
      <c r="H15" s="476">
        <v>0</v>
      </c>
      <c r="I15" s="477" t="s">
        <v>1304</v>
      </c>
    </row>
    <row r="16" spans="1:9" ht="13.2" customHeight="1" x14ac:dyDescent="0.25">
      <c r="A16" s="472" t="s">
        <v>1914</v>
      </c>
      <c r="B16" s="479" t="s">
        <v>1879</v>
      </c>
      <c r="C16" s="475" t="s">
        <v>89</v>
      </c>
      <c r="D16" s="480">
        <v>0.74</v>
      </c>
      <c r="E16" s="480">
        <v>2.5000000000000001E-2</v>
      </c>
      <c r="F16" s="491">
        <f>(grains_table[[#This Row],[Extract %]]*46.214)/1000+1</f>
        <v>1.03419836</v>
      </c>
      <c r="G16" s="475">
        <v>525.6</v>
      </c>
      <c r="H16" s="476">
        <v>0</v>
      </c>
      <c r="I16" s="477" t="s">
        <v>1880</v>
      </c>
    </row>
    <row r="17" spans="1:9" ht="13.2" customHeight="1" x14ac:dyDescent="0.25">
      <c r="A17" s="472" t="s">
        <v>1539</v>
      </c>
      <c r="B17" s="472" t="s">
        <v>1252</v>
      </c>
      <c r="C17" s="399" t="s">
        <v>89</v>
      </c>
      <c r="D17" s="473">
        <v>0.7</v>
      </c>
      <c r="E17" s="473">
        <v>4.4999999999999998E-2</v>
      </c>
      <c r="F17" s="491">
        <f>(grains_table[[#This Row],[Extract %]]*46.214)/1000+1</f>
        <v>1.0323498</v>
      </c>
      <c r="G17" s="475">
        <v>530</v>
      </c>
      <c r="H17" s="476">
        <v>0</v>
      </c>
      <c r="I17" s="478" t="s">
        <v>1289</v>
      </c>
    </row>
    <row r="18" spans="1:9" ht="13.2" customHeight="1" x14ac:dyDescent="0.25">
      <c r="A18" s="472" t="s">
        <v>1512</v>
      </c>
      <c r="B18" s="472" t="s">
        <v>1294</v>
      </c>
      <c r="C18" s="399" t="s">
        <v>89</v>
      </c>
      <c r="D18" s="473">
        <v>0.75</v>
      </c>
      <c r="E18" s="473">
        <v>4.4999999999999998E-2</v>
      </c>
      <c r="F18" s="491">
        <f>(grains_table[[#This Row],[Extract %]]*46.214)/1000+1</f>
        <v>1.0346605</v>
      </c>
      <c r="G18" s="475">
        <v>27</v>
      </c>
      <c r="H18" s="476">
        <v>0</v>
      </c>
      <c r="I18" s="477" t="s">
        <v>1321</v>
      </c>
    </row>
    <row r="19" spans="1:9" ht="13.2" customHeight="1" x14ac:dyDescent="0.25">
      <c r="A19" s="472" t="s">
        <v>1511</v>
      </c>
      <c r="B19" s="472" t="s">
        <v>1294</v>
      </c>
      <c r="C19" s="399" t="s">
        <v>89</v>
      </c>
      <c r="D19" s="473">
        <v>0.75</v>
      </c>
      <c r="E19" s="473">
        <v>4.4999999999999998E-2</v>
      </c>
      <c r="F19" s="491">
        <f>(grains_table[[#This Row],[Extract %]]*46.214)/1000+1</f>
        <v>1.0346605</v>
      </c>
      <c r="G19" s="475">
        <v>19.5</v>
      </c>
      <c r="H19" s="476">
        <v>0</v>
      </c>
      <c r="I19" s="477" t="s">
        <v>1320</v>
      </c>
    </row>
    <row r="20" spans="1:9" ht="13.2" customHeight="1" x14ac:dyDescent="0.25">
      <c r="A20" s="472" t="s">
        <v>1510</v>
      </c>
      <c r="B20" s="472" t="s">
        <v>1294</v>
      </c>
      <c r="C20" s="399" t="s">
        <v>89</v>
      </c>
      <c r="D20" s="473">
        <v>0.75</v>
      </c>
      <c r="E20" s="473">
        <v>4.4999999999999998E-2</v>
      </c>
      <c r="F20" s="491">
        <f>(grains_table[[#This Row],[Extract %]]*46.214)/1000+1</f>
        <v>1.0346605</v>
      </c>
      <c r="G20" s="475">
        <v>12</v>
      </c>
      <c r="H20" s="476">
        <v>0</v>
      </c>
      <c r="I20" s="477" t="s">
        <v>1319</v>
      </c>
    </row>
    <row r="21" spans="1:9" ht="13.2" customHeight="1" x14ac:dyDescent="0.25">
      <c r="A21" s="472" t="s">
        <v>1509</v>
      </c>
      <c r="B21" s="472" t="s">
        <v>1294</v>
      </c>
      <c r="C21" s="399" t="s">
        <v>89</v>
      </c>
      <c r="D21" s="473">
        <v>0.75</v>
      </c>
      <c r="E21" s="473">
        <v>4.4999999999999998E-2</v>
      </c>
      <c r="F21" s="491">
        <f>(grains_table[[#This Row],[Extract %]]*46.214)/1000+1</f>
        <v>1.0346605</v>
      </c>
      <c r="G21" s="475">
        <v>5.4</v>
      </c>
      <c r="H21" s="476">
        <v>0</v>
      </c>
      <c r="I21" s="477" t="s">
        <v>1323</v>
      </c>
    </row>
    <row r="22" spans="1:9" ht="13.2" customHeight="1" x14ac:dyDescent="0.25">
      <c r="A22" s="472" t="s">
        <v>1508</v>
      </c>
      <c r="B22" s="472" t="s">
        <v>1294</v>
      </c>
      <c r="C22" s="399" t="s">
        <v>89</v>
      </c>
      <c r="D22" s="473">
        <v>0.75</v>
      </c>
      <c r="E22" s="473">
        <v>4.4999999999999998E-2</v>
      </c>
      <c r="F22" s="491">
        <f>(grains_table[[#This Row],[Extract %]]*46.214)/1000+1</f>
        <v>1.0346605</v>
      </c>
      <c r="G22" s="475">
        <v>45.5</v>
      </c>
      <c r="H22" s="476">
        <v>0</v>
      </c>
      <c r="I22" s="477" t="s">
        <v>1324</v>
      </c>
    </row>
    <row r="23" spans="1:9" ht="13.2" customHeight="1" x14ac:dyDescent="0.25">
      <c r="A23" s="472" t="s">
        <v>1507</v>
      </c>
      <c r="B23" s="472" t="s">
        <v>1294</v>
      </c>
      <c r="C23" s="399" t="s">
        <v>89</v>
      </c>
      <c r="D23" s="473">
        <v>0.75</v>
      </c>
      <c r="E23" s="473">
        <v>4.4999999999999998E-2</v>
      </c>
      <c r="F23" s="491">
        <f>(grains_table[[#This Row],[Extract %]]*46.214)/1000+1</f>
        <v>1.0346605</v>
      </c>
      <c r="G23" s="475">
        <v>63</v>
      </c>
      <c r="H23" s="476">
        <v>0</v>
      </c>
      <c r="I23" s="477" t="s">
        <v>1325</v>
      </c>
    </row>
    <row r="24" spans="1:9" ht="13.2" customHeight="1" x14ac:dyDescent="0.25">
      <c r="A24" s="472" t="s">
        <v>1506</v>
      </c>
      <c r="B24" s="472" t="s">
        <v>1294</v>
      </c>
      <c r="C24" s="399" t="s">
        <v>89</v>
      </c>
      <c r="D24" s="473">
        <v>0.75</v>
      </c>
      <c r="E24" s="473">
        <v>4.4999999999999998E-2</v>
      </c>
      <c r="F24" s="491">
        <f>(grains_table[[#This Row],[Extract %]]*46.214)/1000+1</f>
        <v>1.0346605</v>
      </c>
      <c r="G24" s="475">
        <v>2.35</v>
      </c>
      <c r="H24" s="476">
        <v>0</v>
      </c>
      <c r="I24" s="477" t="s">
        <v>1322</v>
      </c>
    </row>
    <row r="25" spans="1:9" ht="13.2" customHeight="1" x14ac:dyDescent="0.25">
      <c r="A25" s="472" t="s">
        <v>1344</v>
      </c>
      <c r="B25" s="472" t="s">
        <v>1252</v>
      </c>
      <c r="C25" s="399" t="s">
        <v>89</v>
      </c>
      <c r="D25" s="473">
        <v>0.74</v>
      </c>
      <c r="E25" s="473">
        <v>0.06</v>
      </c>
      <c r="F25" s="491">
        <f>(grains_table[[#This Row],[Extract %]]*46.214)/1000+1</f>
        <v>1.03419836</v>
      </c>
      <c r="G25" s="475">
        <v>45</v>
      </c>
      <c r="H25" s="476">
        <v>0</v>
      </c>
      <c r="I25" s="477" t="s">
        <v>1288</v>
      </c>
    </row>
    <row r="26" spans="1:9" ht="13.2" customHeight="1" x14ac:dyDescent="0.25">
      <c r="A26" s="472" t="s">
        <v>1345</v>
      </c>
      <c r="B26" s="472" t="s">
        <v>1252</v>
      </c>
      <c r="C26" s="399" t="s">
        <v>89</v>
      </c>
      <c r="D26" s="473">
        <v>0.75</v>
      </c>
      <c r="E26" s="473">
        <v>9.5000000000000001E-2</v>
      </c>
      <c r="F26" s="491">
        <f>(grains_table[[#This Row],[Extract %]]*46.214)/1000+1</f>
        <v>1.0346605</v>
      </c>
      <c r="G26" s="475">
        <v>8</v>
      </c>
      <c r="H26" s="476">
        <v>0</v>
      </c>
      <c r="I26" s="477" t="s">
        <v>1288</v>
      </c>
    </row>
    <row r="27" spans="1:9" ht="13.2" customHeight="1" x14ac:dyDescent="0.25">
      <c r="A27" s="472" t="s">
        <v>1346</v>
      </c>
      <c r="B27" s="472" t="s">
        <v>1252</v>
      </c>
      <c r="C27" s="399" t="s">
        <v>89</v>
      </c>
      <c r="D27" s="473">
        <v>0.75</v>
      </c>
      <c r="E27" s="473">
        <v>7.4999999999999997E-2</v>
      </c>
      <c r="F27" s="491">
        <f>(grains_table[[#This Row],[Extract %]]*46.214)/1000+1</f>
        <v>1.0346605</v>
      </c>
      <c r="G27" s="475">
        <v>20</v>
      </c>
      <c r="H27" s="476">
        <v>0</v>
      </c>
      <c r="I27" s="477" t="s">
        <v>1288</v>
      </c>
    </row>
    <row r="28" spans="1:9" ht="13.2" customHeight="1" x14ac:dyDescent="0.25">
      <c r="A28" s="472" t="s">
        <v>1440</v>
      </c>
      <c r="B28" s="472" t="s">
        <v>1249</v>
      </c>
      <c r="C28" s="399" t="s">
        <v>89</v>
      </c>
      <c r="D28" s="473">
        <v>0.74</v>
      </c>
      <c r="E28" s="473">
        <v>7.0000000000000007E-2</v>
      </c>
      <c r="F28" s="491">
        <f>(grains_table[[#This Row],[Extract %]]*46.214)/1000+1</f>
        <v>1.03419836</v>
      </c>
      <c r="G28" s="475">
        <v>150</v>
      </c>
      <c r="H28" s="476">
        <v>0</v>
      </c>
      <c r="I28" s="477" t="s">
        <v>1290</v>
      </c>
    </row>
    <row r="29" spans="1:9" ht="13.2" customHeight="1" x14ac:dyDescent="0.25">
      <c r="A29" s="472" t="s">
        <v>1441</v>
      </c>
      <c r="B29" s="472" t="s">
        <v>1249</v>
      </c>
      <c r="C29" s="399" t="s">
        <v>89</v>
      </c>
      <c r="D29" s="473">
        <v>0.74</v>
      </c>
      <c r="E29" s="473">
        <v>0.09</v>
      </c>
      <c r="F29" s="491">
        <f>(grains_table[[#This Row],[Extract %]]*46.214)/1000+1</f>
        <v>1.03419836</v>
      </c>
      <c r="G29" s="475">
        <v>12.75</v>
      </c>
      <c r="H29" s="476">
        <v>0</v>
      </c>
      <c r="I29" s="477" t="s">
        <v>1290</v>
      </c>
    </row>
    <row r="30" spans="1:9" ht="13.2" customHeight="1" x14ac:dyDescent="0.25">
      <c r="A30" s="472" t="s">
        <v>1347</v>
      </c>
      <c r="B30" s="472" t="s">
        <v>1251</v>
      </c>
      <c r="C30" s="399" t="s">
        <v>89</v>
      </c>
      <c r="D30" s="473">
        <v>0.78</v>
      </c>
      <c r="E30" s="473">
        <v>0.04</v>
      </c>
      <c r="F30" s="491">
        <f>(grains_table[[#This Row],[Extract %]]*46.214)/1000+1</f>
        <v>1.03604692</v>
      </c>
      <c r="G30" s="475">
        <v>55</v>
      </c>
      <c r="H30" s="476">
        <v>0</v>
      </c>
      <c r="I30" s="477" t="s">
        <v>1293</v>
      </c>
    </row>
    <row r="31" spans="1:9" ht="13.2" customHeight="1" x14ac:dyDescent="0.25">
      <c r="A31" s="472" t="s">
        <v>1472</v>
      </c>
      <c r="B31" s="472" t="s">
        <v>1249</v>
      </c>
      <c r="C31" s="399" t="s">
        <v>89</v>
      </c>
      <c r="D31" s="473">
        <v>0.65</v>
      </c>
      <c r="E31" s="473">
        <v>3.7999999999999999E-2</v>
      </c>
      <c r="F31" s="491">
        <f>(grains_table[[#This Row],[Extract %]]*46.214)/1000+1</f>
        <v>1.0300391</v>
      </c>
      <c r="G31" s="475">
        <v>337.5</v>
      </c>
      <c r="H31" s="476">
        <v>0</v>
      </c>
      <c r="I31" s="477" t="s">
        <v>1290</v>
      </c>
    </row>
    <row r="32" spans="1:9" ht="13.2" customHeight="1" x14ac:dyDescent="0.25">
      <c r="A32" s="472" t="s">
        <v>1471</v>
      </c>
      <c r="B32" s="472" t="s">
        <v>1249</v>
      </c>
      <c r="C32" s="399" t="s">
        <v>89</v>
      </c>
      <c r="D32" s="473">
        <v>0.65</v>
      </c>
      <c r="E32" s="473">
        <v>3.7999999999999999E-2</v>
      </c>
      <c r="F32" s="491">
        <f>(grains_table[[#This Row],[Extract %]]*46.214)/1000+1</f>
        <v>1.0300391</v>
      </c>
      <c r="G32" s="475">
        <v>431.5</v>
      </c>
      <c r="H32" s="476">
        <v>0</v>
      </c>
      <c r="I32" s="477" t="s">
        <v>1290</v>
      </c>
    </row>
    <row r="33" spans="1:9" ht="13.2" customHeight="1" x14ac:dyDescent="0.25">
      <c r="A33" s="472" t="s">
        <v>1470</v>
      </c>
      <c r="B33" s="472" t="s">
        <v>1249</v>
      </c>
      <c r="C33" s="399" t="s">
        <v>89</v>
      </c>
      <c r="D33" s="473">
        <v>0.65</v>
      </c>
      <c r="E33" s="473">
        <v>3.7999999999999999E-2</v>
      </c>
      <c r="F33" s="491">
        <f>(grains_table[[#This Row],[Extract %]]*46.214)/1000+1</f>
        <v>1.0300391</v>
      </c>
      <c r="G33" s="475">
        <v>525.5</v>
      </c>
      <c r="H33" s="476">
        <v>0</v>
      </c>
      <c r="I33" s="477" t="s">
        <v>1290</v>
      </c>
    </row>
    <row r="34" spans="1:9" ht="13.2" customHeight="1" x14ac:dyDescent="0.25">
      <c r="A34" s="472" t="s">
        <v>1473</v>
      </c>
      <c r="B34" s="472" t="s">
        <v>1249</v>
      </c>
      <c r="C34" s="399" t="s">
        <v>89</v>
      </c>
      <c r="D34" s="473">
        <v>0.65</v>
      </c>
      <c r="E34" s="473">
        <v>3.7999999999999999E-2</v>
      </c>
      <c r="F34" s="491">
        <f>(grains_table[[#This Row],[Extract %]]*46.214)/1000+1</f>
        <v>1.0300391</v>
      </c>
      <c r="G34" s="475">
        <v>337.5</v>
      </c>
      <c r="H34" s="476">
        <v>0</v>
      </c>
      <c r="I34" s="477" t="s">
        <v>1290</v>
      </c>
    </row>
    <row r="35" spans="1:9" ht="13.2" customHeight="1" x14ac:dyDescent="0.25">
      <c r="A35" s="472" t="s">
        <v>1474</v>
      </c>
      <c r="B35" s="472" t="s">
        <v>1249</v>
      </c>
      <c r="C35" s="399" t="s">
        <v>89</v>
      </c>
      <c r="D35" s="473">
        <v>0.65</v>
      </c>
      <c r="E35" s="473">
        <v>3.7999999999999999E-2</v>
      </c>
      <c r="F35" s="491">
        <f>(grains_table[[#This Row],[Extract %]]*46.214)/1000+1</f>
        <v>1.0300391</v>
      </c>
      <c r="G35" s="475">
        <v>431.5</v>
      </c>
      <c r="H35" s="476">
        <v>0</v>
      </c>
      <c r="I35" s="477" t="s">
        <v>1290</v>
      </c>
    </row>
    <row r="36" spans="1:9" ht="13.2" customHeight="1" x14ac:dyDescent="0.25">
      <c r="A36" s="472" t="s">
        <v>1475</v>
      </c>
      <c r="B36" s="472" t="s">
        <v>1249</v>
      </c>
      <c r="C36" s="399" t="s">
        <v>89</v>
      </c>
      <c r="D36" s="473">
        <v>0.65</v>
      </c>
      <c r="E36" s="473">
        <v>3.7999999999999999E-2</v>
      </c>
      <c r="F36" s="491">
        <f>(grains_table[[#This Row],[Extract %]]*46.214)/1000+1</f>
        <v>1.0300391</v>
      </c>
      <c r="G36" s="475">
        <v>525.5</v>
      </c>
      <c r="H36" s="476">
        <v>0</v>
      </c>
      <c r="I36" s="477" t="s">
        <v>1290</v>
      </c>
    </row>
    <row r="37" spans="1:9" ht="13.2" customHeight="1" x14ac:dyDescent="0.25">
      <c r="A37" s="472" t="s">
        <v>1442</v>
      </c>
      <c r="B37" s="472" t="s">
        <v>1249</v>
      </c>
      <c r="C37" s="399" t="s">
        <v>89</v>
      </c>
      <c r="D37" s="473"/>
      <c r="E37" s="473"/>
      <c r="F37" s="491">
        <f>(grains_table[[#This Row],[Extract %]]*46.214)/1000+1</f>
        <v>1</v>
      </c>
      <c r="G37" s="475">
        <v>2.2000000000000002</v>
      </c>
      <c r="H37" s="476">
        <v>0</v>
      </c>
      <c r="I37" s="477" t="s">
        <v>1290</v>
      </c>
    </row>
    <row r="38" spans="1:9" ht="13.2" customHeight="1" x14ac:dyDescent="0.25">
      <c r="A38" s="472" t="s">
        <v>1443</v>
      </c>
      <c r="B38" s="472" t="s">
        <v>1249</v>
      </c>
      <c r="C38" s="399" t="s">
        <v>89</v>
      </c>
      <c r="D38" s="473">
        <v>0.74</v>
      </c>
      <c r="E38" s="473">
        <v>0.09</v>
      </c>
      <c r="F38" s="491">
        <f>(grains_table[[#This Row],[Extract %]]*46.214)/1000+1</f>
        <v>1.03419836</v>
      </c>
      <c r="G38" s="475">
        <v>9.9499999999999993</v>
      </c>
      <c r="H38" s="476">
        <v>0</v>
      </c>
      <c r="I38" s="477" t="s">
        <v>1290</v>
      </c>
    </row>
    <row r="39" spans="1:9" ht="13.2" customHeight="1" x14ac:dyDescent="0.25">
      <c r="A39" s="472" t="s">
        <v>1348</v>
      </c>
      <c r="B39" s="472" t="s">
        <v>1250</v>
      </c>
      <c r="C39" s="399" t="s">
        <v>89</v>
      </c>
      <c r="D39" s="473">
        <v>0.71</v>
      </c>
      <c r="E39" s="473">
        <v>7.4999999999999997E-2</v>
      </c>
      <c r="F39" s="491">
        <f>(grains_table[[#This Row],[Extract %]]*46.214)/1000+1</f>
        <v>1.03281194</v>
      </c>
      <c r="G39" s="475">
        <v>14.05</v>
      </c>
      <c r="H39" s="476">
        <v>0</v>
      </c>
      <c r="I39" s="477" t="s">
        <v>1267</v>
      </c>
    </row>
    <row r="40" spans="1:9" ht="13.2" customHeight="1" x14ac:dyDescent="0.25">
      <c r="A40" s="472" t="s">
        <v>1444</v>
      </c>
      <c r="B40" s="472" t="s">
        <v>1249</v>
      </c>
      <c r="C40" s="399" t="s">
        <v>89</v>
      </c>
      <c r="D40" s="473">
        <v>0.75</v>
      </c>
      <c r="E40" s="473">
        <v>4.4999999999999998E-2</v>
      </c>
      <c r="F40" s="491">
        <f>(grains_table[[#This Row],[Extract %]]*46.214)/1000+1</f>
        <v>1.0346605</v>
      </c>
      <c r="G40" s="475">
        <v>27</v>
      </c>
      <c r="H40" s="476">
        <v>0</v>
      </c>
      <c r="I40" s="477" t="s">
        <v>1290</v>
      </c>
    </row>
    <row r="41" spans="1:9" ht="13.2" customHeight="1" x14ac:dyDescent="0.25">
      <c r="A41" s="472" t="s">
        <v>1349</v>
      </c>
      <c r="B41" s="472" t="s">
        <v>1251</v>
      </c>
      <c r="C41" s="399" t="s">
        <v>89</v>
      </c>
      <c r="D41" s="473">
        <v>0.77</v>
      </c>
      <c r="E41" s="473">
        <v>7.0000000000000007E-2</v>
      </c>
      <c r="F41" s="491">
        <f>(grains_table[[#This Row],[Extract %]]*46.214)/1000+1</f>
        <v>1.03558478</v>
      </c>
      <c r="G41" s="475">
        <v>10</v>
      </c>
      <c r="H41" s="476">
        <v>0</v>
      </c>
      <c r="I41" s="478" t="s">
        <v>1293</v>
      </c>
    </row>
    <row r="42" spans="1:9" ht="13.2" customHeight="1" x14ac:dyDescent="0.25">
      <c r="A42" s="472" t="s">
        <v>1350</v>
      </c>
      <c r="B42" s="472" t="s">
        <v>1251</v>
      </c>
      <c r="C42" s="399" t="s">
        <v>89</v>
      </c>
      <c r="D42" s="473">
        <v>0.75</v>
      </c>
      <c r="E42" s="473">
        <v>0.03</v>
      </c>
      <c r="F42" s="491">
        <f>(grains_table[[#This Row],[Extract %]]*46.214)/1000+1</f>
        <v>1.0346605</v>
      </c>
      <c r="G42" s="475">
        <v>120</v>
      </c>
      <c r="H42" s="476">
        <v>0</v>
      </c>
      <c r="I42" s="477" t="s">
        <v>1293</v>
      </c>
    </row>
    <row r="43" spans="1:9" ht="13.2" customHeight="1" x14ac:dyDescent="0.25">
      <c r="A43" s="472" t="s">
        <v>1351</v>
      </c>
      <c r="B43" s="472" t="s">
        <v>1251</v>
      </c>
      <c r="C43" s="399" t="s">
        <v>89</v>
      </c>
      <c r="D43" s="473">
        <v>0.76</v>
      </c>
      <c r="E43" s="473">
        <v>0.06</v>
      </c>
      <c r="F43" s="491">
        <f>(grains_table[[#This Row],[Extract %]]*46.214)/1000+1</f>
        <v>1.03512264</v>
      </c>
      <c r="G43" s="475">
        <v>20</v>
      </c>
      <c r="H43" s="476">
        <v>0</v>
      </c>
      <c r="I43" s="477" t="s">
        <v>1293</v>
      </c>
    </row>
    <row r="44" spans="1:9" ht="13.2" customHeight="1" x14ac:dyDescent="0.25">
      <c r="A44" s="472" t="s">
        <v>1352</v>
      </c>
      <c r="B44" s="472" t="s">
        <v>1251</v>
      </c>
      <c r="C44" s="399" t="s">
        <v>89</v>
      </c>
      <c r="D44" s="473">
        <v>0.77</v>
      </c>
      <c r="E44" s="473">
        <v>5.5E-2</v>
      </c>
      <c r="F44" s="491">
        <f>(grains_table[[#This Row],[Extract %]]*46.214)/1000+1</f>
        <v>1.03558478</v>
      </c>
      <c r="G44" s="475">
        <v>30</v>
      </c>
      <c r="H44" s="476">
        <v>0</v>
      </c>
      <c r="I44" s="478" t="s">
        <v>1293</v>
      </c>
    </row>
    <row r="45" spans="1:9" ht="13.2" customHeight="1" x14ac:dyDescent="0.25">
      <c r="A45" s="472" t="s">
        <v>1353</v>
      </c>
      <c r="B45" s="472" t="s">
        <v>1251</v>
      </c>
      <c r="C45" s="399" t="s">
        <v>89</v>
      </c>
      <c r="D45" s="473">
        <v>0.77</v>
      </c>
      <c r="E45" s="473">
        <v>5.5E-2</v>
      </c>
      <c r="F45" s="491">
        <f>(grains_table[[#This Row],[Extract %]]*46.214)/1000+1</f>
        <v>1.03558478</v>
      </c>
      <c r="G45" s="475">
        <v>40</v>
      </c>
      <c r="H45" s="476">
        <v>0</v>
      </c>
      <c r="I45" s="478" t="s">
        <v>1293</v>
      </c>
    </row>
    <row r="46" spans="1:9" ht="13.2" customHeight="1" x14ac:dyDescent="0.25">
      <c r="A46" s="472" t="s">
        <v>1354</v>
      </c>
      <c r="B46" s="472" t="s">
        <v>1251</v>
      </c>
      <c r="C46" s="399" t="s">
        <v>89</v>
      </c>
      <c r="D46" s="473">
        <v>0.77</v>
      </c>
      <c r="E46" s="473">
        <v>0.05</v>
      </c>
      <c r="F46" s="491">
        <f>(grains_table[[#This Row],[Extract %]]*46.214)/1000+1</f>
        <v>1.03558478</v>
      </c>
      <c r="G46" s="475">
        <v>60</v>
      </c>
      <c r="H46" s="476">
        <v>0</v>
      </c>
      <c r="I46" s="478" t="s">
        <v>1293</v>
      </c>
    </row>
    <row r="47" spans="1:9" ht="13.2" customHeight="1" x14ac:dyDescent="0.25">
      <c r="A47" s="472" t="s">
        <v>1355</v>
      </c>
      <c r="B47" s="472" t="s">
        <v>1251</v>
      </c>
      <c r="C47" s="399" t="s">
        <v>89</v>
      </c>
      <c r="D47" s="473">
        <v>0.76</v>
      </c>
      <c r="E47" s="473">
        <v>4.4999999999999998E-2</v>
      </c>
      <c r="F47" s="491">
        <f>(grains_table[[#This Row],[Extract %]]*46.214)/1000+1</f>
        <v>1.03512264</v>
      </c>
      <c r="G47" s="475">
        <v>80</v>
      </c>
      <c r="H47" s="476">
        <v>0</v>
      </c>
      <c r="I47" s="478" t="s">
        <v>1293</v>
      </c>
    </row>
    <row r="48" spans="1:9" ht="13.2" customHeight="1" x14ac:dyDescent="0.25">
      <c r="A48" s="472" t="s">
        <v>1356</v>
      </c>
      <c r="B48" s="472" t="s">
        <v>1251</v>
      </c>
      <c r="C48" s="399" t="s">
        <v>89</v>
      </c>
      <c r="D48" s="473">
        <v>0.75</v>
      </c>
      <c r="E48" s="473">
        <v>0.04</v>
      </c>
      <c r="F48" s="491">
        <f>(grains_table[[#This Row],[Extract %]]*46.214)/1000+1</f>
        <v>1.0346605</v>
      </c>
      <c r="G48" s="475">
        <v>90</v>
      </c>
      <c r="H48" s="476">
        <v>0</v>
      </c>
      <c r="I48" s="477" t="s">
        <v>1293</v>
      </c>
    </row>
    <row r="49" spans="1:9" ht="13.2" customHeight="1" x14ac:dyDescent="0.25">
      <c r="A49" s="472" t="s">
        <v>1357</v>
      </c>
      <c r="B49" s="472" t="s">
        <v>1251</v>
      </c>
      <c r="C49" s="399" t="s">
        <v>89</v>
      </c>
      <c r="D49" s="473">
        <v>0.77</v>
      </c>
      <c r="E49" s="473">
        <v>3.5000000000000003E-2</v>
      </c>
      <c r="F49" s="491">
        <f>(grains_table[[#This Row],[Extract %]]*46.214)/1000+1</f>
        <v>1.03558478</v>
      </c>
      <c r="G49" s="475">
        <v>60</v>
      </c>
      <c r="H49" s="476">
        <v>0</v>
      </c>
      <c r="I49" s="477" t="s">
        <v>1293</v>
      </c>
    </row>
    <row r="50" spans="1:9" ht="13.2" customHeight="1" x14ac:dyDescent="0.25">
      <c r="A50" s="472" t="s">
        <v>1358</v>
      </c>
      <c r="B50" s="472" t="s">
        <v>1251</v>
      </c>
      <c r="C50" s="399" t="s">
        <v>89</v>
      </c>
      <c r="D50" s="473">
        <v>0.8</v>
      </c>
      <c r="E50" s="473">
        <v>0.05</v>
      </c>
      <c r="F50" s="491">
        <f>(grains_table[[#This Row],[Extract %]]*46.214)/1000+1</f>
        <v>1.0369712</v>
      </c>
      <c r="G50" s="475">
        <v>60</v>
      </c>
      <c r="H50" s="476">
        <v>0</v>
      </c>
      <c r="I50" s="478" t="s">
        <v>1293</v>
      </c>
    </row>
    <row r="51" spans="1:9" ht="13.2" customHeight="1" x14ac:dyDescent="0.25">
      <c r="A51" s="472" t="s">
        <v>1359</v>
      </c>
      <c r="B51" s="472" t="s">
        <v>1251</v>
      </c>
      <c r="C51" s="399" t="s">
        <v>89</v>
      </c>
      <c r="D51" s="473">
        <v>0.78</v>
      </c>
      <c r="E51" s="473">
        <v>4.4999999999999998E-2</v>
      </c>
      <c r="F51" s="491">
        <f>(grains_table[[#This Row],[Extract %]]*46.214)/1000+1</f>
        <v>1.03604692</v>
      </c>
      <c r="G51" s="475">
        <v>20</v>
      </c>
      <c r="H51" s="476">
        <v>0</v>
      </c>
      <c r="I51" s="477" t="s">
        <v>1293</v>
      </c>
    </row>
    <row r="52" spans="1:9" ht="13.2" customHeight="1" x14ac:dyDescent="0.25">
      <c r="A52" s="472" t="s">
        <v>1462</v>
      </c>
      <c r="B52" s="472" t="s">
        <v>1249</v>
      </c>
      <c r="C52" s="399" t="s">
        <v>89</v>
      </c>
      <c r="D52" s="473">
        <v>0.73</v>
      </c>
      <c r="E52" s="473">
        <v>6.5000000000000002E-2</v>
      </c>
      <c r="F52" s="491">
        <f>(grains_table[[#This Row],[Extract %]]*46.214)/1000+1</f>
        <v>1.03373622</v>
      </c>
      <c r="G52" s="475">
        <v>34.5</v>
      </c>
      <c r="H52" s="476">
        <v>0</v>
      </c>
      <c r="I52" s="477" t="s">
        <v>1290</v>
      </c>
    </row>
    <row r="53" spans="1:9" ht="13.2" customHeight="1" x14ac:dyDescent="0.25">
      <c r="A53" s="472" t="s">
        <v>1463</v>
      </c>
      <c r="B53" s="472" t="s">
        <v>1249</v>
      </c>
      <c r="C53" s="399" t="s">
        <v>89</v>
      </c>
      <c r="D53" s="473">
        <v>0.73</v>
      </c>
      <c r="E53" s="473">
        <v>6.5000000000000002E-2</v>
      </c>
      <c r="F53" s="491">
        <f>(grains_table[[#This Row],[Extract %]]*46.214)/1000+1</f>
        <v>1.03373622</v>
      </c>
      <c r="G53" s="475">
        <v>45.5</v>
      </c>
      <c r="H53" s="476">
        <v>0</v>
      </c>
      <c r="I53" s="477" t="s">
        <v>1290</v>
      </c>
    </row>
    <row r="54" spans="1:9" ht="13.2" customHeight="1" x14ac:dyDescent="0.25">
      <c r="A54" s="472" t="s">
        <v>1464</v>
      </c>
      <c r="B54" s="472" t="s">
        <v>1249</v>
      </c>
      <c r="C54" s="399" t="s">
        <v>89</v>
      </c>
      <c r="D54" s="473">
        <v>0.73</v>
      </c>
      <c r="E54" s="473">
        <v>6.5000000000000002E-2</v>
      </c>
      <c r="F54" s="491">
        <f>(grains_table[[#This Row],[Extract %]]*46.214)/1000+1</f>
        <v>1.03373622</v>
      </c>
      <c r="G54" s="475">
        <v>56.75</v>
      </c>
      <c r="H54" s="476">
        <v>0</v>
      </c>
      <c r="I54" s="477" t="s">
        <v>1290</v>
      </c>
    </row>
    <row r="55" spans="1:9" ht="13.2" customHeight="1" x14ac:dyDescent="0.25">
      <c r="A55" s="472" t="s">
        <v>1465</v>
      </c>
      <c r="B55" s="472" t="s">
        <v>1249</v>
      </c>
      <c r="C55" s="399" t="s">
        <v>89</v>
      </c>
      <c r="D55" s="473">
        <v>0.75</v>
      </c>
      <c r="E55" s="473">
        <v>7.0000000000000007E-2</v>
      </c>
      <c r="F55" s="491">
        <f>(grains_table[[#This Row],[Extract %]]*46.214)/1000+1</f>
        <v>1.0346605</v>
      </c>
      <c r="G55" s="475">
        <v>2.2000000000000002</v>
      </c>
      <c r="H55" s="476">
        <v>0</v>
      </c>
      <c r="I55" s="477" t="s">
        <v>1290</v>
      </c>
    </row>
    <row r="56" spans="1:9" ht="13.2" customHeight="1" x14ac:dyDescent="0.25">
      <c r="A56" s="472" t="s">
        <v>1466</v>
      </c>
      <c r="B56" s="472" t="s">
        <v>1249</v>
      </c>
      <c r="C56" s="399" t="s">
        <v>89</v>
      </c>
      <c r="D56" s="473">
        <v>0.74</v>
      </c>
      <c r="E56" s="473">
        <v>7.4999999999999997E-2</v>
      </c>
      <c r="F56" s="491">
        <f>(grains_table[[#This Row],[Extract %]]*46.214)/1000+1</f>
        <v>1.03419836</v>
      </c>
      <c r="G56" s="475">
        <v>19.5</v>
      </c>
      <c r="H56" s="476">
        <v>0</v>
      </c>
      <c r="I56" s="477" t="s">
        <v>1290</v>
      </c>
    </row>
    <row r="57" spans="1:9" ht="13.2" customHeight="1" x14ac:dyDescent="0.25">
      <c r="A57" s="472" t="s">
        <v>1467</v>
      </c>
      <c r="B57" s="472" t="s">
        <v>1249</v>
      </c>
      <c r="C57" s="399" t="s">
        <v>89</v>
      </c>
      <c r="D57" s="473">
        <v>0.74</v>
      </c>
      <c r="E57" s="473">
        <v>6.5000000000000002E-2</v>
      </c>
      <c r="F57" s="491">
        <f>(grains_table[[#This Row],[Extract %]]*46.214)/1000+1</f>
        <v>1.03419836</v>
      </c>
      <c r="G57" s="475">
        <v>66.5</v>
      </c>
      <c r="H57" s="476">
        <v>0</v>
      </c>
      <c r="I57" s="477" t="s">
        <v>1290</v>
      </c>
    </row>
    <row r="58" spans="1:9" ht="13.2" customHeight="1" x14ac:dyDescent="0.25">
      <c r="A58" s="472" t="s">
        <v>1468</v>
      </c>
      <c r="B58" s="472" t="s">
        <v>1249</v>
      </c>
      <c r="C58" s="399" t="s">
        <v>89</v>
      </c>
      <c r="D58" s="473">
        <v>0.68</v>
      </c>
      <c r="E58" s="473">
        <v>6.5000000000000002E-2</v>
      </c>
      <c r="F58" s="491">
        <f>(grains_table[[#This Row],[Extract %]]*46.214)/1000+1</f>
        <v>1.03142552</v>
      </c>
      <c r="G58" s="475">
        <v>47.5</v>
      </c>
      <c r="H58" s="476">
        <v>0</v>
      </c>
      <c r="I58" s="477" t="s">
        <v>1290</v>
      </c>
    </row>
    <row r="59" spans="1:9" ht="13.2" customHeight="1" x14ac:dyDescent="0.25">
      <c r="A59" s="472" t="s">
        <v>1360</v>
      </c>
      <c r="B59" s="472" t="s">
        <v>1250</v>
      </c>
      <c r="C59" s="399" t="s">
        <v>89</v>
      </c>
      <c r="D59" s="473">
        <v>0.69</v>
      </c>
      <c r="E59" s="473">
        <v>0.05</v>
      </c>
      <c r="F59" s="491">
        <f>(grains_table[[#This Row],[Extract %]]*46.214)/1000+1</f>
        <v>1.03188766</v>
      </c>
      <c r="G59" s="475">
        <v>100.9</v>
      </c>
      <c r="H59" s="476">
        <v>0</v>
      </c>
      <c r="I59" s="478" t="s">
        <v>1272</v>
      </c>
    </row>
    <row r="60" spans="1:9" ht="13.2" customHeight="1" x14ac:dyDescent="0.25">
      <c r="A60" s="472" t="s">
        <v>1361</v>
      </c>
      <c r="B60" s="472" t="s">
        <v>1250</v>
      </c>
      <c r="C60" s="399" t="s">
        <v>89</v>
      </c>
      <c r="D60" s="473">
        <v>0.69</v>
      </c>
      <c r="E60" s="473">
        <v>0.05</v>
      </c>
      <c r="F60" s="491">
        <f>(grains_table[[#This Row],[Extract %]]*46.214)/1000+1</f>
        <v>1.03188766</v>
      </c>
      <c r="G60" s="475">
        <v>178.7</v>
      </c>
      <c r="H60" s="476">
        <v>0</v>
      </c>
      <c r="I60" s="477" t="s">
        <v>1273</v>
      </c>
    </row>
    <row r="61" spans="1:9" ht="13.2" customHeight="1" x14ac:dyDescent="0.25">
      <c r="A61" s="472" t="s">
        <v>1362</v>
      </c>
      <c r="B61" s="472" t="s">
        <v>1250</v>
      </c>
      <c r="C61" s="399" t="s">
        <v>89</v>
      </c>
      <c r="D61" s="473">
        <v>0.69</v>
      </c>
      <c r="E61" s="473">
        <v>0.06</v>
      </c>
      <c r="F61" s="491">
        <f>(grains_table[[#This Row],[Extract %]]*46.214)/1000+1</f>
        <v>1.03188766</v>
      </c>
      <c r="G61" s="475">
        <v>39.549999999999997</v>
      </c>
      <c r="H61" s="476">
        <v>0</v>
      </c>
      <c r="I61" s="477" t="s">
        <v>1269</v>
      </c>
    </row>
    <row r="62" spans="1:9" ht="13.2" customHeight="1" x14ac:dyDescent="0.25">
      <c r="A62" s="472" t="s">
        <v>1363</v>
      </c>
      <c r="B62" s="472" t="s">
        <v>1250</v>
      </c>
      <c r="C62" s="399" t="s">
        <v>89</v>
      </c>
      <c r="D62" s="473">
        <v>0.69</v>
      </c>
      <c r="E62" s="473">
        <v>0.05</v>
      </c>
      <c r="F62" s="491">
        <f>(grains_table[[#This Row],[Extract %]]*46.214)/1000+1</f>
        <v>1.03188766</v>
      </c>
      <c r="G62" s="475">
        <v>67.5</v>
      </c>
      <c r="H62" s="476">
        <v>0</v>
      </c>
      <c r="I62" s="478" t="s">
        <v>1271</v>
      </c>
    </row>
    <row r="63" spans="1:9" ht="13.2" customHeight="1" x14ac:dyDescent="0.25">
      <c r="A63" s="472" t="s">
        <v>1907</v>
      </c>
      <c r="B63" s="479" t="s">
        <v>1879</v>
      </c>
      <c r="C63" s="475" t="s">
        <v>89</v>
      </c>
      <c r="D63" s="480">
        <v>0.79</v>
      </c>
      <c r="E63" s="480">
        <v>4.4999999999999998E-2</v>
      </c>
      <c r="F63" s="491">
        <f>(grains_table[[#This Row],[Extract %]]*46.214)/1000+1</f>
        <v>1.03650906</v>
      </c>
      <c r="G63" s="475">
        <v>26.8</v>
      </c>
      <c r="H63" s="476">
        <v>0</v>
      </c>
      <c r="I63" s="478" t="s">
        <v>1880</v>
      </c>
    </row>
    <row r="64" spans="1:9" ht="13.2" customHeight="1" x14ac:dyDescent="0.25">
      <c r="A64" s="472" t="s">
        <v>1364</v>
      </c>
      <c r="B64" s="472" t="s">
        <v>1250</v>
      </c>
      <c r="C64" s="399" t="s">
        <v>89</v>
      </c>
      <c r="D64" s="473">
        <v>0.69</v>
      </c>
      <c r="E64" s="473">
        <v>0.05</v>
      </c>
      <c r="F64" s="491">
        <f>(grains_table[[#This Row],[Extract %]]*46.214)/1000+1</f>
        <v>1.03188766</v>
      </c>
      <c r="G64" s="475">
        <v>50.5</v>
      </c>
      <c r="H64" s="476">
        <v>0</v>
      </c>
      <c r="I64" s="478" t="s">
        <v>1270</v>
      </c>
    </row>
    <row r="65" spans="1:9" ht="13.2" customHeight="1" x14ac:dyDescent="0.25">
      <c r="A65" s="472" t="s">
        <v>1890</v>
      </c>
      <c r="B65" s="479" t="s">
        <v>1879</v>
      </c>
      <c r="C65" s="475" t="s">
        <v>89</v>
      </c>
      <c r="D65" s="480">
        <v>0.78</v>
      </c>
      <c r="E65" s="480">
        <v>0.06</v>
      </c>
      <c r="F65" s="491">
        <f>(grains_table[[#This Row],[Extract %]]*46.214)/1000+1</f>
        <v>1.03604692</v>
      </c>
      <c r="G65" s="475">
        <v>75.599999999999994</v>
      </c>
      <c r="H65" s="476">
        <v>0</v>
      </c>
      <c r="I65" s="478" t="s">
        <v>1880</v>
      </c>
    </row>
    <row r="66" spans="1:9" ht="13.2" customHeight="1" x14ac:dyDescent="0.25">
      <c r="A66" s="472" t="s">
        <v>1365</v>
      </c>
      <c r="B66" s="472" t="s">
        <v>1250</v>
      </c>
      <c r="C66" s="399" t="s">
        <v>89</v>
      </c>
      <c r="D66" s="473">
        <v>0.69</v>
      </c>
      <c r="E66" s="473">
        <v>0.05</v>
      </c>
      <c r="F66" s="491">
        <f>(grains_table[[#This Row],[Extract %]]*46.214)/1000+1</f>
        <v>1.03188766</v>
      </c>
      <c r="G66" s="475">
        <v>67.5</v>
      </c>
      <c r="H66" s="476">
        <v>0</v>
      </c>
      <c r="I66" s="477" t="s">
        <v>1275</v>
      </c>
    </row>
    <row r="67" spans="1:9" ht="13.2" customHeight="1" x14ac:dyDescent="0.25">
      <c r="A67" s="472" t="s">
        <v>1888</v>
      </c>
      <c r="B67" s="479" t="s">
        <v>1879</v>
      </c>
      <c r="C67" s="475" t="s">
        <v>89</v>
      </c>
      <c r="D67" s="480">
        <v>0.78</v>
      </c>
      <c r="E67" s="480">
        <v>6.5000000000000002E-2</v>
      </c>
      <c r="F67" s="491">
        <f>(grains_table[[#This Row],[Extract %]]*46.214)/1000+1</f>
        <v>1.03604692</v>
      </c>
      <c r="G67" s="475">
        <v>19.3</v>
      </c>
      <c r="H67" s="476">
        <v>0</v>
      </c>
      <c r="I67" s="478" t="s">
        <v>1880</v>
      </c>
    </row>
    <row r="68" spans="1:9" ht="13.2" customHeight="1" x14ac:dyDescent="0.25">
      <c r="A68" s="472" t="s">
        <v>1889</v>
      </c>
      <c r="B68" s="479" t="s">
        <v>1879</v>
      </c>
      <c r="C68" s="475" t="s">
        <v>89</v>
      </c>
      <c r="D68" s="480">
        <v>0.78</v>
      </c>
      <c r="E68" s="480">
        <v>0.06</v>
      </c>
      <c r="F68" s="491">
        <f>(grains_table[[#This Row],[Extract %]]*46.214)/1000+1</f>
        <v>1.03604692</v>
      </c>
      <c r="G68" s="475">
        <v>39.9</v>
      </c>
      <c r="H68" s="476">
        <v>0</v>
      </c>
      <c r="I68" s="478" t="s">
        <v>1880</v>
      </c>
    </row>
    <row r="69" spans="1:9" ht="13.2" customHeight="1" x14ac:dyDescent="0.25">
      <c r="A69" s="472" t="s">
        <v>1366</v>
      </c>
      <c r="B69" s="472" t="s">
        <v>1250</v>
      </c>
      <c r="C69" s="399" t="s">
        <v>89</v>
      </c>
      <c r="D69" s="473">
        <v>0.71</v>
      </c>
      <c r="E69" s="473">
        <v>3.5000000000000003E-2</v>
      </c>
      <c r="F69" s="491">
        <f>(grains_table[[#This Row],[Extract %]]*46.214)/1000+1</f>
        <v>1.03281194</v>
      </c>
      <c r="G69" s="475">
        <v>23.05</v>
      </c>
      <c r="H69" s="476">
        <v>0</v>
      </c>
      <c r="I69" s="477" t="s">
        <v>1268</v>
      </c>
    </row>
    <row r="70" spans="1:9" ht="13.2" customHeight="1" x14ac:dyDescent="0.25">
      <c r="A70" s="472" t="s">
        <v>1438</v>
      </c>
      <c r="B70" s="472" t="s">
        <v>1250</v>
      </c>
      <c r="C70" s="399" t="s">
        <v>89</v>
      </c>
      <c r="D70" s="473">
        <v>0.65</v>
      </c>
      <c r="E70" s="473">
        <v>0.02</v>
      </c>
      <c r="F70" s="491">
        <f>(grains_table[[#This Row],[Extract %]]*46.214)/1000+1</f>
        <v>1.0300391</v>
      </c>
      <c r="G70" s="475">
        <v>103.1</v>
      </c>
      <c r="H70" s="476">
        <v>0</v>
      </c>
      <c r="I70" s="477" t="s">
        <v>1284</v>
      </c>
    </row>
    <row r="71" spans="1:9" ht="13.2" customHeight="1" x14ac:dyDescent="0.25">
      <c r="A71" s="472" t="s">
        <v>1901</v>
      </c>
      <c r="B71" s="479" t="s">
        <v>1879</v>
      </c>
      <c r="C71" s="475" t="s">
        <v>89</v>
      </c>
      <c r="D71" s="480">
        <v>0.78</v>
      </c>
      <c r="E71" s="480">
        <v>6.5000000000000002E-2</v>
      </c>
      <c r="F71" s="491">
        <f>(grains_table[[#This Row],[Extract %]]*46.214)/1000+1</f>
        <v>1.03604692</v>
      </c>
      <c r="G71" s="475">
        <v>24.94</v>
      </c>
      <c r="H71" s="476">
        <v>0</v>
      </c>
      <c r="I71" s="478" t="s">
        <v>1880</v>
      </c>
    </row>
    <row r="72" spans="1:9" ht="13.2" customHeight="1" x14ac:dyDescent="0.25">
      <c r="A72" s="472" t="s">
        <v>1367</v>
      </c>
      <c r="B72" s="472" t="s">
        <v>1250</v>
      </c>
      <c r="C72" s="399" t="s">
        <v>89</v>
      </c>
      <c r="D72" s="473">
        <v>0.69</v>
      </c>
      <c r="E72" s="473">
        <v>0.05</v>
      </c>
      <c r="F72" s="491">
        <f>(grains_table[[#This Row],[Extract %]]*46.214)/1000+1</f>
        <v>1.03188766</v>
      </c>
      <c r="G72" s="475">
        <v>113.1</v>
      </c>
      <c r="H72" s="476">
        <v>0</v>
      </c>
      <c r="I72" s="477" t="s">
        <v>1274</v>
      </c>
    </row>
    <row r="73" spans="1:9" ht="13.2" customHeight="1" x14ac:dyDescent="0.25">
      <c r="A73" s="472" t="s">
        <v>1368</v>
      </c>
      <c r="B73" s="472" t="s">
        <v>1252</v>
      </c>
      <c r="C73" s="399" t="s">
        <v>89</v>
      </c>
      <c r="D73" s="473">
        <v>0.72</v>
      </c>
      <c r="E73" s="473">
        <v>0.05</v>
      </c>
      <c r="F73" s="491">
        <f>(grains_table[[#This Row],[Extract %]]*46.214)/1000+1</f>
        <v>1.03327408</v>
      </c>
      <c r="G73" s="475">
        <v>125</v>
      </c>
      <c r="H73" s="476">
        <v>0</v>
      </c>
      <c r="I73" s="477" t="s">
        <v>1288</v>
      </c>
    </row>
    <row r="74" spans="1:9" ht="13.2" customHeight="1" x14ac:dyDescent="0.25">
      <c r="A74" s="472" t="s">
        <v>1910</v>
      </c>
      <c r="B74" s="479" t="s">
        <v>1879</v>
      </c>
      <c r="C74" s="475" t="s">
        <v>89</v>
      </c>
      <c r="D74" s="480">
        <v>0.71</v>
      </c>
      <c r="E74" s="480">
        <v>0.06</v>
      </c>
      <c r="F74" s="491">
        <f>(grains_table[[#This Row],[Extract %]]*46.214)/1000+1</f>
        <v>1.03281194</v>
      </c>
      <c r="G74" s="475">
        <v>43.3</v>
      </c>
      <c r="H74" s="476">
        <v>0</v>
      </c>
      <c r="I74" s="478" t="s">
        <v>1880</v>
      </c>
    </row>
    <row r="75" spans="1:9" ht="13.2" customHeight="1" x14ac:dyDescent="0.25">
      <c r="A75" s="472" t="s">
        <v>1911</v>
      </c>
      <c r="B75" s="479" t="s">
        <v>1879</v>
      </c>
      <c r="C75" s="475" t="s">
        <v>89</v>
      </c>
      <c r="D75" s="480">
        <v>0.74</v>
      </c>
      <c r="E75" s="480">
        <v>7.4999999999999997E-2</v>
      </c>
      <c r="F75" s="491">
        <f>(grains_table[[#This Row],[Extract %]]*46.214)/1000+1</f>
        <v>1.03419836</v>
      </c>
      <c r="G75" s="475">
        <v>5.0999999999999996</v>
      </c>
      <c r="H75" s="476">
        <v>0</v>
      </c>
      <c r="I75" s="478" t="s">
        <v>1880</v>
      </c>
    </row>
    <row r="76" spans="1:9" ht="13.2" customHeight="1" x14ac:dyDescent="0.25">
      <c r="A76" s="472" t="s">
        <v>1456</v>
      </c>
      <c r="B76" s="472" t="s">
        <v>1294</v>
      </c>
      <c r="C76" s="399" t="s">
        <v>89</v>
      </c>
      <c r="D76" s="473">
        <v>0.5</v>
      </c>
      <c r="E76" s="473">
        <v>4.9000000000000002E-2</v>
      </c>
      <c r="F76" s="491">
        <f>(grains_table[[#This Row],[Extract %]]*46.214)/1000+1</f>
        <v>1.023107</v>
      </c>
      <c r="G76" s="475">
        <v>1.4</v>
      </c>
      <c r="H76" s="492">
        <f>(250+16)/3.5</f>
        <v>76</v>
      </c>
      <c r="I76" s="478" t="s">
        <v>1328</v>
      </c>
    </row>
    <row r="77" spans="1:9" ht="13.2" customHeight="1" x14ac:dyDescent="0.25">
      <c r="A77" s="472" t="s">
        <v>2001</v>
      </c>
      <c r="B77" s="479" t="s">
        <v>1251</v>
      </c>
      <c r="C77" s="475" t="s">
        <v>89</v>
      </c>
      <c r="D77" s="480">
        <v>0.71</v>
      </c>
      <c r="E77" s="480">
        <v>5.5E-2</v>
      </c>
      <c r="F77" s="491">
        <f>(grains_table[[#This Row],[Extract %]]*46.214)/1000+1</f>
        <v>1.03281194</v>
      </c>
      <c r="G77" s="475">
        <v>350</v>
      </c>
      <c r="H77" s="476">
        <v>0</v>
      </c>
      <c r="I77" s="478" t="s">
        <v>2002</v>
      </c>
    </row>
    <row r="78" spans="1:9" ht="13.2" customHeight="1" x14ac:dyDescent="0.25">
      <c r="A78" s="472" t="s">
        <v>2003</v>
      </c>
      <c r="B78" s="479" t="s">
        <v>1251</v>
      </c>
      <c r="C78" s="475" t="s">
        <v>89</v>
      </c>
      <c r="D78" s="480">
        <v>0.71</v>
      </c>
      <c r="E78" s="480">
        <v>5.5E-2</v>
      </c>
      <c r="F78" s="491">
        <f>(grains_table[[#This Row],[Extract %]]*46.214)/1000+1</f>
        <v>1.03281194</v>
      </c>
      <c r="G78" s="475">
        <v>420</v>
      </c>
      <c r="H78" s="476">
        <v>0</v>
      </c>
      <c r="I78" s="478" t="s">
        <v>2002</v>
      </c>
    </row>
    <row r="79" spans="1:9" ht="13.2" customHeight="1" x14ac:dyDescent="0.25">
      <c r="A79" s="472" t="s">
        <v>1887</v>
      </c>
      <c r="B79" s="479" t="s">
        <v>1879</v>
      </c>
      <c r="C79" s="475" t="s">
        <v>89</v>
      </c>
      <c r="D79" s="480">
        <v>0.71</v>
      </c>
      <c r="E79" s="480">
        <v>4.4999999999999998E-2</v>
      </c>
      <c r="F79" s="491">
        <f>(grains_table[[#This Row],[Extract %]]*46.214)/1000+1</f>
        <v>1.03281194</v>
      </c>
      <c r="G79" s="475">
        <v>488</v>
      </c>
      <c r="H79" s="476">
        <v>0</v>
      </c>
      <c r="I79" s="478" t="s">
        <v>1880</v>
      </c>
    </row>
    <row r="80" spans="1:9" ht="13.2" customHeight="1" x14ac:dyDescent="0.25">
      <c r="A80" s="472" t="s">
        <v>1886</v>
      </c>
      <c r="B80" s="479" t="s">
        <v>1879</v>
      </c>
      <c r="C80" s="475" t="s">
        <v>89</v>
      </c>
      <c r="D80" s="480">
        <v>0.71</v>
      </c>
      <c r="E80" s="480">
        <v>4.4999999999999998E-2</v>
      </c>
      <c r="F80" s="491">
        <f>(grains_table[[#This Row],[Extract %]]*46.214)/1000+1</f>
        <v>1.03281194</v>
      </c>
      <c r="G80" s="475">
        <v>356.8</v>
      </c>
      <c r="H80" s="476">
        <v>0</v>
      </c>
      <c r="I80" s="478" t="s">
        <v>1880</v>
      </c>
    </row>
    <row r="81" spans="1:9" ht="13.2" customHeight="1" x14ac:dyDescent="0.25">
      <c r="A81" s="472" t="s">
        <v>1538</v>
      </c>
      <c r="B81" s="472" t="s">
        <v>1252</v>
      </c>
      <c r="C81" s="399" t="s">
        <v>89</v>
      </c>
      <c r="D81" s="473">
        <v>0.7</v>
      </c>
      <c r="E81" s="473">
        <v>4.4999999999999998E-2</v>
      </c>
      <c r="F81" s="491">
        <f>(grains_table[[#This Row],[Extract %]]*46.214)/1000+1</f>
        <v>1.0323498</v>
      </c>
      <c r="G81" s="475">
        <v>340</v>
      </c>
      <c r="H81" s="476">
        <v>0</v>
      </c>
      <c r="I81" s="478" t="s">
        <v>1289</v>
      </c>
    </row>
    <row r="82" spans="1:9" ht="13.2" customHeight="1" x14ac:dyDescent="0.25">
      <c r="A82" s="472" t="s">
        <v>1895</v>
      </c>
      <c r="B82" s="479" t="s">
        <v>1879</v>
      </c>
      <c r="C82" s="475" t="s">
        <v>89</v>
      </c>
      <c r="D82" s="480">
        <v>0.58919999999999995</v>
      </c>
      <c r="E82" s="480">
        <v>6.2799999999999995E-2</v>
      </c>
      <c r="F82" s="491">
        <f>(grains_table[[#This Row],[Extract %]]*46.214)/1000+1</f>
        <v>1.0272292888000001</v>
      </c>
      <c r="G82" s="475">
        <v>1.5</v>
      </c>
      <c r="H82" s="476">
        <v>0</v>
      </c>
      <c r="I82" s="478" t="s">
        <v>1880</v>
      </c>
    </row>
    <row r="83" spans="1:9" ht="13.2" customHeight="1" x14ac:dyDescent="0.25">
      <c r="A83" s="472" t="s">
        <v>1369</v>
      </c>
      <c r="B83" s="472" t="s">
        <v>1251</v>
      </c>
      <c r="C83" s="399" t="s">
        <v>89</v>
      </c>
      <c r="D83" s="473">
        <v>0.75</v>
      </c>
      <c r="E83" s="473">
        <v>6.5000000000000002E-2</v>
      </c>
      <c r="F83" s="491">
        <f>(grains_table[[#This Row],[Extract %]]*46.214)/1000+1</f>
        <v>1.0346605</v>
      </c>
      <c r="G83" s="475">
        <v>1.5</v>
      </c>
      <c r="H83" s="476">
        <v>0</v>
      </c>
      <c r="I83" s="477" t="s">
        <v>1295</v>
      </c>
    </row>
    <row r="84" spans="1:9" ht="13.2" customHeight="1" x14ac:dyDescent="0.25">
      <c r="A84" s="472" t="s">
        <v>1370</v>
      </c>
      <c r="B84" s="472" t="s">
        <v>1251</v>
      </c>
      <c r="C84" s="399" t="s">
        <v>89</v>
      </c>
      <c r="D84" s="473">
        <v>0.75</v>
      </c>
      <c r="E84" s="473">
        <v>5.5E-2</v>
      </c>
      <c r="F84" s="491">
        <f>(grains_table[[#This Row],[Extract %]]*46.214)/1000+1</f>
        <v>1.0346605</v>
      </c>
      <c r="G84" s="475">
        <v>30</v>
      </c>
      <c r="H84" s="476">
        <v>0</v>
      </c>
      <c r="I84" s="477" t="s">
        <v>1295</v>
      </c>
    </row>
    <row r="85" spans="1:9" ht="13.2" customHeight="1" x14ac:dyDescent="0.25">
      <c r="A85" s="472" t="s">
        <v>1371</v>
      </c>
      <c r="B85" s="472" t="s">
        <v>1250</v>
      </c>
      <c r="C85" s="399" t="s">
        <v>89</v>
      </c>
      <c r="D85" s="473">
        <v>0.67500000000000004</v>
      </c>
      <c r="E85" s="473">
        <v>7.0000000000000007E-2</v>
      </c>
      <c r="F85" s="491">
        <f>(grains_table[[#This Row],[Extract %]]*46.214)/1000+1</f>
        <v>1.0311944500000001</v>
      </c>
      <c r="G85" s="475">
        <v>1.1000000000000001</v>
      </c>
      <c r="H85" s="476">
        <v>0</v>
      </c>
      <c r="I85" s="477" t="s">
        <v>1286</v>
      </c>
    </row>
    <row r="86" spans="1:9" ht="13.2" customHeight="1" x14ac:dyDescent="0.25">
      <c r="A86" s="472" t="s">
        <v>1893</v>
      </c>
      <c r="B86" s="479" t="s">
        <v>1879</v>
      </c>
      <c r="C86" s="475" t="s">
        <v>89</v>
      </c>
      <c r="D86" s="480">
        <v>0.82</v>
      </c>
      <c r="E86" s="480">
        <v>0.05</v>
      </c>
      <c r="F86" s="491">
        <f>(grains_table[[#This Row],[Extract %]]*46.214)/1000+1</f>
        <v>1.03789548</v>
      </c>
      <c r="G86" s="475">
        <v>3.6</v>
      </c>
      <c r="H86" s="476">
        <v>0</v>
      </c>
      <c r="I86" s="477" t="s">
        <v>1880</v>
      </c>
    </row>
    <row r="87" spans="1:9" x14ac:dyDescent="0.25">
      <c r="A87" s="472" t="s">
        <v>1540</v>
      </c>
      <c r="B87" s="472" t="s">
        <v>1251</v>
      </c>
      <c r="C87" s="399" t="s">
        <v>705</v>
      </c>
      <c r="D87" s="480"/>
      <c r="E87" s="480"/>
      <c r="F87" s="474">
        <v>1.0449999999999999</v>
      </c>
      <c r="G87" s="475">
        <v>6</v>
      </c>
      <c r="H87" s="476">
        <v>0</v>
      </c>
      <c r="I87" s="477" t="s">
        <v>1493</v>
      </c>
    </row>
    <row r="88" spans="1:9" ht="13.2" customHeight="1" x14ac:dyDescent="0.25">
      <c r="A88" s="472" t="s">
        <v>1541</v>
      </c>
      <c r="B88" s="472" t="s">
        <v>1251</v>
      </c>
      <c r="C88" s="399" t="s">
        <v>705</v>
      </c>
      <c r="D88" s="480"/>
      <c r="E88" s="480"/>
      <c r="F88" s="474">
        <v>1.0449999999999999</v>
      </c>
      <c r="G88" s="475">
        <v>2</v>
      </c>
      <c r="H88" s="476">
        <v>0</v>
      </c>
      <c r="I88" s="477" t="s">
        <v>1493</v>
      </c>
    </row>
    <row r="89" spans="1:9" ht="13.2" customHeight="1" x14ac:dyDescent="0.25">
      <c r="A89" s="472" t="s">
        <v>1477</v>
      </c>
      <c r="B89" s="472" t="s">
        <v>562</v>
      </c>
      <c r="C89" s="399" t="s">
        <v>705</v>
      </c>
      <c r="D89" s="473"/>
      <c r="E89" s="473"/>
      <c r="F89" s="474">
        <v>1.0383439999999999</v>
      </c>
      <c r="G89" s="475">
        <v>6.7</v>
      </c>
      <c r="H89" s="476">
        <v>0</v>
      </c>
      <c r="I89" s="477" t="s">
        <v>1469</v>
      </c>
    </row>
    <row r="90" spans="1:9" ht="13.2" customHeight="1" x14ac:dyDescent="0.25">
      <c r="A90" s="472" t="s">
        <v>1478</v>
      </c>
      <c r="B90" s="472" t="s">
        <v>562</v>
      </c>
      <c r="C90" s="399" t="s">
        <v>705</v>
      </c>
      <c r="D90" s="473"/>
      <c r="E90" s="473"/>
      <c r="F90" s="474">
        <v>1.0377449999999999</v>
      </c>
      <c r="G90" s="475">
        <v>22</v>
      </c>
      <c r="H90" s="476">
        <v>0</v>
      </c>
      <c r="I90" s="477" t="s">
        <v>1469</v>
      </c>
    </row>
    <row r="91" spans="1:9" ht="13.2" customHeight="1" x14ac:dyDescent="0.25">
      <c r="A91" s="472" t="s">
        <v>1479</v>
      </c>
      <c r="B91" s="472" t="s">
        <v>562</v>
      </c>
      <c r="C91" s="399" t="s">
        <v>705</v>
      </c>
      <c r="D91" s="473"/>
      <c r="E91" s="473"/>
      <c r="F91" s="474">
        <v>1.0377449999999999</v>
      </c>
      <c r="G91" s="475">
        <v>36</v>
      </c>
      <c r="H91" s="476">
        <v>0</v>
      </c>
      <c r="I91" s="477" t="s">
        <v>1469</v>
      </c>
    </row>
    <row r="92" spans="1:9" ht="13.2" customHeight="1" x14ac:dyDescent="0.25">
      <c r="A92" s="472" t="s">
        <v>1480</v>
      </c>
      <c r="B92" s="472" t="s">
        <v>562</v>
      </c>
      <c r="C92" s="399" t="s">
        <v>705</v>
      </c>
      <c r="D92" s="473"/>
      <c r="E92" s="473"/>
      <c r="F92" s="474">
        <v>1.0383439999999999</v>
      </c>
      <c r="G92" s="475">
        <v>5.0999999999999996</v>
      </c>
      <c r="H92" s="476">
        <v>0</v>
      </c>
      <c r="I92" s="477" t="s">
        <v>1469</v>
      </c>
    </row>
    <row r="93" spans="1:9" ht="13.2" customHeight="1" x14ac:dyDescent="0.25">
      <c r="A93" s="472" t="s">
        <v>1481</v>
      </c>
      <c r="B93" s="472" t="s">
        <v>562</v>
      </c>
      <c r="C93" s="399" t="s">
        <v>705</v>
      </c>
      <c r="D93" s="473"/>
      <c r="E93" s="473"/>
      <c r="F93" s="474">
        <v>1.0383439999999999</v>
      </c>
      <c r="G93" s="475">
        <v>3.8</v>
      </c>
      <c r="H93" s="476">
        <v>0</v>
      </c>
      <c r="I93" s="477" t="s">
        <v>1469</v>
      </c>
    </row>
    <row r="94" spans="1:9" ht="13.2" customHeight="1" x14ac:dyDescent="0.25">
      <c r="A94" s="472" t="s">
        <v>1482</v>
      </c>
      <c r="B94" s="472" t="s">
        <v>562</v>
      </c>
      <c r="C94" s="399" t="s">
        <v>705</v>
      </c>
      <c r="D94" s="473"/>
      <c r="E94" s="473"/>
      <c r="F94" s="474">
        <v>1.0377449999999999</v>
      </c>
      <c r="G94" s="475">
        <v>12.75</v>
      </c>
      <c r="H94" s="476">
        <v>0</v>
      </c>
      <c r="I94" s="477" t="s">
        <v>1469</v>
      </c>
    </row>
    <row r="95" spans="1:9" ht="13.2" customHeight="1" x14ac:dyDescent="0.25">
      <c r="A95" s="472" t="s">
        <v>1483</v>
      </c>
      <c r="B95" s="472" t="s">
        <v>562</v>
      </c>
      <c r="C95" s="399" t="s">
        <v>705</v>
      </c>
      <c r="D95" s="473"/>
      <c r="E95" s="473"/>
      <c r="F95" s="474">
        <v>1.0377449999999999</v>
      </c>
      <c r="G95" s="475">
        <v>533.5</v>
      </c>
      <c r="H95" s="476">
        <v>0</v>
      </c>
      <c r="I95" s="477" t="s">
        <v>1469</v>
      </c>
    </row>
    <row r="96" spans="1:9" ht="13.2" customHeight="1" x14ac:dyDescent="0.25">
      <c r="A96" s="472" t="s">
        <v>1240</v>
      </c>
      <c r="B96" s="472" t="s">
        <v>1251</v>
      </c>
      <c r="C96" s="399" t="s">
        <v>89</v>
      </c>
      <c r="D96" s="473">
        <v>0.7</v>
      </c>
      <c r="E96" s="473">
        <v>0.09</v>
      </c>
      <c r="F96" s="474">
        <f>(grains_table[[#This Row],[Extract %]]*46.214)/1000+1</f>
        <v>1.0323498</v>
      </c>
      <c r="G96" s="475">
        <v>1.4</v>
      </c>
      <c r="H96" s="476">
        <v>0</v>
      </c>
      <c r="I96" s="477" t="s">
        <v>1492</v>
      </c>
    </row>
    <row r="97" spans="1:9" ht="13.2" customHeight="1" x14ac:dyDescent="0.25">
      <c r="A97" s="472" t="s">
        <v>1892</v>
      </c>
      <c r="B97" s="479" t="s">
        <v>1879</v>
      </c>
      <c r="C97" s="475" t="s">
        <v>89</v>
      </c>
      <c r="D97" s="480">
        <v>0.7</v>
      </c>
      <c r="E97" s="480">
        <v>0.09</v>
      </c>
      <c r="F97" s="474">
        <v>1.032</v>
      </c>
      <c r="G97" s="475">
        <v>1.4</v>
      </c>
      <c r="H97" s="492">
        <v>0</v>
      </c>
      <c r="I97" s="477" t="s">
        <v>1880</v>
      </c>
    </row>
    <row r="98" spans="1:9" ht="13.2" customHeight="1" x14ac:dyDescent="0.25">
      <c r="A98" s="472" t="s">
        <v>1243</v>
      </c>
      <c r="B98" s="472" t="s">
        <v>1251</v>
      </c>
      <c r="C98" s="399" t="s">
        <v>89</v>
      </c>
      <c r="D98" s="473">
        <v>0.6</v>
      </c>
      <c r="E98" s="473">
        <v>7.0000000000000007E-2</v>
      </c>
      <c r="F98" s="474">
        <f>(grains_table[[#This Row],[Extract %]]*46.214)/1000+1</f>
        <v>1.0277284</v>
      </c>
      <c r="G98" s="475">
        <v>1</v>
      </c>
      <c r="H98" s="492">
        <v>0</v>
      </c>
      <c r="I98" s="477" t="s">
        <v>1492</v>
      </c>
    </row>
    <row r="99" spans="1:9" ht="13.2" customHeight="1" x14ac:dyDescent="0.25">
      <c r="A99" s="472" t="s">
        <v>1242</v>
      </c>
      <c r="B99" s="472" t="s">
        <v>1251</v>
      </c>
      <c r="C99" s="399" t="s">
        <v>89</v>
      </c>
      <c r="D99" s="473">
        <v>0.7</v>
      </c>
      <c r="E99" s="473">
        <v>7.4999999999999997E-2</v>
      </c>
      <c r="F99" s="474">
        <f>(grains_table[[#This Row],[Extract %]]*46.214)/1000+1</f>
        <v>1.0323498</v>
      </c>
      <c r="G99" s="475">
        <v>2.5</v>
      </c>
      <c r="H99" s="492">
        <v>0</v>
      </c>
      <c r="I99" s="477" t="s">
        <v>1492</v>
      </c>
    </row>
    <row r="100" spans="1:9" ht="13.2" customHeight="1" x14ac:dyDescent="0.25">
      <c r="A100" s="472" t="s">
        <v>1244</v>
      </c>
      <c r="B100" s="472" t="s">
        <v>1251</v>
      </c>
      <c r="C100" s="399" t="s">
        <v>89</v>
      </c>
      <c r="D100" s="473">
        <v>0.7</v>
      </c>
      <c r="E100" s="473">
        <v>7.0000000000000007E-2</v>
      </c>
      <c r="F100" s="474">
        <f>(grains_table[[#This Row],[Extract %]]*46.214)/1000+1</f>
        <v>1.0323498</v>
      </c>
      <c r="G100" s="475">
        <v>2</v>
      </c>
      <c r="H100" s="492">
        <v>0</v>
      </c>
      <c r="I100" s="477" t="s">
        <v>1492</v>
      </c>
    </row>
    <row r="101" spans="1:9" ht="13.2" customHeight="1" x14ac:dyDescent="0.25">
      <c r="A101" s="472" t="s">
        <v>1245</v>
      </c>
      <c r="B101" s="472" t="s">
        <v>1251</v>
      </c>
      <c r="C101" s="399" t="s">
        <v>89</v>
      </c>
      <c r="D101" s="473">
        <v>0.71</v>
      </c>
      <c r="E101" s="473">
        <v>0.09</v>
      </c>
      <c r="F101" s="474">
        <f>(grains_table[[#This Row],[Extract %]]*46.214)/1000+1</f>
        <v>1.03281194</v>
      </c>
      <c r="G101" s="475">
        <v>3</v>
      </c>
      <c r="H101" s="492">
        <v>0</v>
      </c>
      <c r="I101" s="477" t="s">
        <v>1492</v>
      </c>
    </row>
    <row r="102" spans="1:9" ht="13.2" customHeight="1" x14ac:dyDescent="0.25">
      <c r="A102" s="472" t="s">
        <v>1246</v>
      </c>
      <c r="B102" s="472" t="s">
        <v>1251</v>
      </c>
      <c r="C102" s="399" t="s">
        <v>89</v>
      </c>
      <c r="D102" s="473">
        <v>0.71</v>
      </c>
      <c r="E102" s="473">
        <v>7.0000000000000007E-2</v>
      </c>
      <c r="F102" s="474">
        <f>(grains_table[[#This Row],[Extract %]]*46.214)/1000+1</f>
        <v>1.03281194</v>
      </c>
      <c r="G102" s="475">
        <v>2.5</v>
      </c>
      <c r="H102" s="492">
        <v>0</v>
      </c>
      <c r="I102" s="477" t="s">
        <v>1492</v>
      </c>
    </row>
    <row r="103" spans="1:9" ht="13.2" customHeight="1" x14ac:dyDescent="0.25">
      <c r="A103" s="472" t="s">
        <v>1241</v>
      </c>
      <c r="B103" s="472" t="s">
        <v>1251</v>
      </c>
      <c r="C103" s="399" t="s">
        <v>89</v>
      </c>
      <c r="D103" s="473">
        <v>0.75</v>
      </c>
      <c r="E103" s="473">
        <v>0.08</v>
      </c>
      <c r="F103" s="474">
        <f>(grains_table[[#This Row],[Extract %]]*46.214)/1000+1</f>
        <v>1.0346605</v>
      </c>
      <c r="G103" s="475">
        <v>0.8</v>
      </c>
      <c r="H103" s="492">
        <v>0</v>
      </c>
      <c r="I103" s="477" t="s">
        <v>1492</v>
      </c>
    </row>
    <row r="104" spans="1:9" ht="13.2" customHeight="1" x14ac:dyDescent="0.25">
      <c r="A104" s="472" t="s">
        <v>1533</v>
      </c>
      <c r="B104" s="472" t="s">
        <v>1249</v>
      </c>
      <c r="C104" s="399" t="s">
        <v>89</v>
      </c>
      <c r="D104" s="473">
        <v>0.78</v>
      </c>
      <c r="E104" s="473">
        <v>4.4999999999999998E-2</v>
      </c>
      <c r="F104" s="474">
        <f>(grains_table[[#This Row],[Extract %]]*46.214)/1000+1</f>
        <v>1.03604692</v>
      </c>
      <c r="G104" s="475">
        <v>6.6</v>
      </c>
      <c r="H104" s="492"/>
      <c r="I104" s="477" t="s">
        <v>1290</v>
      </c>
    </row>
    <row r="105" spans="1:9" ht="13.2" customHeight="1" x14ac:dyDescent="0.25">
      <c r="A105" s="472" t="s">
        <v>1543</v>
      </c>
      <c r="B105" s="472" t="s">
        <v>1251</v>
      </c>
      <c r="C105" s="399" t="s">
        <v>705</v>
      </c>
      <c r="D105" s="480"/>
      <c r="E105" s="480"/>
      <c r="F105" s="474">
        <v>1.036</v>
      </c>
      <c r="G105" s="475">
        <v>6</v>
      </c>
      <c r="H105" s="492">
        <v>0</v>
      </c>
      <c r="I105" s="477" t="s">
        <v>1493</v>
      </c>
    </row>
    <row r="106" spans="1:9" ht="13.2" customHeight="1" x14ac:dyDescent="0.25">
      <c r="A106" s="472" t="s">
        <v>1542</v>
      </c>
      <c r="B106" s="472" t="s">
        <v>1251</v>
      </c>
      <c r="C106" s="399" t="s">
        <v>705</v>
      </c>
      <c r="D106" s="473"/>
      <c r="E106" s="473"/>
      <c r="F106" s="474">
        <v>1.036</v>
      </c>
      <c r="G106" s="475">
        <v>2</v>
      </c>
      <c r="H106" s="492">
        <v>0</v>
      </c>
      <c r="I106" s="477" t="s">
        <v>1493</v>
      </c>
    </row>
    <row r="107" spans="1:9" ht="13.2" customHeight="1" x14ac:dyDescent="0.25">
      <c r="A107" s="472" t="s">
        <v>1484</v>
      </c>
      <c r="B107" s="472" t="s">
        <v>562</v>
      </c>
      <c r="C107" s="399" t="s">
        <v>705</v>
      </c>
      <c r="D107" s="473"/>
      <c r="E107" s="473"/>
      <c r="F107" s="474">
        <v>1.036</v>
      </c>
      <c r="G107" s="475">
        <v>7.2</v>
      </c>
      <c r="H107" s="492">
        <v>0</v>
      </c>
      <c r="I107" s="477" t="s">
        <v>1469</v>
      </c>
    </row>
    <row r="108" spans="1:9" ht="13.2" customHeight="1" x14ac:dyDescent="0.25">
      <c r="A108" s="472" t="s">
        <v>1485</v>
      </c>
      <c r="B108" s="472" t="s">
        <v>562</v>
      </c>
      <c r="C108" s="399" t="s">
        <v>705</v>
      </c>
      <c r="D108" s="473"/>
      <c r="E108" s="473"/>
      <c r="F108" s="474">
        <v>1.036</v>
      </c>
      <c r="G108" s="475">
        <v>3.8</v>
      </c>
      <c r="H108" s="492">
        <v>0</v>
      </c>
      <c r="I108" s="477" t="s">
        <v>1469</v>
      </c>
    </row>
    <row r="109" spans="1:9" ht="13.2" customHeight="1" x14ac:dyDescent="0.25">
      <c r="A109" s="472" t="s">
        <v>1486</v>
      </c>
      <c r="B109" s="472" t="s">
        <v>562</v>
      </c>
      <c r="C109" s="399" t="s">
        <v>705</v>
      </c>
      <c r="D109" s="473"/>
      <c r="E109" s="473"/>
      <c r="F109" s="474">
        <v>1.036</v>
      </c>
      <c r="G109" s="475">
        <v>10.25</v>
      </c>
      <c r="H109" s="492">
        <v>0</v>
      </c>
      <c r="I109" s="477" t="s">
        <v>1469</v>
      </c>
    </row>
    <row r="110" spans="1:9" ht="13.2" customHeight="1" x14ac:dyDescent="0.25">
      <c r="A110" s="472" t="s">
        <v>1487</v>
      </c>
      <c r="B110" s="472" t="s">
        <v>562</v>
      </c>
      <c r="C110" s="399" t="s">
        <v>705</v>
      </c>
      <c r="D110" s="473"/>
      <c r="E110" s="473"/>
      <c r="F110" s="474">
        <v>1.036</v>
      </c>
      <c r="G110" s="475">
        <v>5.3</v>
      </c>
      <c r="H110" s="492">
        <v>0</v>
      </c>
      <c r="I110" s="477" t="s">
        <v>1469</v>
      </c>
    </row>
    <row r="111" spans="1:9" ht="13.2" customHeight="1" x14ac:dyDescent="0.25">
      <c r="A111" s="472" t="s">
        <v>1390</v>
      </c>
      <c r="B111" s="472" t="s">
        <v>1294</v>
      </c>
      <c r="C111" s="399" t="s">
        <v>89</v>
      </c>
      <c r="D111" s="473">
        <v>0.75</v>
      </c>
      <c r="E111" s="473">
        <v>4.9000000000000002E-2</v>
      </c>
      <c r="F111" s="491">
        <f>(grains_table[[#This Row],[Extract %]]*46.214)/1000+1</f>
        <v>1.0346605</v>
      </c>
      <c r="G111" s="475">
        <v>28</v>
      </c>
      <c r="H111" s="492">
        <v>0</v>
      </c>
      <c r="I111" s="477" t="s">
        <v>1310</v>
      </c>
    </row>
    <row r="112" spans="1:9" ht="13.2" customHeight="1" x14ac:dyDescent="0.25">
      <c r="A112" s="472" t="s">
        <v>1391</v>
      </c>
      <c r="B112" s="472" t="s">
        <v>1294</v>
      </c>
      <c r="C112" s="399" t="s">
        <v>89</v>
      </c>
      <c r="D112" s="473">
        <v>0.75</v>
      </c>
      <c r="E112" s="473">
        <v>4.9000000000000002E-2</v>
      </c>
      <c r="F112" s="491">
        <f>(grains_table[[#This Row],[Extract %]]*46.214)/1000+1</f>
        <v>1.0346605</v>
      </c>
      <c r="G112" s="475">
        <v>19.5</v>
      </c>
      <c r="H112" s="492">
        <v>0</v>
      </c>
      <c r="I112" s="477" t="s">
        <v>1311</v>
      </c>
    </row>
    <row r="113" spans="1:9" ht="13.2" customHeight="1" x14ac:dyDescent="0.25">
      <c r="A113" s="472" t="s">
        <v>1392</v>
      </c>
      <c r="B113" s="472" t="s">
        <v>1249</v>
      </c>
      <c r="C113" s="399" t="s">
        <v>89</v>
      </c>
      <c r="D113" s="473">
        <v>0.75</v>
      </c>
      <c r="E113" s="473">
        <v>4.4999999999999998E-2</v>
      </c>
      <c r="F113" s="491">
        <f>(grains_table[[#This Row],[Extract %]]*46.214)/1000+1</f>
        <v>1.0346605</v>
      </c>
      <c r="G113" s="475">
        <v>27</v>
      </c>
      <c r="H113" s="492"/>
      <c r="I113" s="477" t="s">
        <v>1290</v>
      </c>
    </row>
    <row r="114" spans="1:9" ht="13.2" customHeight="1" x14ac:dyDescent="0.25">
      <c r="A114" s="472" t="s">
        <v>1384</v>
      </c>
      <c r="B114" s="472" t="s">
        <v>1251</v>
      </c>
      <c r="C114" s="399" t="s">
        <v>89</v>
      </c>
      <c r="D114" s="473">
        <v>0.77</v>
      </c>
      <c r="E114" s="473">
        <v>2.5000000000000001E-2</v>
      </c>
      <c r="F114" s="491">
        <f>(grains_table[[#This Row],[Extract %]]*46.214)/1000+1</f>
        <v>1.03558478</v>
      </c>
      <c r="G114" s="475">
        <v>20</v>
      </c>
      <c r="H114" s="492">
        <v>20</v>
      </c>
      <c r="I114" s="477" t="s">
        <v>1291</v>
      </c>
    </row>
    <row r="115" spans="1:9" ht="13.2" customHeight="1" x14ac:dyDescent="0.25">
      <c r="A115" s="472" t="s">
        <v>1385</v>
      </c>
      <c r="B115" s="472" t="s">
        <v>1294</v>
      </c>
      <c r="C115" s="399" t="s">
        <v>89</v>
      </c>
      <c r="D115" s="473">
        <v>0.80500000000000005</v>
      </c>
      <c r="E115" s="473">
        <v>4.9000000000000002E-2</v>
      </c>
      <c r="F115" s="491">
        <f>(grains_table[[#This Row],[Extract %]]*46.214)/1000+1</f>
        <v>1.0372022700000001</v>
      </c>
      <c r="G115" s="475">
        <v>6.3</v>
      </c>
      <c r="H115" s="492">
        <f>(230+16)/3.5</f>
        <v>70.285714285714292</v>
      </c>
      <c r="I115" s="477" t="s">
        <v>1312</v>
      </c>
    </row>
    <row r="116" spans="1:9" ht="13.2" customHeight="1" x14ac:dyDescent="0.25">
      <c r="A116" s="472" t="s">
        <v>1386</v>
      </c>
      <c r="B116" s="472" t="s">
        <v>1294</v>
      </c>
      <c r="C116" s="399" t="s">
        <v>89</v>
      </c>
      <c r="D116" s="473">
        <v>0.8</v>
      </c>
      <c r="E116" s="473">
        <v>4.9000000000000002E-2</v>
      </c>
      <c r="F116" s="491">
        <f>(grains_table[[#This Row],[Extract %]]*46.214)/1000+1</f>
        <v>1.0369712</v>
      </c>
      <c r="G116" s="475">
        <v>11.05</v>
      </c>
      <c r="H116" s="492">
        <f>(230+16)/3.5</f>
        <v>70.285714285714292</v>
      </c>
      <c r="I116" s="477" t="s">
        <v>1309</v>
      </c>
    </row>
    <row r="117" spans="1:9" ht="13.2" customHeight="1" x14ac:dyDescent="0.25">
      <c r="A117" s="472" t="s">
        <v>1387</v>
      </c>
      <c r="B117" s="472" t="s">
        <v>1251</v>
      </c>
      <c r="C117" s="399" t="s">
        <v>89</v>
      </c>
      <c r="D117" s="473">
        <v>0.78</v>
      </c>
      <c r="E117" s="473">
        <v>3.3000000000000002E-2</v>
      </c>
      <c r="F117" s="491">
        <f>(grains_table[[#This Row],[Extract %]]*46.214)/1000+1</f>
        <v>1.03604692</v>
      </c>
      <c r="G117" s="475">
        <v>10</v>
      </c>
      <c r="H117" s="492">
        <v>40</v>
      </c>
      <c r="I117" s="477" t="s">
        <v>1300</v>
      </c>
    </row>
    <row r="118" spans="1:9" ht="13.2" customHeight="1" x14ac:dyDescent="0.25">
      <c r="A118" s="472" t="s">
        <v>2173</v>
      </c>
      <c r="B118" s="481" t="s">
        <v>1633</v>
      </c>
      <c r="C118" s="482" t="s">
        <v>89</v>
      </c>
      <c r="D118" s="480">
        <v>0.80500000000000005</v>
      </c>
      <c r="E118" s="480">
        <v>4.4999999999999998E-2</v>
      </c>
      <c r="F118" s="491">
        <f>(grains_table[[#This Row],[Extract %]]*46.214)/1000+1</f>
        <v>1.0372022700000001</v>
      </c>
      <c r="G118" s="475">
        <v>15.2</v>
      </c>
      <c r="H118" s="492">
        <v>40</v>
      </c>
      <c r="I118" s="477" t="s">
        <v>2172</v>
      </c>
    </row>
    <row r="119" spans="1:9" ht="13.2" customHeight="1" x14ac:dyDescent="0.25">
      <c r="A119" s="472" t="s">
        <v>2026</v>
      </c>
      <c r="B119" s="472" t="s">
        <v>1251</v>
      </c>
      <c r="C119" s="399" t="s">
        <v>89</v>
      </c>
      <c r="D119" s="473">
        <v>0.78</v>
      </c>
      <c r="E119" s="473">
        <v>3.3000000000000002E-2</v>
      </c>
      <c r="F119" s="491">
        <f>(grains_table[[#This Row],[Extract %]]*46.214)/1000+1</f>
        <v>1.03604692</v>
      </c>
      <c r="G119" s="475">
        <v>30</v>
      </c>
      <c r="H119" s="492">
        <v>40</v>
      </c>
      <c r="I119" s="477" t="s">
        <v>1300</v>
      </c>
    </row>
    <row r="120" spans="1:9" ht="13.2" customHeight="1" x14ac:dyDescent="0.25">
      <c r="A120" s="472" t="s">
        <v>2174</v>
      </c>
      <c r="B120" s="472" t="s">
        <v>1633</v>
      </c>
      <c r="C120" s="399" t="s">
        <v>89</v>
      </c>
      <c r="D120" s="473">
        <v>0.80500000000000005</v>
      </c>
      <c r="E120" s="473">
        <v>4.4999999999999998E-2</v>
      </c>
      <c r="F120" s="491">
        <f>(grains_table[[#This Row],[Extract %]]*46.214)/1000+1</f>
        <v>1.0372022700000001</v>
      </c>
      <c r="G120" s="475">
        <v>9.4</v>
      </c>
      <c r="H120" s="476">
        <v>40</v>
      </c>
      <c r="I120" s="477" t="s">
        <v>2172</v>
      </c>
    </row>
    <row r="121" spans="1:9" ht="13.2" customHeight="1" x14ac:dyDescent="0.25">
      <c r="A121" s="472" t="s">
        <v>1898</v>
      </c>
      <c r="B121" s="479" t="s">
        <v>1879</v>
      </c>
      <c r="C121" s="475" t="s">
        <v>89</v>
      </c>
      <c r="D121" s="480">
        <v>0.81</v>
      </c>
      <c r="E121" s="480">
        <v>0.03</v>
      </c>
      <c r="F121" s="491">
        <f>(grains_table[[#This Row],[Extract %]]*46.214)/1000+1</f>
        <v>1.03743334</v>
      </c>
      <c r="G121" s="475">
        <v>6</v>
      </c>
      <c r="H121" s="492">
        <f>(160+16)/3.5</f>
        <v>50.285714285714285</v>
      </c>
      <c r="I121" s="477" t="s">
        <v>1880</v>
      </c>
    </row>
    <row r="122" spans="1:9" ht="13.2" customHeight="1" x14ac:dyDescent="0.25">
      <c r="A122" s="472" t="s">
        <v>1389</v>
      </c>
      <c r="B122" s="472" t="s">
        <v>1250</v>
      </c>
      <c r="C122" s="399" t="s">
        <v>89</v>
      </c>
      <c r="D122" s="473">
        <v>0.8</v>
      </c>
      <c r="E122" s="473">
        <v>0.04</v>
      </c>
      <c r="F122" s="491">
        <f>(grains_table[[#This Row],[Extract %]]*46.214)/1000+1</f>
        <v>1.0369712</v>
      </c>
      <c r="G122" s="475">
        <v>8.6</v>
      </c>
      <c r="H122" s="492">
        <v>25</v>
      </c>
      <c r="I122" s="477" t="s">
        <v>1263</v>
      </c>
    </row>
    <row r="123" spans="1:9" ht="13.2" customHeight="1" x14ac:dyDescent="0.25">
      <c r="A123" s="472" t="s">
        <v>1388</v>
      </c>
      <c r="B123" s="472" t="s">
        <v>1252</v>
      </c>
      <c r="C123" s="399" t="s">
        <v>89</v>
      </c>
      <c r="D123" s="473">
        <v>0.79500000000000004</v>
      </c>
      <c r="E123" s="473">
        <v>4.4999999999999998E-2</v>
      </c>
      <c r="F123" s="491">
        <f>(grains_table[[#This Row],[Extract %]]*46.214)/1000+1</f>
        <v>1.0367401300000001</v>
      </c>
      <c r="G123" s="475">
        <v>6</v>
      </c>
      <c r="H123" s="492"/>
      <c r="I123" s="477" t="s">
        <v>1287</v>
      </c>
    </row>
    <row r="124" spans="1:9" ht="13.2" customHeight="1" x14ac:dyDescent="0.25">
      <c r="A124" s="472" t="s">
        <v>1899</v>
      </c>
      <c r="B124" s="479"/>
      <c r="C124" s="475" t="s">
        <v>89</v>
      </c>
      <c r="D124" s="480">
        <v>0</v>
      </c>
      <c r="E124" s="480">
        <v>0</v>
      </c>
      <c r="F124" s="491">
        <v>1</v>
      </c>
      <c r="G124" s="475">
        <v>0</v>
      </c>
      <c r="H124" s="492"/>
      <c r="I124" s="477"/>
    </row>
    <row r="125" spans="1:9" ht="13.2" customHeight="1" x14ac:dyDescent="0.25">
      <c r="A125" s="472" t="s">
        <v>1459</v>
      </c>
      <c r="B125" s="472" t="s">
        <v>1250</v>
      </c>
      <c r="C125" s="399" t="s">
        <v>89</v>
      </c>
      <c r="D125" s="473">
        <v>0.69</v>
      </c>
      <c r="E125" s="473">
        <v>7.0000000000000007E-2</v>
      </c>
      <c r="F125" s="491">
        <f>(grains_table[[#This Row],[Extract %]]*46.214)/1000+1</f>
        <v>1.03188766</v>
      </c>
      <c r="G125" s="475">
        <v>7.35</v>
      </c>
      <c r="H125" s="492"/>
      <c r="I125" s="477" t="s">
        <v>1283</v>
      </c>
    </row>
    <row r="126" spans="1:9" ht="13.2" customHeight="1" x14ac:dyDescent="0.25">
      <c r="A126" s="472" t="s">
        <v>1457</v>
      </c>
      <c r="B126" s="472" t="s">
        <v>1250</v>
      </c>
      <c r="C126" s="399" t="s">
        <v>89</v>
      </c>
      <c r="D126" s="473">
        <v>0.74</v>
      </c>
      <c r="E126" s="473">
        <v>7.0000000000000007E-2</v>
      </c>
      <c r="F126" s="491">
        <f>(grains_table[[#This Row],[Extract %]]*46.214)/1000+1</f>
        <v>1.03419836</v>
      </c>
      <c r="G126" s="475">
        <v>1.7</v>
      </c>
      <c r="H126" s="492"/>
      <c r="I126" s="477" t="s">
        <v>1281</v>
      </c>
    </row>
    <row r="127" spans="1:9" ht="13.2" customHeight="1" x14ac:dyDescent="0.25">
      <c r="A127" s="472" t="s">
        <v>1455</v>
      </c>
      <c r="B127" s="472" t="s">
        <v>1294</v>
      </c>
      <c r="C127" s="475" t="s">
        <v>89</v>
      </c>
      <c r="D127" s="473">
        <v>0.79</v>
      </c>
      <c r="E127" s="473">
        <v>4.9000000000000002E-2</v>
      </c>
      <c r="F127" s="491">
        <f>(grains_table[[#This Row],[Extract %]]*46.214)/1000+1</f>
        <v>1.03650906</v>
      </c>
      <c r="G127" s="475">
        <v>12</v>
      </c>
      <c r="H127" s="492">
        <f>(200+16)/3.5</f>
        <v>61.714285714285715</v>
      </c>
      <c r="I127" s="477" t="s">
        <v>1317</v>
      </c>
    </row>
    <row r="128" spans="1:9" ht="13.2" customHeight="1" x14ac:dyDescent="0.25">
      <c r="A128" s="472" t="s">
        <v>1453</v>
      </c>
      <c r="B128" s="472" t="s">
        <v>1294</v>
      </c>
      <c r="C128" s="399" t="s">
        <v>89</v>
      </c>
      <c r="D128" s="473">
        <v>0.75</v>
      </c>
      <c r="E128" s="473">
        <v>4.4999999999999998E-2</v>
      </c>
      <c r="F128" s="491">
        <f>(grains_table[[#This Row],[Extract %]]*46.214)/1000+1</f>
        <v>1.0346605</v>
      </c>
      <c r="G128" s="475">
        <v>132.5</v>
      </c>
      <c r="H128" s="492">
        <v>0</v>
      </c>
      <c r="I128" s="477" t="s">
        <v>1318</v>
      </c>
    </row>
    <row r="129" spans="1:9" ht="13.2" customHeight="1" x14ac:dyDescent="0.25">
      <c r="A129" s="472" t="s">
        <v>1515</v>
      </c>
      <c r="B129" s="472" t="s">
        <v>1249</v>
      </c>
      <c r="C129" s="399" t="s">
        <v>89</v>
      </c>
      <c r="D129" s="473">
        <v>0.75</v>
      </c>
      <c r="E129" s="473">
        <v>4.4999999999999998E-2</v>
      </c>
      <c r="F129" s="491">
        <f>(grains_table[[#This Row],[Extract %]]*46.214)/1000+1</f>
        <v>1.0346605</v>
      </c>
      <c r="G129" s="475">
        <v>17.5</v>
      </c>
      <c r="H129" s="492"/>
      <c r="I129" s="477" t="s">
        <v>1290</v>
      </c>
    </row>
    <row r="130" spans="1:9" ht="13.2" customHeight="1" x14ac:dyDescent="0.25">
      <c r="A130" s="472" t="s">
        <v>1374</v>
      </c>
      <c r="B130" s="472" t="s">
        <v>1294</v>
      </c>
      <c r="C130" s="399" t="s">
        <v>89</v>
      </c>
      <c r="D130" s="473">
        <v>0.80500000000000005</v>
      </c>
      <c r="E130" s="473">
        <v>4.9000000000000002E-2</v>
      </c>
      <c r="F130" s="491">
        <f>(grains_table[[#This Row],[Extract %]]*46.214)/1000+1</f>
        <v>1.0372022700000001</v>
      </c>
      <c r="G130" s="475">
        <v>2.7</v>
      </c>
      <c r="H130" s="492">
        <f>(250+16)/3.5</f>
        <v>76</v>
      </c>
      <c r="I130" s="477" t="s">
        <v>1307</v>
      </c>
    </row>
    <row r="131" spans="1:9" ht="13.2" customHeight="1" x14ac:dyDescent="0.25">
      <c r="A131" s="472" t="s">
        <v>1375</v>
      </c>
      <c r="B131" s="472" t="s">
        <v>1250</v>
      </c>
      <c r="C131" s="399" t="s">
        <v>89</v>
      </c>
      <c r="D131" s="473">
        <v>0.80500000000000005</v>
      </c>
      <c r="E131" s="473">
        <v>3.6999999999999998E-2</v>
      </c>
      <c r="F131" s="491">
        <f>(grains_table[[#This Row],[Extract %]]*46.214)/1000+1</f>
        <v>1.0372022700000001</v>
      </c>
      <c r="G131" s="475">
        <v>2.6</v>
      </c>
      <c r="H131" s="492">
        <v>50</v>
      </c>
      <c r="I131" s="477" t="s">
        <v>1259</v>
      </c>
    </row>
    <row r="132" spans="1:9" ht="13.2" customHeight="1" x14ac:dyDescent="0.25">
      <c r="A132" s="472" t="s">
        <v>1372</v>
      </c>
      <c r="B132" s="472" t="s">
        <v>1250</v>
      </c>
      <c r="C132" s="399" t="s">
        <v>89</v>
      </c>
      <c r="D132" s="473">
        <v>0.8</v>
      </c>
      <c r="E132" s="473">
        <v>0.04</v>
      </c>
      <c r="F132" s="491">
        <f>(grains_table[[#This Row],[Extract %]]*46.214)/1000+1</f>
        <v>1.0369712</v>
      </c>
      <c r="G132" s="475">
        <v>8.6</v>
      </c>
      <c r="H132" s="492">
        <v>25</v>
      </c>
      <c r="I132" s="477" t="s">
        <v>1266</v>
      </c>
    </row>
    <row r="133" spans="1:9" ht="13.2" customHeight="1" x14ac:dyDescent="0.25">
      <c r="A133" s="472" t="s">
        <v>1376</v>
      </c>
      <c r="B133" s="472" t="s">
        <v>1250</v>
      </c>
      <c r="C133" s="399" t="s">
        <v>89</v>
      </c>
      <c r="D133" s="473">
        <v>0.80500000000000005</v>
      </c>
      <c r="E133" s="473">
        <v>3.6999999999999998E-2</v>
      </c>
      <c r="F133" s="491">
        <f>(grains_table[[#This Row],[Extract %]]*46.214)/1000+1</f>
        <v>1.0372022700000001</v>
      </c>
      <c r="G133" s="475">
        <v>1.85</v>
      </c>
      <c r="H133" s="492">
        <v>50</v>
      </c>
      <c r="I133" s="477" t="s">
        <v>1260</v>
      </c>
    </row>
    <row r="134" spans="1:9" ht="13.2" customHeight="1" x14ac:dyDescent="0.25">
      <c r="A134" s="472" t="s">
        <v>1488</v>
      </c>
      <c r="B134" s="472" t="s">
        <v>1250</v>
      </c>
      <c r="C134" s="399" t="s">
        <v>89</v>
      </c>
      <c r="D134" s="473">
        <v>0.81</v>
      </c>
      <c r="E134" s="473">
        <v>3.6999999999999998E-2</v>
      </c>
      <c r="F134" s="491">
        <f>(grains_table[[#This Row],[Extract %]]*46.214)/1000+1</f>
        <v>1.03743334</v>
      </c>
      <c r="G134" s="475">
        <v>2.6</v>
      </c>
      <c r="H134" s="492">
        <v>50</v>
      </c>
      <c r="I134" s="477" t="s">
        <v>1256</v>
      </c>
    </row>
    <row r="135" spans="1:9" ht="13.2" customHeight="1" x14ac:dyDescent="0.25">
      <c r="A135" s="472" t="s">
        <v>1489</v>
      </c>
      <c r="B135" s="472" t="s">
        <v>1250</v>
      </c>
      <c r="C135" s="399" t="s">
        <v>89</v>
      </c>
      <c r="D135" s="473">
        <v>0.81</v>
      </c>
      <c r="E135" s="473">
        <v>3.6999999999999998E-2</v>
      </c>
      <c r="F135" s="491">
        <f>(grains_table[[#This Row],[Extract %]]*46.214)/1000+1</f>
        <v>1.03743334</v>
      </c>
      <c r="G135" s="475">
        <v>2.6</v>
      </c>
      <c r="H135" s="492">
        <v>50</v>
      </c>
      <c r="I135" s="477" t="s">
        <v>1257</v>
      </c>
    </row>
    <row r="136" spans="1:9" ht="13.2" customHeight="1" x14ac:dyDescent="0.25">
      <c r="A136" s="472" t="s">
        <v>1434</v>
      </c>
      <c r="B136" s="472" t="s">
        <v>1435</v>
      </c>
      <c r="C136" s="399" t="s">
        <v>89</v>
      </c>
      <c r="D136" s="473">
        <v>0.8</v>
      </c>
      <c r="E136" s="473">
        <v>0.04</v>
      </c>
      <c r="F136" s="491">
        <f>(grains_table[[#This Row],[Extract %]]*46.214)/1000+1</f>
        <v>1.0369712</v>
      </c>
      <c r="G136" s="475">
        <v>2.65</v>
      </c>
      <c r="H136" s="492"/>
      <c r="I136" s="477" t="s">
        <v>1494</v>
      </c>
    </row>
    <row r="137" spans="1:9" ht="13.2" customHeight="1" x14ac:dyDescent="0.25">
      <c r="A137" s="472" t="s">
        <v>1373</v>
      </c>
      <c r="B137" s="472" t="s">
        <v>1250</v>
      </c>
      <c r="C137" s="399" t="s">
        <v>89</v>
      </c>
      <c r="D137" s="473">
        <v>0.75</v>
      </c>
      <c r="E137" s="473">
        <v>3.5000000000000003E-2</v>
      </c>
      <c r="F137" s="491">
        <f>(grains_table[[#This Row],[Extract %]]*46.214)/1000+1</f>
        <v>1.0346605</v>
      </c>
      <c r="G137" s="475">
        <v>17.45</v>
      </c>
      <c r="H137" s="492"/>
      <c r="I137" s="477" t="s">
        <v>1264</v>
      </c>
    </row>
    <row r="138" spans="1:9" ht="13.2" customHeight="1" x14ac:dyDescent="0.25">
      <c r="A138" s="472" t="s">
        <v>1377</v>
      </c>
      <c r="B138" s="472" t="s">
        <v>1251</v>
      </c>
      <c r="C138" s="399" t="s">
        <v>89</v>
      </c>
      <c r="D138" s="473">
        <v>0.78500000000000003</v>
      </c>
      <c r="E138" s="473">
        <v>1.4999999999999999E-2</v>
      </c>
      <c r="F138" s="491">
        <f>(grains_table[[#This Row],[Extract %]]*46.214)/1000+1</f>
        <v>1.0362779900000001</v>
      </c>
      <c r="G138" s="475">
        <v>3.5</v>
      </c>
      <c r="H138" s="492">
        <v>85</v>
      </c>
      <c r="I138" s="477" t="s">
        <v>1523</v>
      </c>
    </row>
    <row r="139" spans="1:9" ht="13.2" customHeight="1" x14ac:dyDescent="0.25">
      <c r="A139" s="472" t="s">
        <v>1681</v>
      </c>
      <c r="B139" s="472" t="s">
        <v>1554</v>
      </c>
      <c r="C139" s="399" t="s">
        <v>89</v>
      </c>
      <c r="D139" s="473">
        <v>0.79</v>
      </c>
      <c r="E139" s="473">
        <v>4.4999999999999998E-2</v>
      </c>
      <c r="F139" s="491">
        <f>(grains_table[[#This Row],[Extract %]]*46.214)/1000+1</f>
        <v>1.03650906</v>
      </c>
      <c r="G139" s="475">
        <v>3.5</v>
      </c>
      <c r="H139" s="492"/>
      <c r="I139" s="477" t="s">
        <v>1682</v>
      </c>
    </row>
    <row r="140" spans="1:9" ht="13.2" customHeight="1" x14ac:dyDescent="0.25">
      <c r="A140" s="472" t="s">
        <v>1379</v>
      </c>
      <c r="B140" s="472" t="s">
        <v>1249</v>
      </c>
      <c r="C140" s="399" t="s">
        <v>89</v>
      </c>
      <c r="D140" s="473">
        <v>0.79</v>
      </c>
      <c r="E140" s="473">
        <v>4.4999999999999998E-2</v>
      </c>
      <c r="F140" s="491">
        <f>(grains_table[[#This Row],[Extract %]]*46.214)/1000+1</f>
        <v>1.03650906</v>
      </c>
      <c r="G140" s="475">
        <v>3</v>
      </c>
      <c r="H140" s="492"/>
      <c r="I140" s="477" t="s">
        <v>1290</v>
      </c>
    </row>
    <row r="141" spans="1:9" ht="13.2" customHeight="1" x14ac:dyDescent="0.25">
      <c r="A141" s="472" t="s">
        <v>1378</v>
      </c>
      <c r="B141" s="472" t="s">
        <v>1252</v>
      </c>
      <c r="C141" s="399" t="s">
        <v>89</v>
      </c>
      <c r="D141" s="473">
        <v>0.8</v>
      </c>
      <c r="E141" s="473">
        <v>4.4999999999999998E-2</v>
      </c>
      <c r="F141" s="491">
        <f>(grains_table[[#This Row],[Extract %]]*46.214)/1000+1</f>
        <v>1.0369712</v>
      </c>
      <c r="G141" s="475">
        <v>3.8</v>
      </c>
      <c r="H141" s="492"/>
      <c r="I141" s="477" t="s">
        <v>1287</v>
      </c>
    </row>
    <row r="142" spans="1:9" ht="13.2" customHeight="1" x14ac:dyDescent="0.25">
      <c r="A142" s="472" t="s">
        <v>1881</v>
      </c>
      <c r="B142" s="472" t="s">
        <v>1879</v>
      </c>
      <c r="C142" s="399" t="s">
        <v>89</v>
      </c>
      <c r="D142" s="473">
        <v>0.80500000000000005</v>
      </c>
      <c r="E142" s="473">
        <v>3.5000000000000003E-2</v>
      </c>
      <c r="F142" s="491">
        <f>(grains_table[[#This Row],[Extract %]]*46.214)/1000+1</f>
        <v>1.0372022700000001</v>
      </c>
      <c r="G142" s="475">
        <v>2.7</v>
      </c>
      <c r="H142" s="492">
        <f>(150+16)/3.5</f>
        <v>47.428571428571431</v>
      </c>
      <c r="I142" s="477" t="s">
        <v>1880</v>
      </c>
    </row>
    <row r="143" spans="1:9" ht="13.2" customHeight="1" x14ac:dyDescent="0.25">
      <c r="A143" s="472" t="s">
        <v>1882</v>
      </c>
      <c r="B143" s="472" t="s">
        <v>1879</v>
      </c>
      <c r="C143" s="399" t="s">
        <v>89</v>
      </c>
      <c r="D143" s="473">
        <v>0.80500000000000005</v>
      </c>
      <c r="E143" s="473">
        <v>3.5000000000000003E-2</v>
      </c>
      <c r="F143" s="491">
        <f>(grains_table[[#This Row],[Extract %]]*46.214)/1000+1</f>
        <v>1.0372022700000001</v>
      </c>
      <c r="G143" s="475">
        <v>2.4</v>
      </c>
      <c r="H143" s="492">
        <f>(160+16)/3.5</f>
        <v>50.285714285714285</v>
      </c>
      <c r="I143" s="477" t="s">
        <v>1880</v>
      </c>
    </row>
    <row r="144" spans="1:9" ht="13.2" customHeight="1" x14ac:dyDescent="0.25">
      <c r="A144" s="472" t="s">
        <v>1380</v>
      </c>
      <c r="B144" s="472" t="s">
        <v>1251</v>
      </c>
      <c r="C144" s="399" t="s">
        <v>89</v>
      </c>
      <c r="D144" s="473">
        <v>0.79</v>
      </c>
      <c r="E144" s="473">
        <v>3.5000000000000003E-2</v>
      </c>
      <c r="F144" s="491">
        <f>(grains_table[[#This Row],[Extract %]]*46.214)/1000+1</f>
        <v>1.03650906</v>
      </c>
      <c r="G144" s="475">
        <v>5.3</v>
      </c>
      <c r="H144" s="492">
        <v>65</v>
      </c>
      <c r="I144" s="477" t="s">
        <v>1523</v>
      </c>
    </row>
    <row r="145" spans="1:9" ht="13.2" customHeight="1" x14ac:dyDescent="0.25">
      <c r="A145" s="472" t="s">
        <v>1381</v>
      </c>
      <c r="B145" s="472" t="s">
        <v>1251</v>
      </c>
      <c r="C145" s="399" t="s">
        <v>89</v>
      </c>
      <c r="D145" s="473">
        <v>0.81</v>
      </c>
      <c r="E145" s="473">
        <v>4.2000000000000003E-2</v>
      </c>
      <c r="F145" s="491">
        <f>(grains_table[[#This Row],[Extract %]]*46.214)/1000+1</f>
        <v>1.03743334</v>
      </c>
      <c r="G145" s="475">
        <v>1.8</v>
      </c>
      <c r="H145" s="492">
        <v>140</v>
      </c>
      <c r="I145" s="477" t="s">
        <v>1523</v>
      </c>
    </row>
    <row r="146" spans="1:9" ht="13.2" customHeight="1" x14ac:dyDescent="0.25">
      <c r="A146" s="472" t="s">
        <v>1553</v>
      </c>
      <c r="B146" s="472" t="s">
        <v>1554</v>
      </c>
      <c r="C146" s="475" t="s">
        <v>89</v>
      </c>
      <c r="D146" s="480">
        <v>0.8</v>
      </c>
      <c r="E146" s="480">
        <v>0.04</v>
      </c>
      <c r="F146" s="491">
        <v>1.0369999999999999</v>
      </c>
      <c r="G146" s="475">
        <v>1.8</v>
      </c>
      <c r="H146" s="492"/>
      <c r="I146" s="477" t="s">
        <v>1555</v>
      </c>
    </row>
    <row r="147" spans="1:9" ht="13.2" customHeight="1" x14ac:dyDescent="0.25">
      <c r="A147" s="472" t="s">
        <v>1382</v>
      </c>
      <c r="B147" s="472" t="s">
        <v>1251</v>
      </c>
      <c r="C147" s="399" t="s">
        <v>89</v>
      </c>
      <c r="D147" s="473">
        <v>0.8</v>
      </c>
      <c r="E147" s="473">
        <v>4.5999999999999999E-2</v>
      </c>
      <c r="F147" s="491">
        <f>(grains_table[[#This Row],[Extract %]]*46.214)/1000+1</f>
        <v>1.0369712</v>
      </c>
      <c r="G147" s="475">
        <v>1.7</v>
      </c>
      <c r="H147" s="492">
        <v>150</v>
      </c>
      <c r="I147" s="477" t="s">
        <v>1301</v>
      </c>
    </row>
    <row r="148" spans="1:9" ht="13.2" customHeight="1" x14ac:dyDescent="0.25">
      <c r="A148" s="472" t="s">
        <v>1383</v>
      </c>
      <c r="B148" s="472" t="s">
        <v>1250</v>
      </c>
      <c r="C148" s="399" t="s">
        <v>89</v>
      </c>
      <c r="D148" s="473">
        <v>0.80500000000000005</v>
      </c>
      <c r="E148" s="473">
        <v>3.6999999999999998E-2</v>
      </c>
      <c r="F148" s="491">
        <f>(grains_table[[#This Row],[Extract %]]*46.214)/1000+1</f>
        <v>1.0372022700000001</v>
      </c>
      <c r="G148" s="475">
        <v>1.7</v>
      </c>
      <c r="H148" s="492">
        <v>50</v>
      </c>
      <c r="I148" s="477" t="s">
        <v>1258</v>
      </c>
    </row>
    <row r="149" spans="1:9" ht="13.2" customHeight="1" x14ac:dyDescent="0.25">
      <c r="A149" s="472" t="s">
        <v>1627</v>
      </c>
      <c r="B149" s="472" t="s">
        <v>1554</v>
      </c>
      <c r="C149" s="399" t="s">
        <v>89</v>
      </c>
      <c r="D149" s="473">
        <v>0.79</v>
      </c>
      <c r="E149" s="473">
        <v>4.2000000000000003E-2</v>
      </c>
      <c r="F149" s="491">
        <f>(grains_table[[#This Row],[Extract %]]*46.214)/1000+1</f>
        <v>1.03650906</v>
      </c>
      <c r="G149" s="475">
        <v>2.2999999999999998</v>
      </c>
      <c r="H149" s="492">
        <v>160</v>
      </c>
      <c r="I149" s="477" t="s">
        <v>1628</v>
      </c>
    </row>
    <row r="150" spans="1:9" ht="13.2" customHeight="1" x14ac:dyDescent="0.25">
      <c r="A150" s="472" t="s">
        <v>1333</v>
      </c>
      <c r="B150" s="472" t="s">
        <v>1294</v>
      </c>
      <c r="C150" s="399" t="s">
        <v>89</v>
      </c>
      <c r="D150" s="473">
        <v>0.80500000000000005</v>
      </c>
      <c r="E150" s="473">
        <v>4.9000000000000002E-2</v>
      </c>
      <c r="F150" s="491">
        <f>(grains_table[[#This Row],[Extract %]]*46.214)/1000+1</f>
        <v>1.0372022700000001</v>
      </c>
      <c r="G150" s="475">
        <v>1.5</v>
      </c>
      <c r="H150" s="492">
        <f>(250+16)/3.5</f>
        <v>76</v>
      </c>
      <c r="I150" s="477" t="s">
        <v>1305</v>
      </c>
    </row>
    <row r="151" spans="1:9" ht="13.2" customHeight="1" x14ac:dyDescent="0.25">
      <c r="A151" s="472" t="s">
        <v>1334</v>
      </c>
      <c r="B151" s="472" t="s">
        <v>1294</v>
      </c>
      <c r="C151" s="399" t="s">
        <v>89</v>
      </c>
      <c r="D151" s="473">
        <v>0.80500000000000005</v>
      </c>
      <c r="E151" s="473">
        <v>4.9000000000000002E-2</v>
      </c>
      <c r="F151" s="491">
        <f>(grains_table[[#This Row],[Extract %]]*46.214)/1000+1</f>
        <v>1.0372022700000001</v>
      </c>
      <c r="G151" s="475">
        <v>1.95</v>
      </c>
      <c r="H151" s="492">
        <f>(250+16)/3.5</f>
        <v>76</v>
      </c>
      <c r="I151" s="477" t="s">
        <v>1306</v>
      </c>
    </row>
    <row r="152" spans="1:9" ht="13.2" customHeight="1" x14ac:dyDescent="0.25">
      <c r="A152" s="472" t="s">
        <v>1335</v>
      </c>
      <c r="B152" s="472" t="s">
        <v>1249</v>
      </c>
      <c r="C152" s="399" t="s">
        <v>89</v>
      </c>
      <c r="D152" s="473">
        <v>0.8</v>
      </c>
      <c r="E152" s="473">
        <v>0.05</v>
      </c>
      <c r="F152" s="491">
        <f>(grains_table[[#This Row],[Extract %]]*46.214)/1000+1</f>
        <v>1.0369712</v>
      </c>
      <c r="G152" s="475">
        <v>2.0499999999999998</v>
      </c>
      <c r="H152" s="476"/>
      <c r="I152" s="477" t="s">
        <v>1290</v>
      </c>
    </row>
    <row r="153" spans="1:9" ht="13.2" customHeight="1" x14ac:dyDescent="0.25">
      <c r="A153" s="472" t="s">
        <v>1490</v>
      </c>
      <c r="B153" s="472" t="s">
        <v>1249</v>
      </c>
      <c r="C153" s="399" t="s">
        <v>89</v>
      </c>
      <c r="D153" s="473">
        <v>0.80500000000000005</v>
      </c>
      <c r="E153" s="473">
        <v>4.4999999999999998E-2</v>
      </c>
      <c r="F153" s="491">
        <f>(grains_table[[#This Row],[Extract %]]*46.214)/1000+1</f>
        <v>1.0372022700000001</v>
      </c>
      <c r="G153" s="475">
        <v>1.3</v>
      </c>
      <c r="H153" s="476"/>
      <c r="I153" s="477" t="s">
        <v>1290</v>
      </c>
    </row>
    <row r="154" spans="1:9" ht="13.2" customHeight="1" x14ac:dyDescent="0.25">
      <c r="A154" s="472" t="s">
        <v>1336</v>
      </c>
      <c r="B154" s="472" t="s">
        <v>1250</v>
      </c>
      <c r="C154" s="399" t="s">
        <v>89</v>
      </c>
      <c r="D154" s="473">
        <v>0.81</v>
      </c>
      <c r="E154" s="473">
        <v>4.4999999999999998E-2</v>
      </c>
      <c r="F154" s="491">
        <f>(grains_table[[#This Row],[Extract %]]*46.214)/1000+1</f>
        <v>1.03743334</v>
      </c>
      <c r="G154" s="475">
        <v>1.7</v>
      </c>
      <c r="H154" s="492">
        <v>50</v>
      </c>
      <c r="I154" s="477" t="s">
        <v>1261</v>
      </c>
    </row>
    <row r="155" spans="1:9" ht="13.2" customHeight="1" x14ac:dyDescent="0.25">
      <c r="A155" s="472" t="s">
        <v>1534</v>
      </c>
      <c r="B155" s="472" t="s">
        <v>1249</v>
      </c>
      <c r="C155" s="399" t="s">
        <v>89</v>
      </c>
      <c r="D155" s="473">
        <v>0.79</v>
      </c>
      <c r="E155" s="473">
        <v>5.5E-2</v>
      </c>
      <c r="F155" s="491">
        <f>(grains_table[[#This Row],[Extract %]]*46.214)/1000+1</f>
        <v>1.03650906</v>
      </c>
      <c r="G155" s="475">
        <v>1.95</v>
      </c>
      <c r="H155" s="492"/>
      <c r="I155" s="477" t="s">
        <v>1290</v>
      </c>
    </row>
    <row r="156" spans="1:9" ht="13.2" customHeight="1" x14ac:dyDescent="0.25">
      <c r="A156" s="472" t="s">
        <v>1891</v>
      </c>
      <c r="B156" s="479" t="s">
        <v>1879</v>
      </c>
      <c r="C156" s="475" t="s">
        <v>89</v>
      </c>
      <c r="D156" s="480">
        <v>0.81</v>
      </c>
      <c r="E156" s="480">
        <v>3.5000000000000003E-2</v>
      </c>
      <c r="F156" s="491">
        <f>(grains_table[[#This Row],[Extract %]]*46.214)/1000+1</f>
        <v>1.03743334</v>
      </c>
      <c r="G156" s="475">
        <v>2.1</v>
      </c>
      <c r="H156" s="492">
        <f>(240+16)/3.5</f>
        <v>73.142857142857139</v>
      </c>
      <c r="I156" s="477" t="s">
        <v>1880</v>
      </c>
    </row>
    <row r="157" spans="1:9" ht="13.2" customHeight="1" x14ac:dyDescent="0.25">
      <c r="A157" s="472" t="s">
        <v>1894</v>
      </c>
      <c r="B157" s="479" t="s">
        <v>1879</v>
      </c>
      <c r="C157" s="475" t="s">
        <v>89</v>
      </c>
      <c r="D157" s="480">
        <v>0.81</v>
      </c>
      <c r="E157" s="480">
        <v>3.5000000000000003E-2</v>
      </c>
      <c r="F157" s="491">
        <f>(grains_table[[#This Row],[Extract %]]*46.214)/1000+1</f>
        <v>1.03743334</v>
      </c>
      <c r="G157" s="475">
        <v>1.6</v>
      </c>
      <c r="H157" s="492">
        <f>(240+16)/3.5</f>
        <v>73.142857142857139</v>
      </c>
      <c r="I157" s="477" t="s">
        <v>1880</v>
      </c>
    </row>
    <row r="158" spans="1:9" ht="13.2" customHeight="1" x14ac:dyDescent="0.25">
      <c r="A158" s="472" t="s">
        <v>1433</v>
      </c>
      <c r="B158" s="472" t="s">
        <v>1435</v>
      </c>
      <c r="C158" s="399" t="s">
        <v>89</v>
      </c>
      <c r="D158" s="473">
        <v>0.8</v>
      </c>
      <c r="E158" s="473">
        <v>0.04</v>
      </c>
      <c r="F158" s="491">
        <f>(grains_table[[#This Row],[Extract %]]*46.214)/1000+1</f>
        <v>1.0369712</v>
      </c>
      <c r="G158" s="475">
        <v>1.6</v>
      </c>
      <c r="H158" s="492"/>
      <c r="I158" s="477" t="s">
        <v>1494</v>
      </c>
    </row>
    <row r="159" spans="1:9" ht="13.2" customHeight="1" x14ac:dyDescent="0.25">
      <c r="A159" s="472" t="s">
        <v>1337</v>
      </c>
      <c r="B159" s="472" t="s">
        <v>1251</v>
      </c>
      <c r="C159" s="399" t="s">
        <v>89</v>
      </c>
      <c r="D159" s="473">
        <v>0.80500000000000005</v>
      </c>
      <c r="E159" s="473">
        <v>4.4999999999999998E-2</v>
      </c>
      <c r="F159" s="491">
        <f>(grains_table[[#This Row],[Extract %]]*46.214)/1000+1</f>
        <v>1.0372022700000001</v>
      </c>
      <c r="G159" s="475">
        <v>1.2</v>
      </c>
      <c r="H159" s="492">
        <v>140</v>
      </c>
      <c r="I159" s="477" t="s">
        <v>1301</v>
      </c>
    </row>
    <row r="160" spans="1:9" ht="13.2" customHeight="1" x14ac:dyDescent="0.25">
      <c r="A160" s="472" t="s">
        <v>1338</v>
      </c>
      <c r="B160" s="472" t="s">
        <v>1252</v>
      </c>
      <c r="C160" s="399" t="s">
        <v>89</v>
      </c>
      <c r="D160" s="473">
        <v>0.8</v>
      </c>
      <c r="E160" s="473">
        <v>4.4999999999999998E-2</v>
      </c>
      <c r="F160" s="491">
        <f>(grains_table[[#This Row],[Extract %]]*46.214)/1000+1</f>
        <v>1.0369712</v>
      </c>
      <c r="G160" s="475">
        <v>1.6</v>
      </c>
      <c r="H160" s="492">
        <f>(230+16)/3.5</f>
        <v>70.285714285714292</v>
      </c>
      <c r="I160" s="477" t="s">
        <v>1287</v>
      </c>
    </row>
    <row r="161" spans="1:9" ht="13.2" customHeight="1" x14ac:dyDescent="0.25">
      <c r="A161" s="472" t="s">
        <v>1339</v>
      </c>
      <c r="B161" s="472" t="s">
        <v>1249</v>
      </c>
      <c r="C161" s="399" t="s">
        <v>89</v>
      </c>
      <c r="D161" s="473">
        <v>0.80500000000000005</v>
      </c>
      <c r="E161" s="473">
        <v>0.05</v>
      </c>
      <c r="F161" s="491">
        <f>(grains_table[[#This Row],[Extract %]]*46.214)/1000+1</f>
        <v>1.0372022700000001</v>
      </c>
      <c r="G161" s="475">
        <v>1.85</v>
      </c>
      <c r="H161" s="492"/>
      <c r="I161" s="477" t="s">
        <v>1290</v>
      </c>
    </row>
    <row r="162" spans="1:9" ht="13.2" customHeight="1" x14ac:dyDescent="0.25">
      <c r="A162" s="472" t="s">
        <v>1900</v>
      </c>
      <c r="B162" s="479" t="s">
        <v>1879</v>
      </c>
      <c r="C162" s="475" t="s">
        <v>89</v>
      </c>
      <c r="D162" s="480">
        <v>0.81</v>
      </c>
      <c r="E162" s="480">
        <v>3.5000000000000003E-2</v>
      </c>
      <c r="F162" s="491">
        <f>(grains_table[[#This Row],[Extract %]]*46.214)/1000+1</f>
        <v>1.03743334</v>
      </c>
      <c r="G162" s="475">
        <v>2</v>
      </c>
      <c r="H162" s="492">
        <f>(240+16)/3.5</f>
        <v>73.142857142857139</v>
      </c>
      <c r="I162" s="477" t="s">
        <v>1880</v>
      </c>
    </row>
    <row r="163" spans="1:9" ht="13.2" customHeight="1" x14ac:dyDescent="0.25">
      <c r="A163" s="472" t="s">
        <v>1634</v>
      </c>
      <c r="B163" s="479" t="s">
        <v>1633</v>
      </c>
      <c r="C163" s="475" t="s">
        <v>89</v>
      </c>
      <c r="D163" s="473">
        <v>0.81</v>
      </c>
      <c r="E163" s="473">
        <v>4.4999999999999998E-2</v>
      </c>
      <c r="F163" s="491">
        <f>(grains_table[[#This Row],[Extract %]]*46.214)/1000+1</f>
        <v>1.03743334</v>
      </c>
      <c r="G163" s="475">
        <v>2</v>
      </c>
      <c r="H163" s="492">
        <f>(220+16)/3.5</f>
        <v>67.428571428571431</v>
      </c>
      <c r="I163" s="477" t="s">
        <v>1632</v>
      </c>
    </row>
    <row r="164" spans="1:9" ht="13.2" customHeight="1" x14ac:dyDescent="0.25">
      <c r="A164" s="472" t="s">
        <v>2137</v>
      </c>
      <c r="B164" s="481" t="s">
        <v>1554</v>
      </c>
      <c r="C164" s="482" t="s">
        <v>89</v>
      </c>
      <c r="D164" s="480">
        <v>0.8</v>
      </c>
      <c r="E164" s="480">
        <v>0.04</v>
      </c>
      <c r="F164" s="491">
        <f>(grains_table[[#This Row],[Extract %]]*46.214)/1000+1</f>
        <v>1.0369712</v>
      </c>
      <c r="G164" s="475">
        <v>1.75</v>
      </c>
      <c r="H164" s="492">
        <v>140</v>
      </c>
      <c r="I164" s="477" t="s">
        <v>2138</v>
      </c>
    </row>
    <row r="165" spans="1:9" ht="13.2" customHeight="1" x14ac:dyDescent="0.25">
      <c r="A165" s="472" t="s">
        <v>1340</v>
      </c>
      <c r="B165" s="472" t="s">
        <v>1251</v>
      </c>
      <c r="C165" s="399" t="s">
        <v>89</v>
      </c>
      <c r="D165" s="473">
        <v>0.83299999999999996</v>
      </c>
      <c r="E165" s="473">
        <v>4.3999999999999997E-2</v>
      </c>
      <c r="F165" s="491">
        <f>(grains_table[[#This Row],[Extract %]]*46.214)/1000+1</f>
        <v>1.038496262</v>
      </c>
      <c r="G165" s="475">
        <v>1.8</v>
      </c>
      <c r="H165" s="492">
        <v>100</v>
      </c>
      <c r="I165" s="477" t="s">
        <v>1301</v>
      </c>
    </row>
    <row r="166" spans="1:9" ht="13.2" customHeight="1" x14ac:dyDescent="0.25">
      <c r="A166" s="472" t="s">
        <v>1629</v>
      </c>
      <c r="B166" s="479"/>
      <c r="C166" s="475" t="s">
        <v>89</v>
      </c>
      <c r="D166" s="480">
        <v>0</v>
      </c>
      <c r="E166" s="480">
        <v>0</v>
      </c>
      <c r="F166" s="491">
        <f>(grains_table[[#This Row],[Extract %]]*46.214)/1000+1</f>
        <v>1</v>
      </c>
      <c r="G166" s="475">
        <v>0</v>
      </c>
      <c r="H166" s="492"/>
      <c r="I166" s="477"/>
    </row>
    <row r="167" spans="1:9" ht="13.2" customHeight="1" x14ac:dyDescent="0.25">
      <c r="A167" s="472" t="s">
        <v>1237</v>
      </c>
      <c r="B167" s="472" t="s">
        <v>1251</v>
      </c>
      <c r="C167" s="399" t="s">
        <v>89</v>
      </c>
      <c r="D167" s="473"/>
      <c r="E167" s="473">
        <v>0.05</v>
      </c>
      <c r="F167" s="491">
        <v>1.0249999999999999</v>
      </c>
      <c r="G167" s="475">
        <v>300</v>
      </c>
      <c r="H167" s="492">
        <v>0</v>
      </c>
      <c r="I167" s="477" t="s">
        <v>1552</v>
      </c>
    </row>
    <row r="168" spans="1:9" ht="13.2" customHeight="1" x14ac:dyDescent="0.25">
      <c r="A168" s="472" t="s">
        <v>1902</v>
      </c>
      <c r="B168" s="479" t="s">
        <v>1879</v>
      </c>
      <c r="C168" s="475" t="s">
        <v>89</v>
      </c>
      <c r="D168" s="480">
        <v>0.72</v>
      </c>
      <c r="E168" s="480">
        <v>4.4999999999999998E-2</v>
      </c>
      <c r="F168" s="491">
        <f>(grains_table[[#This Row],[Extract %]]*46.214)/1000+1</f>
        <v>1.03327408</v>
      </c>
      <c r="G168" s="475">
        <v>507</v>
      </c>
      <c r="H168" s="492">
        <v>0</v>
      </c>
      <c r="I168" s="477" t="s">
        <v>1880</v>
      </c>
    </row>
    <row r="169" spans="1:9" ht="13.2" customHeight="1" x14ac:dyDescent="0.25">
      <c r="A169" s="472" t="s">
        <v>1253</v>
      </c>
      <c r="B169" s="472" t="s">
        <v>1250</v>
      </c>
      <c r="C169" s="399" t="s">
        <v>89</v>
      </c>
      <c r="D169" s="473">
        <v>0.62</v>
      </c>
      <c r="E169" s="473">
        <v>0.03</v>
      </c>
      <c r="F169" s="491">
        <f>(grains_table[[#This Row],[Extract %]]*46.214)/1000+1</f>
        <v>1.02865268</v>
      </c>
      <c r="G169" s="475">
        <v>600.6</v>
      </c>
      <c r="H169" s="492">
        <v>0</v>
      </c>
      <c r="I169" s="477" t="s">
        <v>1280</v>
      </c>
    </row>
    <row r="170" spans="1:9" ht="13.2" customHeight="1" x14ac:dyDescent="0.25">
      <c r="A170" s="472" t="s">
        <v>1254</v>
      </c>
      <c r="B170" s="472" t="s">
        <v>1249</v>
      </c>
      <c r="C170" s="399" t="s">
        <v>89</v>
      </c>
      <c r="D170" s="473">
        <v>0.65</v>
      </c>
      <c r="E170" s="473">
        <v>3.7999999999999999E-2</v>
      </c>
      <c r="F170" s="491">
        <f>(grains_table[[#This Row],[Extract %]]*46.214)/1000+1</f>
        <v>1.0300391</v>
      </c>
      <c r="G170" s="475">
        <v>431.5</v>
      </c>
      <c r="H170" s="492">
        <v>0</v>
      </c>
      <c r="I170" s="477" t="s">
        <v>1290</v>
      </c>
    </row>
    <row r="171" spans="1:9" ht="13.2" customHeight="1" x14ac:dyDescent="0.25">
      <c r="A171" s="472" t="s">
        <v>1452</v>
      </c>
      <c r="B171" s="472" t="s">
        <v>1294</v>
      </c>
      <c r="C171" s="399" t="s">
        <v>89</v>
      </c>
      <c r="D171" s="473"/>
      <c r="E171" s="473">
        <v>5.5E-2</v>
      </c>
      <c r="F171" s="491">
        <f>(grains_table[[#This Row],[Extract %]]*46.214)/1000+1</f>
        <v>1</v>
      </c>
      <c r="G171" s="475">
        <v>490</v>
      </c>
      <c r="H171" s="492">
        <v>0</v>
      </c>
      <c r="I171" s="478" t="s">
        <v>1332</v>
      </c>
    </row>
    <row r="172" spans="1:9" ht="13.2" customHeight="1" x14ac:dyDescent="0.25">
      <c r="A172" s="472" t="s">
        <v>1461</v>
      </c>
      <c r="B172" s="472" t="s">
        <v>1251</v>
      </c>
      <c r="C172" s="399" t="s">
        <v>89</v>
      </c>
      <c r="D172" s="473"/>
      <c r="E172" s="473">
        <v>0.06</v>
      </c>
      <c r="F172" s="491">
        <f>(grains_table[[#This Row],[Extract %]]*46.214)/1000+1</f>
        <v>1</v>
      </c>
      <c r="G172" s="475">
        <v>500</v>
      </c>
      <c r="H172" s="492">
        <v>0</v>
      </c>
      <c r="I172" s="477" t="s">
        <v>1495</v>
      </c>
    </row>
    <row r="173" spans="1:9" ht="13.2" customHeight="1" x14ac:dyDescent="0.25">
      <c r="A173" s="472" t="s">
        <v>1437</v>
      </c>
      <c r="B173" s="472" t="s">
        <v>1252</v>
      </c>
      <c r="C173" s="399" t="s">
        <v>89</v>
      </c>
      <c r="D173" s="473">
        <v>0.7</v>
      </c>
      <c r="E173" s="473">
        <v>4.4999999999999998E-2</v>
      </c>
      <c r="F173" s="491">
        <f>(grains_table[[#This Row],[Extract %]]*46.214)/1000+1</f>
        <v>1.0323498</v>
      </c>
      <c r="G173" s="475">
        <v>453</v>
      </c>
      <c r="H173" s="492">
        <v>0</v>
      </c>
      <c r="I173" s="478" t="s">
        <v>1289</v>
      </c>
    </row>
    <row r="174" spans="1:9" ht="13.2" customHeight="1" x14ac:dyDescent="0.25">
      <c r="A174" s="472" t="s">
        <v>1393</v>
      </c>
      <c r="B174" s="472" t="s">
        <v>1250</v>
      </c>
      <c r="C174" s="399" t="s">
        <v>89</v>
      </c>
      <c r="D174" s="473">
        <v>0.69</v>
      </c>
      <c r="E174" s="473">
        <v>0.05</v>
      </c>
      <c r="F174" s="491">
        <f>(grains_table[[#This Row],[Extract %]]*46.214)/1000+1</f>
        <v>1.03188766</v>
      </c>
      <c r="G174" s="475">
        <v>24</v>
      </c>
      <c r="H174" s="492">
        <v>0</v>
      </c>
      <c r="I174" s="477" t="s">
        <v>1276</v>
      </c>
    </row>
    <row r="175" spans="1:9" ht="13.2" customHeight="1" x14ac:dyDescent="0.25">
      <c r="A175" s="472" t="s">
        <v>1394</v>
      </c>
      <c r="B175" s="472" t="s">
        <v>1294</v>
      </c>
      <c r="C175" s="399" t="s">
        <v>89</v>
      </c>
      <c r="D175" s="473">
        <v>0.65</v>
      </c>
      <c r="E175" s="473">
        <v>4.4999999999999998E-2</v>
      </c>
      <c r="F175" s="491">
        <f>(grains_table[[#This Row],[Extract %]]*46.214)/1000+1</f>
        <v>1.0300391</v>
      </c>
      <c r="G175" s="475">
        <v>432.5</v>
      </c>
      <c r="H175" s="492">
        <v>0</v>
      </c>
      <c r="I175" s="478" t="s">
        <v>1326</v>
      </c>
    </row>
    <row r="176" spans="1:9" ht="13.2" customHeight="1" x14ac:dyDescent="0.25">
      <c r="A176" s="472" t="s">
        <v>1395</v>
      </c>
      <c r="B176" s="472" t="s">
        <v>1294</v>
      </c>
      <c r="C176" s="399" t="s">
        <v>89</v>
      </c>
      <c r="D176" s="473">
        <v>0.65</v>
      </c>
      <c r="E176" s="473">
        <v>4.4999999999999998E-2</v>
      </c>
      <c r="F176" s="491">
        <f>(grains_table[[#This Row],[Extract %]]*46.214)/1000+1</f>
        <v>1.0300391</v>
      </c>
      <c r="G176" s="475">
        <v>509.5</v>
      </c>
      <c r="H176" s="492">
        <v>0</v>
      </c>
      <c r="I176" s="478" t="s">
        <v>1327</v>
      </c>
    </row>
    <row r="177" spans="1:9" ht="13.2" customHeight="1" x14ac:dyDescent="0.25">
      <c r="A177" s="472" t="s">
        <v>1396</v>
      </c>
      <c r="B177" s="472" t="s">
        <v>1294</v>
      </c>
      <c r="C177" s="399" t="s">
        <v>89</v>
      </c>
      <c r="D177" s="473">
        <v>0.75</v>
      </c>
      <c r="E177" s="473">
        <v>4.4999999999999998E-2</v>
      </c>
      <c r="F177" s="491">
        <f>(grains_table[[#This Row],[Extract %]]*46.214)/1000+1</f>
        <v>1.0346605</v>
      </c>
      <c r="G177" s="475">
        <v>340</v>
      </c>
      <c r="H177" s="492">
        <v>0</v>
      </c>
      <c r="I177" s="477" t="s">
        <v>1505</v>
      </c>
    </row>
    <row r="178" spans="1:9" ht="13.2" customHeight="1" x14ac:dyDescent="0.25">
      <c r="A178" s="472" t="s">
        <v>1397</v>
      </c>
      <c r="B178" s="472" t="s">
        <v>1251</v>
      </c>
      <c r="C178" s="399" t="s">
        <v>89</v>
      </c>
      <c r="D178" s="473"/>
      <c r="E178" s="473">
        <v>0.06</v>
      </c>
      <c r="F178" s="491">
        <f>(grains_table[[#This Row],[Extract %]]*46.214)/1000+1</f>
        <v>1</v>
      </c>
      <c r="G178" s="475">
        <v>500</v>
      </c>
      <c r="H178" s="492">
        <v>0</v>
      </c>
      <c r="I178" s="477" t="s">
        <v>1504</v>
      </c>
    </row>
    <row r="179" spans="1:9" ht="13.2" customHeight="1" x14ac:dyDescent="0.25">
      <c r="A179" s="472" t="s">
        <v>1398</v>
      </c>
      <c r="B179" s="472" t="s">
        <v>1250</v>
      </c>
      <c r="C179" s="399" t="s">
        <v>89</v>
      </c>
      <c r="D179" s="473">
        <v>0.69</v>
      </c>
      <c r="E179" s="473">
        <v>0.03</v>
      </c>
      <c r="F179" s="491">
        <f>(grains_table[[#This Row],[Extract %]]*46.214)/1000+1</f>
        <v>1.03188766</v>
      </c>
      <c r="G179" s="475">
        <v>625.54999999999995</v>
      </c>
      <c r="H179" s="492">
        <v>0</v>
      </c>
      <c r="I179" s="477" t="s">
        <v>1279</v>
      </c>
    </row>
    <row r="180" spans="1:9" ht="13.2" customHeight="1" x14ac:dyDescent="0.25">
      <c r="A180" s="472" t="s">
        <v>1399</v>
      </c>
      <c r="B180" s="472" t="s">
        <v>1251</v>
      </c>
      <c r="C180" s="399" t="s">
        <v>89</v>
      </c>
      <c r="D180" s="473"/>
      <c r="E180" s="473">
        <v>0.06</v>
      </c>
      <c r="F180" s="491">
        <f>(grains_table[[#This Row],[Extract %]]*46.214)/1000+1</f>
        <v>1</v>
      </c>
      <c r="G180" s="475">
        <v>500</v>
      </c>
      <c r="H180" s="492">
        <v>0</v>
      </c>
      <c r="I180" s="477" t="s">
        <v>1504</v>
      </c>
    </row>
    <row r="181" spans="1:9" ht="13.2" customHeight="1" x14ac:dyDescent="0.25">
      <c r="A181" s="472" t="s">
        <v>1400</v>
      </c>
      <c r="B181" s="472" t="s">
        <v>1251</v>
      </c>
      <c r="C181" s="399" t="s">
        <v>89</v>
      </c>
      <c r="D181" s="473"/>
      <c r="E181" s="473">
        <v>0.06</v>
      </c>
      <c r="F181" s="491">
        <f>(grains_table[[#This Row],[Extract %]]*46.214)/1000+1</f>
        <v>1</v>
      </c>
      <c r="G181" s="475">
        <v>500</v>
      </c>
      <c r="H181" s="492">
        <v>0</v>
      </c>
      <c r="I181" s="477" t="s">
        <v>1504</v>
      </c>
    </row>
    <row r="182" spans="1:9" ht="13.2" customHeight="1" x14ac:dyDescent="0.25">
      <c r="A182" s="472" t="s">
        <v>1401</v>
      </c>
      <c r="B182" s="472" t="s">
        <v>1250</v>
      </c>
      <c r="C182" s="399" t="s">
        <v>89</v>
      </c>
      <c r="D182" s="473">
        <v>0.68700000000000006</v>
      </c>
      <c r="E182" s="473">
        <v>0.04</v>
      </c>
      <c r="F182" s="491">
        <f>(grains_table[[#This Row],[Extract %]]*46.214)/1000+1</f>
        <v>1.031749018</v>
      </c>
      <c r="G182" s="475">
        <v>193.7</v>
      </c>
      <c r="H182" s="492">
        <v>0</v>
      </c>
      <c r="I182" s="477" t="s">
        <v>1277</v>
      </c>
    </row>
    <row r="183" spans="1:9" ht="13.2" customHeight="1" x14ac:dyDescent="0.25">
      <c r="A183" s="472" t="s">
        <v>1402</v>
      </c>
      <c r="B183" s="472" t="s">
        <v>1251</v>
      </c>
      <c r="C183" s="399" t="s">
        <v>89</v>
      </c>
      <c r="D183" s="473">
        <v>0.79</v>
      </c>
      <c r="E183" s="473">
        <v>2.1999999999999999E-2</v>
      </c>
      <c r="F183" s="491">
        <f>(grains_table[[#This Row],[Extract %]]*46.214)/1000+1</f>
        <v>1.03650906</v>
      </c>
      <c r="G183" s="475">
        <v>55</v>
      </c>
      <c r="H183" s="492">
        <v>0</v>
      </c>
      <c r="I183" s="477" t="s">
        <v>1292</v>
      </c>
    </row>
    <row r="184" spans="1:9" ht="13.2" customHeight="1" x14ac:dyDescent="0.25">
      <c r="A184" s="472" t="s">
        <v>1403</v>
      </c>
      <c r="B184" s="472" t="s">
        <v>1251</v>
      </c>
      <c r="C184" s="399" t="s">
        <v>89</v>
      </c>
      <c r="D184" s="473">
        <v>0.6</v>
      </c>
      <c r="E184" s="473">
        <v>0</v>
      </c>
      <c r="F184" s="491">
        <f>(grains_table[[#This Row],[Extract %]]*46.214)/1000+1</f>
        <v>1.0277284</v>
      </c>
      <c r="G184" s="475">
        <v>350</v>
      </c>
      <c r="H184" s="492">
        <v>0</v>
      </c>
      <c r="I184" s="477" t="s">
        <v>1296</v>
      </c>
    </row>
    <row r="185" spans="1:9" ht="13.2" customHeight="1" x14ac:dyDescent="0.25">
      <c r="A185" s="472" t="s">
        <v>1404</v>
      </c>
      <c r="B185" s="472" t="s">
        <v>1250</v>
      </c>
      <c r="C185" s="399" t="s">
        <v>89</v>
      </c>
      <c r="D185" s="473">
        <v>0.69</v>
      </c>
      <c r="E185" s="473">
        <v>0.03</v>
      </c>
      <c r="F185" s="491">
        <f>(grains_table[[#This Row],[Extract %]]*46.214)/1000+1</f>
        <v>1.03188766</v>
      </c>
      <c r="G185" s="475">
        <v>444.4</v>
      </c>
      <c r="H185" s="492">
        <v>0</v>
      </c>
      <c r="I185" s="477" t="s">
        <v>1278</v>
      </c>
    </row>
    <row r="186" spans="1:9" ht="13.2" customHeight="1" x14ac:dyDescent="0.25">
      <c r="A186" s="472" t="s">
        <v>1430</v>
      </c>
      <c r="B186" s="472" t="s">
        <v>1249</v>
      </c>
      <c r="C186" s="399" t="s">
        <v>89</v>
      </c>
      <c r="D186" s="473">
        <v>0.65</v>
      </c>
      <c r="E186" s="473">
        <v>0.04</v>
      </c>
      <c r="F186" s="491">
        <f>(grains_table[[#This Row],[Extract %]]*46.214)/1000+1</f>
        <v>1.0300391</v>
      </c>
      <c r="G186" s="475">
        <v>244</v>
      </c>
      <c r="H186" s="492">
        <v>0</v>
      </c>
      <c r="I186" s="477" t="s">
        <v>1290</v>
      </c>
    </row>
    <row r="187" spans="1:9" ht="13.2" customHeight="1" x14ac:dyDescent="0.25">
      <c r="A187" s="472" t="s">
        <v>1431</v>
      </c>
      <c r="B187" s="472" t="s">
        <v>1249</v>
      </c>
      <c r="C187" s="399" t="s">
        <v>89</v>
      </c>
      <c r="D187" s="473">
        <v>0.65</v>
      </c>
      <c r="E187" s="473">
        <v>0.04</v>
      </c>
      <c r="F187" s="491">
        <f>(grains_table[[#This Row],[Extract %]]*46.214)/1000+1</f>
        <v>1.0300391</v>
      </c>
      <c r="G187" s="475">
        <v>273</v>
      </c>
      <c r="H187" s="492">
        <v>0</v>
      </c>
      <c r="I187" s="477" t="s">
        <v>1290</v>
      </c>
    </row>
    <row r="188" spans="1:9" ht="13.2" customHeight="1" x14ac:dyDescent="0.25">
      <c r="A188" s="472" t="s">
        <v>1432</v>
      </c>
      <c r="B188" s="472" t="s">
        <v>1249</v>
      </c>
      <c r="C188" s="399" t="s">
        <v>89</v>
      </c>
      <c r="D188" s="473">
        <v>0.65</v>
      </c>
      <c r="E188" s="473">
        <v>0.04</v>
      </c>
      <c r="F188" s="491">
        <f>(grains_table[[#This Row],[Extract %]]*46.214)/1000+1</f>
        <v>1.0300391</v>
      </c>
      <c r="G188" s="475">
        <v>394.5</v>
      </c>
      <c r="H188" s="492">
        <v>0</v>
      </c>
      <c r="I188" s="477" t="s">
        <v>1290</v>
      </c>
    </row>
    <row r="189" spans="1:9" ht="13.2" customHeight="1" x14ac:dyDescent="0.25">
      <c r="A189" s="472" t="s">
        <v>1405</v>
      </c>
      <c r="B189" s="472" t="s">
        <v>1251</v>
      </c>
      <c r="C189" s="399" t="s">
        <v>89</v>
      </c>
      <c r="D189" s="473"/>
      <c r="E189" s="473">
        <v>5.5E-2</v>
      </c>
      <c r="F189" s="491">
        <f>(grains_table[[#This Row],[Extract %]]*46.214)/1000+1</f>
        <v>1</v>
      </c>
      <c r="G189" s="475">
        <v>420</v>
      </c>
      <c r="H189" s="492">
        <v>0</v>
      </c>
      <c r="I189" s="477" t="s">
        <v>1496</v>
      </c>
    </row>
    <row r="190" spans="1:9" ht="13.2" customHeight="1" x14ac:dyDescent="0.25">
      <c r="A190" s="472" t="s">
        <v>1406</v>
      </c>
      <c r="B190" s="472" t="s">
        <v>1251</v>
      </c>
      <c r="C190" s="399" t="s">
        <v>89</v>
      </c>
      <c r="D190" s="473">
        <v>0.72</v>
      </c>
      <c r="E190" s="473">
        <v>2.5000000000000001E-2</v>
      </c>
      <c r="F190" s="491">
        <f>(grains_table[[#This Row],[Extract %]]*46.214)/1000+1</f>
        <v>1.03327408</v>
      </c>
      <c r="G190" s="475">
        <v>130</v>
      </c>
      <c r="H190" s="492">
        <v>0</v>
      </c>
      <c r="I190" s="477" t="s">
        <v>1297</v>
      </c>
    </row>
    <row r="191" spans="1:9" ht="13.2" customHeight="1" x14ac:dyDescent="0.25">
      <c r="A191" s="472" t="s">
        <v>1407</v>
      </c>
      <c r="B191" s="472" t="s">
        <v>1251</v>
      </c>
      <c r="C191" s="399" t="s">
        <v>89</v>
      </c>
      <c r="D191" s="473">
        <v>0.55000000000000004</v>
      </c>
      <c r="E191" s="473">
        <v>6.5000000000000002E-2</v>
      </c>
      <c r="F191" s="491">
        <f>(grains_table[[#This Row],[Extract %]]*46.214)/1000+1</f>
        <v>1.0254177</v>
      </c>
      <c r="G191" s="475">
        <v>550</v>
      </c>
      <c r="H191" s="492">
        <v>0</v>
      </c>
      <c r="I191" s="478" t="s">
        <v>1496</v>
      </c>
    </row>
    <row r="192" spans="1:9" ht="13.2" customHeight="1" x14ac:dyDescent="0.25">
      <c r="A192" s="472" t="s">
        <v>1439</v>
      </c>
      <c r="B192" s="472" t="s">
        <v>1249</v>
      </c>
      <c r="C192" s="399" t="s">
        <v>89</v>
      </c>
      <c r="D192" s="473">
        <v>0.65</v>
      </c>
      <c r="E192" s="473">
        <v>0.04</v>
      </c>
      <c r="F192" s="491">
        <f>(grains_table[[#This Row],[Extract %]]*46.214)/1000+1</f>
        <v>1.0300391</v>
      </c>
      <c r="G192" s="475">
        <v>244</v>
      </c>
      <c r="H192" s="492">
        <v>0</v>
      </c>
      <c r="I192" s="477" t="s">
        <v>1290</v>
      </c>
    </row>
    <row r="193" spans="1:9" ht="13.2" customHeight="1" x14ac:dyDescent="0.25">
      <c r="A193" s="472" t="s">
        <v>1908</v>
      </c>
      <c r="B193" s="479" t="s">
        <v>1879</v>
      </c>
      <c r="C193" s="475" t="s">
        <v>89</v>
      </c>
      <c r="D193" s="480">
        <v>0.78</v>
      </c>
      <c r="E193" s="480">
        <v>0.05</v>
      </c>
      <c r="F193" s="491">
        <f>(grains_table[[#This Row],[Extract %]]*46.214)/1000+1</f>
        <v>1.03604692</v>
      </c>
      <c r="G193" s="475">
        <v>120.6</v>
      </c>
      <c r="H193" s="492">
        <v>0</v>
      </c>
      <c r="I193" s="477" t="s">
        <v>1880</v>
      </c>
    </row>
    <row r="194" spans="1:9" ht="13.2" customHeight="1" x14ac:dyDescent="0.25">
      <c r="A194" s="472" t="s">
        <v>1408</v>
      </c>
      <c r="B194" s="472" t="s">
        <v>1252</v>
      </c>
      <c r="C194" s="399" t="s">
        <v>89</v>
      </c>
      <c r="D194" s="473">
        <v>0.83</v>
      </c>
      <c r="E194" s="473">
        <v>6.5000000000000002E-2</v>
      </c>
      <c r="F194" s="491">
        <f>(grains_table[[#This Row],[Extract %]]*46.214)/1000+1</f>
        <v>1.03835762</v>
      </c>
      <c r="G194" s="475">
        <v>12</v>
      </c>
      <c r="H194" s="492">
        <v>0</v>
      </c>
      <c r="I194" s="477" t="s">
        <v>1289</v>
      </c>
    </row>
    <row r="195" spans="1:9" ht="13.2" customHeight="1" x14ac:dyDescent="0.25">
      <c r="A195" s="472" t="s">
        <v>1903</v>
      </c>
      <c r="B195" s="479" t="s">
        <v>1879</v>
      </c>
      <c r="C195" s="475" t="s">
        <v>89</v>
      </c>
      <c r="D195" s="480">
        <v>0.71</v>
      </c>
      <c r="E195" s="480">
        <v>4.4999999999999998E-2</v>
      </c>
      <c r="F195" s="491">
        <f>(grains_table[[#This Row],[Extract %]]*46.214)/1000+1</f>
        <v>1.03281194</v>
      </c>
      <c r="G195" s="475">
        <v>207</v>
      </c>
      <c r="H195" s="492">
        <v>0</v>
      </c>
      <c r="I195" s="478" t="s">
        <v>1880</v>
      </c>
    </row>
    <row r="196" spans="1:9" ht="13.2" customHeight="1" x14ac:dyDescent="0.25">
      <c r="A196" s="472" t="s">
        <v>1904</v>
      </c>
      <c r="B196" s="479"/>
      <c r="C196" s="475" t="s">
        <v>89</v>
      </c>
      <c r="D196" s="480">
        <v>0</v>
      </c>
      <c r="E196" s="480">
        <v>0</v>
      </c>
      <c r="F196" s="491">
        <v>1.032</v>
      </c>
      <c r="G196" s="475">
        <v>2.5</v>
      </c>
      <c r="H196" s="492"/>
      <c r="I196" s="477"/>
    </row>
    <row r="197" spans="1:9" ht="13.2" customHeight="1" x14ac:dyDescent="0.25">
      <c r="A197" s="472" t="s">
        <v>1906</v>
      </c>
      <c r="B197" s="479" t="s">
        <v>1879</v>
      </c>
      <c r="C197" s="475" t="s">
        <v>89</v>
      </c>
      <c r="D197" s="480">
        <v>0.73</v>
      </c>
      <c r="E197" s="480">
        <v>0.03</v>
      </c>
      <c r="F197" s="491">
        <f>(grains_table[[#This Row],[Extract %]]*46.214)/1000+1</f>
        <v>1.03373622</v>
      </c>
      <c r="G197" s="475">
        <v>188</v>
      </c>
      <c r="H197" s="492">
        <v>0</v>
      </c>
      <c r="I197" s="477" t="s">
        <v>1880</v>
      </c>
    </row>
    <row r="198" spans="1:9" ht="13.2" customHeight="1" x14ac:dyDescent="0.25">
      <c r="A198" s="472" t="s">
        <v>1458</v>
      </c>
      <c r="B198" s="472" t="s">
        <v>1250</v>
      </c>
      <c r="C198" s="399" t="s">
        <v>89</v>
      </c>
      <c r="D198" s="473">
        <v>0.78</v>
      </c>
      <c r="E198" s="473">
        <v>7.0000000000000007E-2</v>
      </c>
      <c r="F198" s="491">
        <f>(grains_table[[#This Row],[Extract %]]*46.214)/1000+1</f>
        <v>1.03604692</v>
      </c>
      <c r="G198" s="475">
        <v>2.0499999999999998</v>
      </c>
      <c r="H198" s="492"/>
      <c r="I198" s="477" t="s">
        <v>1285</v>
      </c>
    </row>
    <row r="199" spans="1:9" ht="13.2" customHeight="1" x14ac:dyDescent="0.25">
      <c r="A199" s="472" t="s">
        <v>1436</v>
      </c>
      <c r="B199" s="472" t="s">
        <v>1249</v>
      </c>
      <c r="C199" s="399" t="s">
        <v>89</v>
      </c>
      <c r="D199" s="473">
        <v>0.81</v>
      </c>
      <c r="E199" s="473">
        <v>0.06</v>
      </c>
      <c r="F199" s="491">
        <f>(grains_table[[#This Row],[Extract %]]*46.214)/1000+1</f>
        <v>1.03743334</v>
      </c>
      <c r="G199" s="475">
        <v>3.15</v>
      </c>
      <c r="H199" s="492"/>
      <c r="I199" s="477" t="s">
        <v>1290</v>
      </c>
    </row>
    <row r="200" spans="1:9" ht="13.2" customHeight="1" x14ac:dyDescent="0.25">
      <c r="A200" s="472" t="s">
        <v>1460</v>
      </c>
      <c r="B200" s="472" t="s">
        <v>1251</v>
      </c>
      <c r="C200" s="399" t="s">
        <v>89</v>
      </c>
      <c r="D200" s="473">
        <v>0.8</v>
      </c>
      <c r="E200" s="473">
        <v>4.4999999999999998E-2</v>
      </c>
      <c r="F200" s="491">
        <f>(grains_table[[#This Row],[Extract %]]*46.214)/1000+1</f>
        <v>1.0369712</v>
      </c>
      <c r="G200" s="475">
        <v>3.7</v>
      </c>
      <c r="H200" s="492">
        <v>105</v>
      </c>
      <c r="I200" s="477" t="s">
        <v>1498</v>
      </c>
    </row>
    <row r="201" spans="1:9" ht="13.2" customHeight="1" x14ac:dyDescent="0.25">
      <c r="A201" s="472" t="s">
        <v>1905</v>
      </c>
      <c r="B201" s="479" t="s">
        <v>1879</v>
      </c>
      <c r="C201" s="475" t="s">
        <v>89</v>
      </c>
      <c r="D201" s="480">
        <v>0.81</v>
      </c>
      <c r="E201" s="480">
        <v>0.06</v>
      </c>
      <c r="F201" s="491">
        <f>(grains_table[[#This Row],[Extract %]]*46.214)/1000+1</f>
        <v>1.03743334</v>
      </c>
      <c r="G201" s="475">
        <v>3.2</v>
      </c>
      <c r="H201" s="492">
        <v>0</v>
      </c>
      <c r="I201" s="477" t="s">
        <v>1880</v>
      </c>
    </row>
    <row r="202" spans="1:9" ht="13.2" customHeight="1" x14ac:dyDescent="0.25">
      <c r="A202" s="472" t="s">
        <v>1413</v>
      </c>
      <c r="B202" s="472" t="s">
        <v>1251</v>
      </c>
      <c r="C202" s="399" t="s">
        <v>89</v>
      </c>
      <c r="D202" s="473">
        <v>0.80500000000000005</v>
      </c>
      <c r="E202" s="473">
        <v>0.06</v>
      </c>
      <c r="F202" s="491">
        <f>(grains_table[[#This Row],[Extract %]]*46.214)/1000+1</f>
        <v>1.0372022700000001</v>
      </c>
      <c r="G202" s="475">
        <v>6</v>
      </c>
      <c r="H202" s="492">
        <v>90</v>
      </c>
      <c r="I202" s="477" t="s">
        <v>1498</v>
      </c>
    </row>
    <row r="203" spans="1:9" ht="13.2" customHeight="1" x14ac:dyDescent="0.25">
      <c r="A203" s="472" t="s">
        <v>1414</v>
      </c>
      <c r="B203" s="472" t="s">
        <v>1249</v>
      </c>
      <c r="C203" s="399" t="s">
        <v>89</v>
      </c>
      <c r="D203" s="473">
        <v>0.77</v>
      </c>
      <c r="E203" s="473">
        <v>0.05</v>
      </c>
      <c r="F203" s="491">
        <f>(grains_table[[#This Row],[Extract %]]*46.214)/1000+1</f>
        <v>1.03558478</v>
      </c>
      <c r="G203" s="475">
        <v>2.85</v>
      </c>
      <c r="H203" s="492"/>
      <c r="I203" s="477" t="s">
        <v>1290</v>
      </c>
    </row>
    <row r="204" spans="1:9" ht="13.2" customHeight="1" x14ac:dyDescent="0.25">
      <c r="A204" s="472" t="s">
        <v>1415</v>
      </c>
      <c r="B204" s="472" t="s">
        <v>1294</v>
      </c>
      <c r="C204" s="399" t="s">
        <v>89</v>
      </c>
      <c r="D204" s="473">
        <v>0.78</v>
      </c>
      <c r="E204" s="473">
        <v>5.5E-2</v>
      </c>
      <c r="F204" s="491">
        <f>(grains_table[[#This Row],[Extract %]]*46.214)/1000+1</f>
        <v>1.03604692</v>
      </c>
      <c r="G204" s="475">
        <v>5.85</v>
      </c>
      <c r="H204" s="492">
        <f>(250+16)/3.5</f>
        <v>76</v>
      </c>
      <c r="I204" s="478" t="s">
        <v>1331</v>
      </c>
    </row>
    <row r="205" spans="1:9" ht="13.2" customHeight="1" x14ac:dyDescent="0.25">
      <c r="A205" s="472" t="s">
        <v>1416</v>
      </c>
      <c r="B205" s="472" t="s">
        <v>1294</v>
      </c>
      <c r="C205" s="399" t="s">
        <v>89</v>
      </c>
      <c r="D205" s="473">
        <v>0.77</v>
      </c>
      <c r="E205" s="473">
        <v>5.5E-2</v>
      </c>
      <c r="F205" s="491">
        <f>(grains_table[[#This Row],[Extract %]]*46.214)/1000+1</f>
        <v>1.03558478</v>
      </c>
      <c r="G205" s="475">
        <v>5.85</v>
      </c>
      <c r="H205" s="492">
        <f>(250+16)/3.5</f>
        <v>76</v>
      </c>
      <c r="I205" s="478" t="s">
        <v>1330</v>
      </c>
    </row>
    <row r="206" spans="1:9" ht="13.2" customHeight="1" x14ac:dyDescent="0.25">
      <c r="A206" s="472" t="s">
        <v>1417</v>
      </c>
      <c r="B206" s="472" t="s">
        <v>1251</v>
      </c>
      <c r="C206" s="399" t="s">
        <v>89</v>
      </c>
      <c r="D206" s="473">
        <v>0.80500000000000005</v>
      </c>
      <c r="E206" s="473">
        <v>0.06</v>
      </c>
      <c r="F206" s="491">
        <f>(grains_table[[#This Row],[Extract %]]*46.214)/1000+1</f>
        <v>1.0372022700000001</v>
      </c>
      <c r="G206" s="475">
        <v>5</v>
      </c>
      <c r="H206" s="492">
        <v>90</v>
      </c>
      <c r="I206" s="477" t="s">
        <v>1498</v>
      </c>
    </row>
    <row r="207" spans="1:9" ht="13.2" customHeight="1" x14ac:dyDescent="0.25">
      <c r="A207" s="472" t="s">
        <v>1896</v>
      </c>
      <c r="B207" s="479" t="s">
        <v>1879</v>
      </c>
      <c r="C207" s="475" t="s">
        <v>89</v>
      </c>
      <c r="D207" s="480">
        <v>0.81499999999999995</v>
      </c>
      <c r="E207" s="480">
        <v>3.7999999999999999E-2</v>
      </c>
      <c r="F207" s="491">
        <f>(grains_table[[#This Row],[Extract %]]*46.214)/1000+1</f>
        <v>1.0376644100000001</v>
      </c>
      <c r="G207" s="475">
        <v>2.02</v>
      </c>
      <c r="H207" s="492">
        <f>(250+16)/3.5</f>
        <v>76</v>
      </c>
      <c r="I207" s="477" t="s">
        <v>1880</v>
      </c>
    </row>
    <row r="208" spans="1:9" ht="13.2" customHeight="1" x14ac:dyDescent="0.25">
      <c r="A208" s="472" t="s">
        <v>1418</v>
      </c>
      <c r="B208" s="472" t="s">
        <v>1251</v>
      </c>
      <c r="C208" s="399" t="s">
        <v>89</v>
      </c>
      <c r="D208" s="473">
        <v>0.80500000000000005</v>
      </c>
      <c r="E208" s="473">
        <v>0.06</v>
      </c>
      <c r="F208" s="491">
        <f>(grains_table[[#This Row],[Extract %]]*46.214)/1000+1</f>
        <v>1.0372022700000001</v>
      </c>
      <c r="G208" s="475">
        <v>5</v>
      </c>
      <c r="H208" s="492">
        <v>90</v>
      </c>
      <c r="I208" s="477" t="s">
        <v>1498</v>
      </c>
    </row>
    <row r="209" spans="1:9" ht="13.2" customHeight="1" x14ac:dyDescent="0.25">
      <c r="A209" s="472" t="s">
        <v>1897</v>
      </c>
      <c r="B209" s="479" t="s">
        <v>1879</v>
      </c>
      <c r="C209" s="475" t="s">
        <v>89</v>
      </c>
      <c r="D209" s="480">
        <v>0.81</v>
      </c>
      <c r="E209" s="480">
        <v>3.5000000000000003E-2</v>
      </c>
      <c r="F209" s="491">
        <f>(grains_table[[#This Row],[Extract %]]*46.214)/1000+1</f>
        <v>1.03743334</v>
      </c>
      <c r="G209" s="475">
        <v>1.99</v>
      </c>
      <c r="H209" s="492">
        <f>(240+16)/3.5</f>
        <v>73.142857142857139</v>
      </c>
      <c r="I209" s="477" t="s">
        <v>1880</v>
      </c>
    </row>
    <row r="210" spans="1:9" ht="13.2" customHeight="1" x14ac:dyDescent="0.25">
      <c r="A210" s="472" t="s">
        <v>1419</v>
      </c>
      <c r="B210" s="472" t="s">
        <v>1249</v>
      </c>
      <c r="C210" s="399" t="s">
        <v>89</v>
      </c>
      <c r="D210" s="473">
        <v>0.82</v>
      </c>
      <c r="E210" s="473">
        <v>5.5E-2</v>
      </c>
      <c r="F210" s="491">
        <f>(grains_table[[#This Row],[Extract %]]*46.214)/1000+1</f>
        <v>1.03789548</v>
      </c>
      <c r="G210" s="475">
        <v>2.4500000000000002</v>
      </c>
      <c r="H210" s="492"/>
      <c r="I210" s="477" t="s">
        <v>1290</v>
      </c>
    </row>
    <row r="211" spans="1:9" ht="13.2" customHeight="1" x14ac:dyDescent="0.25">
      <c r="A211" s="472" t="s">
        <v>1255</v>
      </c>
      <c r="B211" s="472" t="s">
        <v>1249</v>
      </c>
      <c r="C211" s="399" t="s">
        <v>89</v>
      </c>
      <c r="D211" s="473">
        <v>0.8</v>
      </c>
      <c r="E211" s="473">
        <v>0.06</v>
      </c>
      <c r="F211" s="491">
        <f>(grains_table[[#This Row],[Extract %]]*46.214)/1000+1</f>
        <v>1.0369712</v>
      </c>
      <c r="G211" s="475">
        <v>2.4500000000000002</v>
      </c>
      <c r="H211" s="492"/>
      <c r="I211" s="477" t="s">
        <v>1290</v>
      </c>
    </row>
    <row r="212" spans="1:9" ht="13.2" customHeight="1" x14ac:dyDescent="0.25">
      <c r="A212" s="472" t="s">
        <v>1454</v>
      </c>
      <c r="B212" s="472" t="s">
        <v>1294</v>
      </c>
      <c r="C212" s="399" t="s">
        <v>89</v>
      </c>
      <c r="D212" s="473">
        <v>0.82</v>
      </c>
      <c r="E212" s="473">
        <v>5.5E-2</v>
      </c>
      <c r="F212" s="491">
        <f>(grains_table[[#This Row],[Extract %]]*46.214)/1000+1</f>
        <v>1.03789548</v>
      </c>
      <c r="G212" s="475">
        <v>2.25</v>
      </c>
      <c r="H212" s="492">
        <v>0</v>
      </c>
      <c r="I212" s="478" t="s">
        <v>1315</v>
      </c>
    </row>
    <row r="213" spans="1:9" ht="13.2" customHeight="1" x14ac:dyDescent="0.25">
      <c r="A213" s="472" t="s">
        <v>1501</v>
      </c>
      <c r="B213" s="472"/>
      <c r="C213" s="399" t="s">
        <v>705</v>
      </c>
      <c r="D213" s="473"/>
      <c r="E213" s="473"/>
      <c r="F213" s="491">
        <v>1.046</v>
      </c>
      <c r="G213" s="475">
        <v>50</v>
      </c>
      <c r="H213" s="492">
        <v>0</v>
      </c>
      <c r="I213" s="477" t="s">
        <v>1499</v>
      </c>
    </row>
    <row r="214" spans="1:9" ht="13.2" customHeight="1" x14ac:dyDescent="0.25">
      <c r="A214" s="472" t="s">
        <v>1500</v>
      </c>
      <c r="B214" s="472"/>
      <c r="C214" s="399" t="s">
        <v>705</v>
      </c>
      <c r="D214" s="473"/>
      <c r="E214" s="473"/>
      <c r="F214" s="491">
        <v>1.046</v>
      </c>
      <c r="G214" s="475">
        <v>8</v>
      </c>
      <c r="H214" s="492">
        <v>0</v>
      </c>
      <c r="I214" s="477" t="s">
        <v>1499</v>
      </c>
    </row>
    <row r="215" spans="1:9" ht="13.2" customHeight="1" x14ac:dyDescent="0.25">
      <c r="A215" s="472" t="s">
        <v>1921</v>
      </c>
      <c r="B215" s="472"/>
      <c r="C215" s="399" t="s">
        <v>705</v>
      </c>
      <c r="D215" s="473"/>
      <c r="E215" s="473"/>
      <c r="F215" s="491">
        <v>1.0449999999999999</v>
      </c>
      <c r="G215" s="475">
        <v>75</v>
      </c>
      <c r="H215" s="492">
        <v>0</v>
      </c>
      <c r="I215" s="477" t="s">
        <v>1919</v>
      </c>
    </row>
    <row r="216" spans="1:9" ht="13.2" customHeight="1" x14ac:dyDescent="0.25">
      <c r="A216" s="472" t="s">
        <v>1922</v>
      </c>
      <c r="B216" s="472"/>
      <c r="C216" s="399" t="s">
        <v>705</v>
      </c>
      <c r="D216" s="473"/>
      <c r="E216" s="473"/>
      <c r="F216" s="491">
        <v>1.0449999999999999</v>
      </c>
      <c r="G216" s="475">
        <v>1</v>
      </c>
      <c r="H216" s="492">
        <v>0</v>
      </c>
      <c r="I216" s="477" t="s">
        <v>1919</v>
      </c>
    </row>
    <row r="217" spans="1:9" ht="13.2" customHeight="1" x14ac:dyDescent="0.25">
      <c r="A217" s="472" t="s">
        <v>1923</v>
      </c>
      <c r="B217" s="472"/>
      <c r="C217" s="399" t="s">
        <v>705</v>
      </c>
      <c r="D217" s="473"/>
      <c r="E217" s="473"/>
      <c r="F217" s="491">
        <v>1.0449999999999999</v>
      </c>
      <c r="G217" s="475">
        <v>275</v>
      </c>
      <c r="H217" s="492">
        <v>0</v>
      </c>
      <c r="I217" s="477" t="s">
        <v>1919</v>
      </c>
    </row>
    <row r="218" spans="1:9" ht="13.2" customHeight="1" x14ac:dyDescent="0.25">
      <c r="A218" s="472" t="s">
        <v>1502</v>
      </c>
      <c r="B218" s="472"/>
      <c r="C218" s="399" t="s">
        <v>705</v>
      </c>
      <c r="D218" s="473"/>
      <c r="E218" s="473"/>
      <c r="F218" s="491">
        <v>1.042</v>
      </c>
      <c r="G218" s="475">
        <v>0</v>
      </c>
      <c r="H218" s="492">
        <v>0</v>
      </c>
      <c r="I218" s="477" t="s">
        <v>1919</v>
      </c>
    </row>
    <row r="219" spans="1:9" ht="13.2" customHeight="1" x14ac:dyDescent="0.25">
      <c r="A219" s="472" t="s">
        <v>1451</v>
      </c>
      <c r="B219" s="472"/>
      <c r="C219" s="399" t="s">
        <v>705</v>
      </c>
      <c r="D219" s="473"/>
      <c r="E219" s="473"/>
      <c r="F219" s="474">
        <v>1.046</v>
      </c>
      <c r="G219" s="475">
        <v>2</v>
      </c>
      <c r="H219" s="492">
        <v>0</v>
      </c>
      <c r="I219" s="477" t="s">
        <v>1499</v>
      </c>
    </row>
    <row r="220" spans="1:9" ht="13.2" customHeight="1" x14ac:dyDescent="0.25">
      <c r="A220" s="472" t="s">
        <v>1445</v>
      </c>
      <c r="B220" s="472"/>
      <c r="C220" s="399" t="s">
        <v>705</v>
      </c>
      <c r="D220" s="473"/>
      <c r="E220" s="473"/>
      <c r="F220" s="474">
        <v>1.036</v>
      </c>
      <c r="G220" s="475">
        <v>1</v>
      </c>
      <c r="H220" s="492">
        <v>0</v>
      </c>
      <c r="I220" s="477" t="s">
        <v>1919</v>
      </c>
    </row>
    <row r="221" spans="1:9" ht="13.2" customHeight="1" x14ac:dyDescent="0.25">
      <c r="A221" s="472" t="s">
        <v>1446</v>
      </c>
      <c r="B221" s="472"/>
      <c r="C221" s="399" t="s">
        <v>705</v>
      </c>
      <c r="D221" s="473"/>
      <c r="E221" s="473"/>
      <c r="F221" s="474">
        <v>1.036</v>
      </c>
      <c r="G221" s="475">
        <v>0</v>
      </c>
      <c r="H221" s="492">
        <v>0</v>
      </c>
      <c r="I221" s="477" t="s">
        <v>1499</v>
      </c>
    </row>
    <row r="222" spans="1:9" ht="13.2" customHeight="1" x14ac:dyDescent="0.25">
      <c r="A222" s="472" t="s">
        <v>1447</v>
      </c>
      <c r="B222" s="472"/>
      <c r="C222" s="399" t="s">
        <v>705</v>
      </c>
      <c r="D222" s="473"/>
      <c r="E222" s="473"/>
      <c r="F222" s="474">
        <v>1.046</v>
      </c>
      <c r="G222" s="475">
        <v>0</v>
      </c>
      <c r="H222" s="492">
        <v>0</v>
      </c>
      <c r="I222" s="477" t="s">
        <v>1919</v>
      </c>
    </row>
    <row r="223" spans="1:9" ht="13.2" customHeight="1" x14ac:dyDescent="0.25">
      <c r="A223" s="472" t="s">
        <v>1448</v>
      </c>
      <c r="B223" s="472"/>
      <c r="C223" s="399" t="s">
        <v>705</v>
      </c>
      <c r="D223" s="473"/>
      <c r="E223" s="473"/>
      <c r="F223" s="474">
        <v>1.0309999999999999</v>
      </c>
      <c r="G223" s="475">
        <v>35</v>
      </c>
      <c r="H223" s="492">
        <v>0</v>
      </c>
      <c r="I223" s="477" t="s">
        <v>1919</v>
      </c>
    </row>
    <row r="224" spans="1:9" ht="13.2" customHeight="1" x14ac:dyDescent="0.25">
      <c r="A224" s="472" t="s">
        <v>1449</v>
      </c>
      <c r="B224" s="472"/>
      <c r="C224" s="399" t="s">
        <v>705</v>
      </c>
      <c r="D224" s="473"/>
      <c r="E224" s="473"/>
      <c r="F224" s="474">
        <v>1.036</v>
      </c>
      <c r="G224" s="475">
        <v>80</v>
      </c>
      <c r="H224" s="492">
        <v>0</v>
      </c>
      <c r="I224" s="477" t="s">
        <v>1919</v>
      </c>
    </row>
    <row r="225" spans="1:9" ht="13.2" customHeight="1" x14ac:dyDescent="0.25">
      <c r="A225" s="472" t="s">
        <v>1450</v>
      </c>
      <c r="B225" s="472"/>
      <c r="C225" s="399" t="s">
        <v>705</v>
      </c>
      <c r="D225" s="473"/>
      <c r="E225" s="473"/>
      <c r="F225" s="474">
        <v>1.046</v>
      </c>
      <c r="G225" s="475">
        <v>1</v>
      </c>
      <c r="H225" s="492">
        <v>0</v>
      </c>
      <c r="I225" s="477" t="s">
        <v>1919</v>
      </c>
    </row>
    <row r="226" spans="1:9" ht="13.2" customHeight="1" x14ac:dyDescent="0.25">
      <c r="A226" s="472" t="s">
        <v>1238</v>
      </c>
      <c r="B226" s="472" t="s">
        <v>1251</v>
      </c>
      <c r="C226" s="399" t="s">
        <v>89</v>
      </c>
      <c r="D226" s="473">
        <v>0.76</v>
      </c>
      <c r="E226" s="473">
        <v>8.5000000000000006E-2</v>
      </c>
      <c r="F226" s="491">
        <f>(grains_table[[#This Row],[Extract %]]*46.214)/1000+1</f>
        <v>1.03512264</v>
      </c>
      <c r="G226" s="475">
        <v>1.5</v>
      </c>
      <c r="H226" s="492">
        <v>0</v>
      </c>
      <c r="I226" s="477" t="s">
        <v>1503</v>
      </c>
    </row>
    <row r="227" spans="1:9" ht="13.2" customHeight="1" x14ac:dyDescent="0.25">
      <c r="A227" s="472" t="s">
        <v>1409</v>
      </c>
      <c r="B227" s="472" t="s">
        <v>1294</v>
      </c>
      <c r="C227" s="399" t="s">
        <v>89</v>
      </c>
      <c r="D227" s="473">
        <v>0.80500000000000005</v>
      </c>
      <c r="E227" s="473">
        <v>4.9000000000000002E-2</v>
      </c>
      <c r="F227" s="491">
        <f>(grains_table[[#This Row],[Extract %]]*46.214)/1000+1</f>
        <v>1.0372022700000001</v>
      </c>
      <c r="G227" s="475">
        <v>3.85</v>
      </c>
      <c r="H227" s="492">
        <f>(250+16)/3.5</f>
        <v>76</v>
      </c>
      <c r="I227" s="477" t="s">
        <v>1308</v>
      </c>
    </row>
    <row r="228" spans="1:9" ht="13.2" customHeight="1" x14ac:dyDescent="0.25">
      <c r="A228" s="472" t="s">
        <v>1410</v>
      </c>
      <c r="B228" s="472" t="s">
        <v>1251</v>
      </c>
      <c r="C228" s="399" t="s">
        <v>89</v>
      </c>
      <c r="D228" s="473">
        <v>0.8</v>
      </c>
      <c r="E228" s="473">
        <v>3.5000000000000003E-2</v>
      </c>
      <c r="F228" s="491">
        <f>(grains_table[[#This Row],[Extract %]]*46.214)/1000+1</f>
        <v>1.0369712</v>
      </c>
      <c r="G228" s="475">
        <v>3.5</v>
      </c>
      <c r="H228" s="492">
        <v>80</v>
      </c>
      <c r="I228" s="477" t="s">
        <v>1302</v>
      </c>
    </row>
    <row r="229" spans="1:9" ht="13.2" customHeight="1" x14ac:dyDescent="0.25">
      <c r="A229" s="472" t="s">
        <v>1912</v>
      </c>
      <c r="B229" s="479" t="s">
        <v>1879</v>
      </c>
      <c r="C229" s="475" t="s">
        <v>89</v>
      </c>
      <c r="D229" s="480">
        <v>0.80500000000000005</v>
      </c>
      <c r="E229" s="480">
        <v>3.5000000000000003E-2</v>
      </c>
      <c r="F229" s="491">
        <f>(grains_table[[#This Row],[Extract %]]*46.214)/1000+1</f>
        <v>1.0372022700000001</v>
      </c>
      <c r="G229" s="475">
        <v>3.1</v>
      </c>
      <c r="H229" s="492">
        <f>(200+16)/3.5</f>
        <v>61.714285714285715</v>
      </c>
      <c r="I229" s="477" t="s">
        <v>1880</v>
      </c>
    </row>
    <row r="230" spans="1:9" ht="13.2" customHeight="1" x14ac:dyDescent="0.25">
      <c r="A230" s="472" t="s">
        <v>1411</v>
      </c>
      <c r="B230" s="472" t="s">
        <v>1250</v>
      </c>
      <c r="C230" s="399" t="s">
        <v>89</v>
      </c>
      <c r="D230" s="473">
        <v>0.75</v>
      </c>
      <c r="E230" s="473">
        <v>3.5000000000000003E-2</v>
      </c>
      <c r="F230" s="491">
        <f>(grains_table[[#This Row],[Extract %]]*46.214)/1000+1</f>
        <v>1.0346605</v>
      </c>
      <c r="G230" s="399">
        <v>3.35</v>
      </c>
      <c r="H230" s="493"/>
      <c r="I230" s="477" t="s">
        <v>1262</v>
      </c>
    </row>
    <row r="231" spans="1:9" ht="13.2" customHeight="1" x14ac:dyDescent="0.25">
      <c r="A231" s="472" t="s">
        <v>1412</v>
      </c>
      <c r="B231" s="472" t="s">
        <v>1249</v>
      </c>
      <c r="C231" s="399" t="s">
        <v>89</v>
      </c>
      <c r="D231" s="473">
        <v>0.79</v>
      </c>
      <c r="E231" s="473">
        <v>5.5E-2</v>
      </c>
      <c r="F231" s="491">
        <f>(grains_table[[#This Row],[Extract %]]*46.214)/1000+1</f>
        <v>1.03650906</v>
      </c>
      <c r="G231" s="475">
        <v>3.35</v>
      </c>
      <c r="H231" s="492"/>
      <c r="I231" s="477" t="s">
        <v>1290</v>
      </c>
    </row>
    <row r="232" spans="1:9" ht="13.2" customHeight="1" x14ac:dyDescent="0.25">
      <c r="A232" s="472" t="s">
        <v>1420</v>
      </c>
      <c r="B232" s="472" t="s">
        <v>1294</v>
      </c>
      <c r="C232" s="399" t="s">
        <v>89</v>
      </c>
      <c r="D232" s="473">
        <v>0.82</v>
      </c>
      <c r="E232" s="473">
        <v>5.5E-2</v>
      </c>
      <c r="F232" s="491">
        <f>(grains_table[[#This Row],[Extract %]]*46.214)/1000+1</f>
        <v>1.03789548</v>
      </c>
      <c r="G232" s="475">
        <v>1.6</v>
      </c>
      <c r="H232" s="492">
        <f>(250+16)/3.5</f>
        <v>76</v>
      </c>
      <c r="I232" s="478" t="s">
        <v>1316</v>
      </c>
    </row>
    <row r="233" spans="1:9" ht="13.2" customHeight="1" x14ac:dyDescent="0.25">
      <c r="A233" s="472" t="s">
        <v>1421</v>
      </c>
      <c r="B233" s="472" t="s">
        <v>1294</v>
      </c>
      <c r="C233" s="399" t="s">
        <v>89</v>
      </c>
      <c r="D233" s="473">
        <v>0.82</v>
      </c>
      <c r="E233" s="473">
        <v>5.5E-2</v>
      </c>
      <c r="F233" s="491">
        <f>(grains_table[[#This Row],[Extract %]]*46.214)/1000+1</f>
        <v>1.03789548</v>
      </c>
      <c r="G233" s="475">
        <v>2.25</v>
      </c>
      <c r="H233" s="492">
        <f>(250+16)/3.5</f>
        <v>76</v>
      </c>
      <c r="I233" s="478" t="s">
        <v>1313</v>
      </c>
    </row>
    <row r="234" spans="1:9" ht="13.2" customHeight="1" x14ac:dyDescent="0.25">
      <c r="A234" s="472" t="s">
        <v>1422</v>
      </c>
      <c r="B234" s="472" t="s">
        <v>1294</v>
      </c>
      <c r="C234" s="399" t="s">
        <v>89</v>
      </c>
      <c r="D234" s="473">
        <v>0.82</v>
      </c>
      <c r="E234" s="473">
        <v>5.5E-2</v>
      </c>
      <c r="F234" s="491">
        <f>(grains_table[[#This Row],[Extract %]]*46.214)/1000+1</f>
        <v>1.03789548</v>
      </c>
      <c r="G234" s="475">
        <v>7.25</v>
      </c>
      <c r="H234" s="492">
        <f>(250+16)/3.5</f>
        <v>76</v>
      </c>
      <c r="I234" s="478" t="s">
        <v>1314</v>
      </c>
    </row>
    <row r="235" spans="1:9" ht="13.2" customHeight="1" x14ac:dyDescent="0.25">
      <c r="A235" s="472" t="s">
        <v>1423</v>
      </c>
      <c r="B235" s="472" t="s">
        <v>1249</v>
      </c>
      <c r="C235" s="399" t="s">
        <v>89</v>
      </c>
      <c r="D235" s="473">
        <v>0.81</v>
      </c>
      <c r="E235" s="473">
        <v>7.0000000000000007E-2</v>
      </c>
      <c r="F235" s="491">
        <f>(grains_table[[#This Row],[Extract %]]*46.214)/1000+1</f>
        <v>1.03743334</v>
      </c>
      <c r="G235" s="475">
        <v>2.0499999999999998</v>
      </c>
      <c r="H235" s="492"/>
      <c r="I235" s="477" t="s">
        <v>1290</v>
      </c>
    </row>
    <row r="236" spans="1:9" ht="13.2" customHeight="1" x14ac:dyDescent="0.25">
      <c r="A236" s="472" t="s">
        <v>1424</v>
      </c>
      <c r="B236" s="472" t="s">
        <v>1249</v>
      </c>
      <c r="C236" s="399" t="s">
        <v>89</v>
      </c>
      <c r="D236" s="473">
        <v>0.82</v>
      </c>
      <c r="E236" s="473">
        <v>5.5E-2</v>
      </c>
      <c r="F236" s="491">
        <f>(grains_table[[#This Row],[Extract %]]*46.214)/1000+1</f>
        <v>1.03789548</v>
      </c>
      <c r="G236" s="475">
        <v>2.0499999999999998</v>
      </c>
      <c r="H236" s="492"/>
      <c r="I236" s="477" t="s">
        <v>1290</v>
      </c>
    </row>
    <row r="237" spans="1:9" ht="13.2" customHeight="1" x14ac:dyDescent="0.25">
      <c r="A237" s="472" t="s">
        <v>1913</v>
      </c>
      <c r="B237" s="479" t="s">
        <v>1879</v>
      </c>
      <c r="C237" s="475" t="s">
        <v>89</v>
      </c>
      <c r="D237" s="480">
        <v>0.85</v>
      </c>
      <c r="E237" s="480">
        <v>4.8000000000000001E-2</v>
      </c>
      <c r="F237" s="491">
        <f>(grains_table[[#This Row],[Extract %]]*46.214)/1000+1</f>
        <v>1.0392819</v>
      </c>
      <c r="G237" s="475">
        <v>2.1</v>
      </c>
      <c r="H237" s="492">
        <f>(240+16)/3.5</f>
        <v>73.142857142857139</v>
      </c>
      <c r="I237" s="477" t="s">
        <v>1880</v>
      </c>
    </row>
    <row r="238" spans="1:9" ht="13.2" customHeight="1" x14ac:dyDescent="0.25">
      <c r="A238" s="472" t="s">
        <v>1425</v>
      </c>
      <c r="B238" s="472" t="s">
        <v>1250</v>
      </c>
      <c r="C238" s="399" t="s">
        <v>89</v>
      </c>
      <c r="D238" s="473">
        <v>0.82899999999999996</v>
      </c>
      <c r="E238" s="473">
        <v>0.04</v>
      </c>
      <c r="F238" s="491">
        <f>(grains_table[[#This Row],[Extract %]]*46.214)/1000+1</f>
        <v>1.038311406</v>
      </c>
      <c r="G238" s="475">
        <v>2.0499999999999998</v>
      </c>
      <c r="H238" s="492"/>
      <c r="I238" s="478" t="s">
        <v>1282</v>
      </c>
    </row>
    <row r="239" spans="1:9" ht="13.2" customHeight="1" x14ac:dyDescent="0.25">
      <c r="A239" s="472" t="s">
        <v>1426</v>
      </c>
      <c r="B239" s="472" t="s">
        <v>1252</v>
      </c>
      <c r="C239" s="399" t="s">
        <v>89</v>
      </c>
      <c r="D239" s="473">
        <v>0.83</v>
      </c>
      <c r="E239" s="473">
        <v>6.5000000000000002E-2</v>
      </c>
      <c r="F239" s="491">
        <f>(grains_table[[#This Row],[Extract %]]*46.214)/1000+1</f>
        <v>1.03835762</v>
      </c>
      <c r="G239" s="475">
        <v>1.6</v>
      </c>
      <c r="H239" s="492"/>
      <c r="I239" s="477" t="s">
        <v>1287</v>
      </c>
    </row>
    <row r="240" spans="1:9" ht="13.2" customHeight="1" x14ac:dyDescent="0.25">
      <c r="A240" s="472" t="s">
        <v>1427</v>
      </c>
      <c r="B240" s="472" t="s">
        <v>1249</v>
      </c>
      <c r="C240" s="399" t="s">
        <v>89</v>
      </c>
      <c r="D240" s="473"/>
      <c r="E240" s="473"/>
      <c r="F240" s="491">
        <f>(grains_table[[#This Row],[Extract %]]*46.214)/1000+1</f>
        <v>1</v>
      </c>
      <c r="G240" s="475">
        <v>7.15</v>
      </c>
      <c r="H240" s="492"/>
      <c r="I240" s="477" t="s">
        <v>1290</v>
      </c>
    </row>
    <row r="241" spans="1:9" ht="13.2" customHeight="1" x14ac:dyDescent="0.25">
      <c r="A241" s="472" t="s">
        <v>1428</v>
      </c>
      <c r="B241" s="472" t="s">
        <v>1251</v>
      </c>
      <c r="C241" s="399" t="s">
        <v>89</v>
      </c>
      <c r="D241" s="473">
        <v>0.81</v>
      </c>
      <c r="E241" s="473">
        <v>0.04</v>
      </c>
      <c r="F241" s="491">
        <f>(grains_table[[#This Row],[Extract %]]*46.214)/1000+1</f>
        <v>1.03743334</v>
      </c>
      <c r="G241" s="475">
        <v>2.2999999999999998</v>
      </c>
      <c r="H241" s="492">
        <v>180</v>
      </c>
      <c r="I241" s="478" t="s">
        <v>1303</v>
      </c>
    </row>
    <row r="242" spans="1:9" ht="13.2" customHeight="1" x14ac:dyDescent="0.25">
      <c r="A242" s="472" t="s">
        <v>1429</v>
      </c>
      <c r="B242" s="472" t="s">
        <v>1251</v>
      </c>
      <c r="C242" s="399" t="s">
        <v>89</v>
      </c>
      <c r="D242" s="473">
        <v>0.85</v>
      </c>
      <c r="E242" s="473">
        <v>0.04</v>
      </c>
      <c r="F242" s="491">
        <f>(grains_table[[#This Row],[Extract %]]*46.214)/1000+1</f>
        <v>1.0392819</v>
      </c>
      <c r="G242" s="475">
        <v>2.5</v>
      </c>
      <c r="H242" s="492">
        <v>160</v>
      </c>
      <c r="I242" s="478" t="s">
        <v>1303</v>
      </c>
    </row>
    <row r="243" spans="1:9" x14ac:dyDescent="0.25">
      <c r="A243" s="479"/>
      <c r="B243" s="479"/>
      <c r="C243" s="479"/>
      <c r="D243" s="479"/>
      <c r="E243" s="479"/>
      <c r="F243" s="475"/>
      <c r="G243" s="475"/>
      <c r="H243" s="476"/>
      <c r="I243" s="479"/>
    </row>
    <row r="244" spans="1:9" x14ac:dyDescent="0.25">
      <c r="A244" s="479"/>
      <c r="B244" s="479"/>
      <c r="C244" s="479"/>
      <c r="D244" s="479"/>
      <c r="E244" s="479"/>
      <c r="F244" s="475"/>
      <c r="G244" s="475"/>
      <c r="H244" s="476"/>
      <c r="I244" s="479"/>
    </row>
    <row r="245" spans="1:9" x14ac:dyDescent="0.25">
      <c r="A245" s="479"/>
      <c r="B245" s="479"/>
      <c r="C245" s="479"/>
      <c r="D245" s="479"/>
      <c r="E245" s="479"/>
      <c r="F245" s="475"/>
      <c r="G245" s="475"/>
      <c r="H245" s="476"/>
      <c r="I245" s="479"/>
    </row>
    <row r="246" spans="1:9" x14ac:dyDescent="0.25">
      <c r="A246" s="479"/>
      <c r="B246" s="472"/>
      <c r="C246" s="472"/>
      <c r="D246" s="472"/>
      <c r="E246" s="472"/>
      <c r="F246" s="475"/>
      <c r="G246" s="475"/>
      <c r="H246" s="476"/>
      <c r="I246" s="479"/>
    </row>
    <row r="247" spans="1:9" x14ac:dyDescent="0.25">
      <c r="A247" s="479"/>
      <c r="B247" s="472"/>
      <c r="C247" s="472"/>
      <c r="D247" s="472"/>
      <c r="E247" s="472"/>
      <c r="F247" s="475"/>
      <c r="G247" s="475"/>
      <c r="H247" s="476"/>
      <c r="I247" s="479"/>
    </row>
    <row r="248" spans="1:9" x14ac:dyDescent="0.25">
      <c r="A248" s="479"/>
      <c r="B248" s="472"/>
      <c r="C248" s="472"/>
      <c r="D248" s="472"/>
      <c r="E248" s="472"/>
      <c r="F248" s="475"/>
      <c r="G248" s="475"/>
      <c r="H248" s="476"/>
      <c r="I248" s="479"/>
    </row>
    <row r="249" spans="1:9" x14ac:dyDescent="0.25">
      <c r="A249" s="479"/>
      <c r="B249" s="479"/>
      <c r="C249" s="479"/>
      <c r="D249" s="479"/>
      <c r="E249" s="479"/>
      <c r="F249" s="475"/>
      <c r="G249" s="475"/>
      <c r="H249" s="476"/>
      <c r="I249" s="479"/>
    </row>
    <row r="250" spans="1:9" x14ac:dyDescent="0.25">
      <c r="A250" s="479"/>
      <c r="B250" s="479"/>
      <c r="C250" s="479"/>
      <c r="D250" s="479"/>
      <c r="E250" s="479"/>
      <c r="F250" s="475"/>
      <c r="G250" s="475"/>
      <c r="H250" s="476"/>
      <c r="I250" s="479"/>
    </row>
    <row r="251" spans="1:9" x14ac:dyDescent="0.25">
      <c r="A251" s="479"/>
      <c r="B251" s="479"/>
      <c r="C251" s="479"/>
      <c r="D251" s="479"/>
      <c r="E251" s="479"/>
      <c r="F251" s="475"/>
      <c r="G251" s="475"/>
      <c r="H251" s="476"/>
      <c r="I251" s="479"/>
    </row>
    <row r="252" spans="1:9" x14ac:dyDescent="0.25">
      <c r="A252" s="479"/>
      <c r="B252" s="479"/>
      <c r="C252" s="479"/>
      <c r="D252" s="479"/>
      <c r="E252" s="479"/>
      <c r="F252" s="475"/>
      <c r="G252" s="475"/>
      <c r="H252" s="476"/>
      <c r="I252" s="479"/>
    </row>
    <row r="253" spans="1:9" x14ac:dyDescent="0.25">
      <c r="A253" s="479"/>
      <c r="B253" s="479"/>
      <c r="C253" s="479"/>
      <c r="D253" s="479"/>
      <c r="E253" s="479"/>
      <c r="F253" s="475"/>
      <c r="G253" s="475"/>
      <c r="H253" s="476"/>
      <c r="I253" s="479"/>
    </row>
    <row r="254" spans="1:9" x14ac:dyDescent="0.25">
      <c r="A254" s="479"/>
      <c r="B254" s="479"/>
      <c r="C254" s="479"/>
      <c r="D254" s="479"/>
      <c r="E254" s="479"/>
      <c r="F254" s="475"/>
      <c r="G254" s="475"/>
      <c r="H254" s="476"/>
      <c r="I254" s="479"/>
    </row>
    <row r="255" spans="1:9" x14ac:dyDescent="0.25">
      <c r="A255" s="479"/>
      <c r="B255" s="479"/>
      <c r="C255" s="479"/>
      <c r="D255" s="479"/>
      <c r="E255" s="479"/>
      <c r="F255" s="475"/>
      <c r="G255" s="475"/>
      <c r="H255" s="476"/>
      <c r="I255" s="479"/>
    </row>
    <row r="256" spans="1:9" x14ac:dyDescent="0.25">
      <c r="A256" s="479"/>
      <c r="B256" s="479"/>
      <c r="C256" s="479"/>
      <c r="D256" s="479"/>
      <c r="E256" s="479"/>
      <c r="F256" s="475"/>
      <c r="G256" s="475"/>
      <c r="H256" s="476"/>
      <c r="I256" s="479"/>
    </row>
    <row r="257" spans="1:9" x14ac:dyDescent="0.25">
      <c r="A257" s="479"/>
      <c r="B257" s="479"/>
      <c r="C257" s="479"/>
      <c r="D257" s="479"/>
      <c r="E257" s="479"/>
      <c r="F257" s="475"/>
      <c r="G257" s="475"/>
      <c r="H257" s="475"/>
      <c r="I257" s="479"/>
    </row>
    <row r="258" spans="1:9" x14ac:dyDescent="0.25">
      <c r="A258" s="479"/>
      <c r="B258" s="479"/>
      <c r="C258" s="479"/>
      <c r="D258" s="479"/>
      <c r="E258" s="479"/>
      <c r="F258" s="475"/>
      <c r="G258" s="475"/>
      <c r="H258" s="475"/>
      <c r="I258" s="479"/>
    </row>
    <row r="259" spans="1:9" x14ac:dyDescent="0.25">
      <c r="A259" s="479"/>
      <c r="B259" s="479"/>
      <c r="C259" s="479"/>
      <c r="D259" s="479"/>
      <c r="E259" s="479"/>
      <c r="F259" s="475"/>
      <c r="G259" s="475"/>
      <c r="H259" s="475"/>
      <c r="I259" s="479"/>
    </row>
    <row r="260" spans="1:9" x14ac:dyDescent="0.25">
      <c r="A260" s="479"/>
      <c r="B260" s="479"/>
      <c r="C260" s="479"/>
      <c r="D260" s="479"/>
      <c r="E260" s="479"/>
      <c r="F260" s="475"/>
      <c r="G260" s="475"/>
      <c r="H260" s="475"/>
      <c r="I260" s="479"/>
    </row>
    <row r="261" spans="1:9" x14ac:dyDescent="0.25">
      <c r="A261" s="479"/>
      <c r="B261" s="479"/>
      <c r="C261" s="479"/>
      <c r="D261" s="479"/>
      <c r="E261" s="479"/>
      <c r="F261" s="475"/>
      <c r="G261" s="475"/>
      <c r="H261" s="475"/>
      <c r="I261" s="479"/>
    </row>
    <row r="262" spans="1:9" x14ac:dyDescent="0.25">
      <c r="A262" s="479"/>
      <c r="B262" s="479"/>
      <c r="C262" s="479"/>
      <c r="D262" s="479"/>
      <c r="E262" s="479"/>
      <c r="F262" s="475"/>
      <c r="G262" s="475"/>
      <c r="H262" s="475"/>
      <c r="I262" s="479"/>
    </row>
    <row r="263" spans="1:9" x14ac:dyDescent="0.25">
      <c r="A263" s="479"/>
      <c r="B263" s="479"/>
      <c r="C263" s="479"/>
      <c r="D263" s="479"/>
      <c r="E263" s="479"/>
      <c r="F263" s="475"/>
      <c r="G263" s="475"/>
      <c r="H263" s="475"/>
      <c r="I263" s="479"/>
    </row>
    <row r="264" spans="1:9" x14ac:dyDescent="0.25">
      <c r="A264" s="479"/>
      <c r="B264" s="479"/>
      <c r="C264" s="479"/>
      <c r="D264" s="479"/>
      <c r="E264" s="479"/>
      <c r="F264" s="475"/>
      <c r="G264" s="475"/>
      <c r="H264" s="475"/>
      <c r="I264" s="479"/>
    </row>
    <row r="265" spans="1:9" x14ac:dyDescent="0.25">
      <c r="A265" s="479"/>
      <c r="B265" s="479"/>
      <c r="C265" s="479"/>
      <c r="D265" s="479"/>
      <c r="E265" s="479"/>
      <c r="F265" s="475"/>
      <c r="G265" s="475"/>
      <c r="H265" s="475"/>
      <c r="I265" s="479"/>
    </row>
    <row r="266" spans="1:9" x14ac:dyDescent="0.25">
      <c r="A266" s="479"/>
      <c r="B266" s="479"/>
      <c r="C266" s="479"/>
      <c r="D266" s="479"/>
      <c r="E266" s="479"/>
      <c r="F266" s="475"/>
      <c r="G266" s="475"/>
      <c r="H266" s="475"/>
      <c r="I266" s="479"/>
    </row>
    <row r="267" spans="1:9" x14ac:dyDescent="0.25">
      <c r="A267" s="479"/>
      <c r="B267" s="479"/>
      <c r="C267" s="479"/>
      <c r="D267" s="479"/>
      <c r="E267" s="479"/>
      <c r="F267" s="475"/>
      <c r="G267" s="475"/>
      <c r="H267" s="475"/>
      <c r="I267" s="479"/>
    </row>
    <row r="268" spans="1:9" x14ac:dyDescent="0.25">
      <c r="A268" s="479"/>
      <c r="B268" s="479"/>
      <c r="C268" s="479"/>
      <c r="D268" s="479"/>
      <c r="E268" s="479"/>
      <c r="F268" s="475"/>
      <c r="G268" s="475"/>
      <c r="H268" s="475"/>
      <c r="I268" s="479"/>
    </row>
    <row r="269" spans="1:9" x14ac:dyDescent="0.25">
      <c r="A269" s="479"/>
      <c r="B269" s="479"/>
      <c r="C269" s="479"/>
      <c r="D269" s="479"/>
      <c r="E269" s="479"/>
      <c r="F269" s="475"/>
      <c r="G269" s="475"/>
      <c r="H269" s="475"/>
      <c r="I269" s="479"/>
    </row>
    <row r="270" spans="1:9" x14ac:dyDescent="0.25">
      <c r="A270" s="479"/>
      <c r="B270" s="479"/>
      <c r="C270" s="479"/>
      <c r="D270" s="479"/>
      <c r="E270" s="479"/>
      <c r="F270" s="475"/>
      <c r="G270" s="475"/>
      <c r="H270" s="475"/>
      <c r="I270" s="479"/>
    </row>
    <row r="271" spans="1:9" x14ac:dyDescent="0.25">
      <c r="A271" s="479"/>
      <c r="B271" s="479"/>
      <c r="C271" s="479"/>
      <c r="D271" s="479"/>
      <c r="E271" s="479"/>
      <c r="F271" s="475"/>
      <c r="G271" s="475"/>
      <c r="H271" s="475"/>
      <c r="I271" s="479"/>
    </row>
    <row r="272" spans="1:9" x14ac:dyDescent="0.25">
      <c r="A272" s="479"/>
      <c r="B272" s="479"/>
      <c r="C272" s="479"/>
      <c r="D272" s="479"/>
      <c r="E272" s="479"/>
      <c r="F272" s="475"/>
      <c r="G272" s="475"/>
      <c r="H272" s="475"/>
      <c r="I272" s="479"/>
    </row>
    <row r="273" spans="1:9" x14ac:dyDescent="0.25">
      <c r="A273" s="479"/>
      <c r="B273" s="479"/>
      <c r="C273" s="479"/>
      <c r="D273" s="479"/>
      <c r="E273" s="479"/>
      <c r="F273" s="475"/>
      <c r="G273" s="475"/>
      <c r="H273" s="475"/>
      <c r="I273" s="479"/>
    </row>
    <row r="274" spans="1:9" x14ac:dyDescent="0.25">
      <c r="A274" s="479"/>
      <c r="B274" s="479"/>
      <c r="C274" s="479"/>
      <c r="D274" s="479"/>
      <c r="E274" s="479"/>
      <c r="F274" s="475"/>
      <c r="G274" s="475"/>
      <c r="H274" s="475"/>
      <c r="I274" s="479"/>
    </row>
    <row r="275" spans="1:9" x14ac:dyDescent="0.25">
      <c r="A275" s="479"/>
      <c r="B275" s="479"/>
      <c r="C275" s="479"/>
      <c r="D275" s="479"/>
      <c r="E275" s="479"/>
      <c r="F275" s="475"/>
      <c r="G275" s="475"/>
      <c r="H275" s="475"/>
      <c r="I275" s="479"/>
    </row>
    <row r="276" spans="1:9" x14ac:dyDescent="0.25">
      <c r="A276" s="479"/>
      <c r="B276" s="479"/>
      <c r="C276" s="479"/>
      <c r="D276" s="479"/>
      <c r="E276" s="479"/>
      <c r="F276" s="475"/>
      <c r="G276" s="475"/>
      <c r="H276" s="475"/>
      <c r="I276" s="479"/>
    </row>
    <row r="277" spans="1:9" x14ac:dyDescent="0.25">
      <c r="A277" s="479"/>
      <c r="B277" s="479"/>
      <c r="C277" s="479"/>
      <c r="D277" s="479"/>
      <c r="E277" s="479"/>
      <c r="F277" s="475"/>
      <c r="G277" s="475"/>
      <c r="H277" s="475"/>
      <c r="I277" s="479"/>
    </row>
    <row r="278" spans="1:9" x14ac:dyDescent="0.25">
      <c r="A278" s="479"/>
      <c r="B278" s="479"/>
      <c r="C278" s="479"/>
      <c r="D278" s="479"/>
      <c r="E278" s="479"/>
      <c r="F278" s="475"/>
      <c r="G278" s="475"/>
      <c r="H278" s="475"/>
      <c r="I278" s="479"/>
    </row>
    <row r="279" spans="1:9" x14ac:dyDescent="0.25">
      <c r="A279" s="479"/>
      <c r="B279" s="479"/>
      <c r="C279" s="479"/>
      <c r="D279" s="479"/>
      <c r="E279" s="479"/>
      <c r="F279" s="475"/>
      <c r="G279" s="475"/>
      <c r="H279" s="475"/>
      <c r="I279" s="479"/>
    </row>
    <row r="280" spans="1:9" x14ac:dyDescent="0.25">
      <c r="A280" s="479"/>
      <c r="B280" s="479"/>
      <c r="C280" s="479"/>
      <c r="D280" s="479"/>
      <c r="E280" s="479"/>
      <c r="F280" s="475"/>
      <c r="G280" s="475"/>
      <c r="H280" s="475"/>
      <c r="I280" s="479"/>
    </row>
    <row r="281" spans="1:9" x14ac:dyDescent="0.25">
      <c r="A281" s="479"/>
      <c r="B281" s="479"/>
      <c r="C281" s="479"/>
      <c r="D281" s="479"/>
      <c r="E281" s="479"/>
      <c r="F281" s="475"/>
      <c r="G281" s="475"/>
      <c r="H281" s="475"/>
      <c r="I281" s="479"/>
    </row>
    <row r="282" spans="1:9" x14ac:dyDescent="0.25">
      <c r="A282" s="479"/>
      <c r="B282" s="479"/>
      <c r="C282" s="479"/>
      <c r="D282" s="479"/>
      <c r="E282" s="479"/>
      <c r="F282" s="475"/>
      <c r="G282" s="475"/>
      <c r="H282" s="475"/>
      <c r="I282" s="479"/>
    </row>
    <row r="283" spans="1:9" x14ac:dyDescent="0.25">
      <c r="A283" s="479"/>
      <c r="B283" s="479"/>
      <c r="C283" s="479"/>
      <c r="D283" s="479"/>
      <c r="E283" s="479"/>
      <c r="F283" s="475"/>
      <c r="G283" s="475"/>
      <c r="H283" s="475"/>
      <c r="I283" s="479"/>
    </row>
    <row r="284" spans="1:9" x14ac:dyDescent="0.25">
      <c r="A284" s="479"/>
      <c r="B284" s="479"/>
      <c r="C284" s="479"/>
      <c r="D284" s="479"/>
      <c r="E284" s="479"/>
      <c r="F284" s="475"/>
      <c r="G284" s="475"/>
      <c r="H284" s="475"/>
      <c r="I284" s="479"/>
    </row>
    <row r="285" spans="1:9" x14ac:dyDescent="0.25">
      <c r="A285" s="479"/>
      <c r="B285" s="479"/>
      <c r="C285" s="479"/>
      <c r="D285" s="479"/>
      <c r="E285" s="479"/>
      <c r="F285" s="475"/>
      <c r="G285" s="475"/>
      <c r="H285" s="475"/>
      <c r="I285" s="479"/>
    </row>
    <row r="286" spans="1:9" x14ac:dyDescent="0.25">
      <c r="A286" s="479"/>
      <c r="B286" s="479"/>
      <c r="C286" s="479"/>
      <c r="D286" s="479"/>
      <c r="E286" s="479"/>
      <c r="F286" s="475"/>
      <c r="G286" s="475"/>
      <c r="H286" s="475"/>
      <c r="I286" s="479"/>
    </row>
    <row r="287" spans="1:9" x14ac:dyDescent="0.25">
      <c r="A287" s="479"/>
      <c r="B287" s="479"/>
      <c r="C287" s="479"/>
      <c r="D287" s="479"/>
      <c r="E287" s="479"/>
      <c r="F287" s="475"/>
      <c r="G287" s="475"/>
      <c r="H287" s="475"/>
      <c r="I287" s="479"/>
    </row>
    <row r="288" spans="1:9" x14ac:dyDescent="0.25">
      <c r="A288" s="479"/>
      <c r="B288" s="479"/>
      <c r="C288" s="479"/>
      <c r="D288" s="479"/>
      <c r="E288" s="479"/>
      <c r="F288" s="475"/>
      <c r="G288" s="475"/>
      <c r="H288" s="475"/>
      <c r="I288" s="479"/>
    </row>
    <row r="289" spans="1:9" x14ac:dyDescent="0.25">
      <c r="A289" s="479"/>
      <c r="B289" s="479"/>
      <c r="C289" s="479"/>
      <c r="D289" s="479"/>
      <c r="E289" s="479"/>
      <c r="F289" s="475"/>
      <c r="G289" s="475"/>
      <c r="H289" s="475"/>
      <c r="I289" s="479"/>
    </row>
    <row r="290" spans="1:9" x14ac:dyDescent="0.25">
      <c r="A290" s="479"/>
      <c r="B290" s="479"/>
      <c r="C290" s="479"/>
      <c r="D290" s="479"/>
      <c r="E290" s="479"/>
      <c r="F290" s="475"/>
      <c r="G290" s="475"/>
      <c r="H290" s="475"/>
      <c r="I290" s="479"/>
    </row>
    <row r="291" spans="1:9" x14ac:dyDescent="0.25">
      <c r="A291" s="479"/>
      <c r="B291" s="479"/>
      <c r="C291" s="479"/>
      <c r="D291" s="479"/>
      <c r="E291" s="479"/>
      <c r="F291" s="475"/>
      <c r="G291" s="475"/>
      <c r="H291" s="475"/>
      <c r="I291" s="479"/>
    </row>
    <row r="292" spans="1:9" x14ac:dyDescent="0.25">
      <c r="A292" s="479"/>
      <c r="B292" s="479"/>
      <c r="C292" s="479"/>
      <c r="D292" s="479"/>
      <c r="E292" s="479"/>
      <c r="F292" s="475"/>
      <c r="G292" s="475"/>
      <c r="H292" s="475"/>
      <c r="I292" s="479"/>
    </row>
    <row r="293" spans="1:9" x14ac:dyDescent="0.25">
      <c r="A293" s="479"/>
      <c r="B293" s="479"/>
      <c r="C293" s="479"/>
      <c r="D293" s="479"/>
      <c r="E293" s="479"/>
      <c r="F293" s="475"/>
      <c r="G293" s="475"/>
      <c r="H293" s="475"/>
      <c r="I293" s="479"/>
    </row>
    <row r="294" spans="1:9" x14ac:dyDescent="0.25">
      <c r="A294" s="479"/>
      <c r="B294" s="479"/>
      <c r="C294" s="479"/>
      <c r="D294" s="479"/>
      <c r="E294" s="479"/>
      <c r="F294" s="475"/>
      <c r="G294" s="475"/>
      <c r="H294" s="475"/>
      <c r="I294" s="479"/>
    </row>
    <row r="295" spans="1:9" x14ac:dyDescent="0.25">
      <c r="A295" s="479"/>
      <c r="B295" s="479"/>
      <c r="C295" s="479"/>
      <c r="D295" s="479"/>
      <c r="E295" s="479"/>
      <c r="F295" s="475"/>
      <c r="G295" s="475"/>
      <c r="H295" s="475"/>
      <c r="I295" s="479"/>
    </row>
    <row r="296" spans="1:9" x14ac:dyDescent="0.25">
      <c r="A296" s="479"/>
      <c r="B296" s="479"/>
      <c r="C296" s="479"/>
      <c r="D296" s="479"/>
      <c r="E296" s="479"/>
      <c r="F296" s="475"/>
      <c r="G296" s="475"/>
      <c r="H296" s="475"/>
      <c r="I296" s="479"/>
    </row>
    <row r="297" spans="1:9" x14ac:dyDescent="0.25">
      <c r="A297" s="479"/>
      <c r="B297" s="479"/>
      <c r="C297" s="479"/>
      <c r="D297" s="479"/>
      <c r="E297" s="479"/>
      <c r="F297" s="475"/>
      <c r="G297" s="475"/>
      <c r="H297" s="475"/>
      <c r="I297" s="479"/>
    </row>
    <row r="298" spans="1:9" x14ac:dyDescent="0.25">
      <c r="A298" s="479"/>
      <c r="B298" s="479"/>
      <c r="C298" s="479"/>
      <c r="D298" s="479"/>
      <c r="E298" s="479"/>
      <c r="F298" s="475"/>
      <c r="G298" s="475"/>
      <c r="H298" s="475"/>
      <c r="I298" s="479"/>
    </row>
    <row r="299" spans="1:9" x14ac:dyDescent="0.25">
      <c r="A299" s="479"/>
      <c r="B299" s="479"/>
      <c r="C299" s="479"/>
      <c r="D299" s="479"/>
      <c r="E299" s="479"/>
      <c r="F299" s="475"/>
      <c r="G299" s="475"/>
      <c r="H299" s="475"/>
      <c r="I299" s="479"/>
    </row>
    <row r="300" spans="1:9" x14ac:dyDescent="0.25">
      <c r="A300" s="479"/>
      <c r="B300" s="479"/>
      <c r="C300" s="479"/>
      <c r="D300" s="479"/>
      <c r="E300" s="479"/>
      <c r="F300" s="475"/>
      <c r="G300" s="475"/>
      <c r="H300" s="475"/>
      <c r="I300" s="479"/>
    </row>
    <row r="301" spans="1:9" x14ac:dyDescent="0.25">
      <c r="A301" s="479"/>
      <c r="B301" s="479"/>
      <c r="C301" s="479"/>
      <c r="D301" s="479"/>
      <c r="E301" s="479"/>
      <c r="F301" s="475"/>
      <c r="G301" s="475"/>
      <c r="H301" s="475"/>
      <c r="I301" s="479"/>
    </row>
    <row r="302" spans="1:9" x14ac:dyDescent="0.25">
      <c r="A302" s="479"/>
      <c r="B302" s="479"/>
      <c r="C302" s="479"/>
      <c r="D302" s="479"/>
      <c r="E302" s="479"/>
      <c r="F302" s="475"/>
      <c r="G302" s="475"/>
      <c r="H302" s="475"/>
      <c r="I302" s="479"/>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114 C115:C242" xr:uid="{00000000-0002-0000-0600-000000000000}">
      <formula1>"Grain,Sugar"</formula1>
    </dataValidation>
    <dataValidation showInputMessage="1" showErrorMessage="1" sqref="D2:E114 D115:E242"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0"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4" r:id="rId20" xr:uid="{00000000-0004-0000-0600-000013000000}"/>
    <hyperlink ref="I182" r:id="rId21" xr:uid="{00000000-0004-0000-0600-000014000000}"/>
    <hyperlink ref="I185" r:id="rId22" xr:uid="{00000000-0004-0000-0600-000015000000}"/>
    <hyperlink ref="I179" r:id="rId23" xr:uid="{00000000-0004-0000-0600-000016000000}"/>
    <hyperlink ref="I169" r:id="rId24" xr:uid="{00000000-0004-0000-0600-000017000000}"/>
    <hyperlink ref="I126" r:id="rId25" xr:uid="{00000000-0004-0000-0600-000018000000}"/>
    <hyperlink ref="I238" r:id="rId26" xr:uid="{00000000-0004-0000-0600-000019000000}"/>
    <hyperlink ref="I125" r:id="rId27" xr:uid="{00000000-0004-0000-0600-00001A000000}"/>
    <hyperlink ref="I70" r:id="rId28" xr:uid="{00000000-0004-0000-0600-00001B000000}"/>
    <hyperlink ref="I198" r:id="rId29" xr:uid="{00000000-0004-0000-0600-00001C000000}"/>
    <hyperlink ref="I85" r:id="rId30" xr:uid="{00000000-0004-0000-0600-00001D000000}"/>
    <hyperlink ref="I160" r:id="rId31" xr:uid="{00000000-0004-0000-0600-00001E000000}"/>
    <hyperlink ref="I239"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3" r:id="rId44" xr:uid="{00000000-0004-0000-0600-00002B000000}"/>
    <hyperlink ref="I194" r:id="rId45" xr:uid="{00000000-0004-0000-0600-00002C000000}"/>
    <hyperlink ref="I5" r:id="rId46" xr:uid="{00000000-0004-0000-0600-00002D000000}"/>
    <hyperlink ref="I129" r:id="rId47" xr:uid="{00000000-0004-0000-0600-00002E000000}"/>
    <hyperlink ref="I2" r:id="rId48" xr:uid="{00000000-0004-0000-0600-00002F000000}"/>
    <hyperlink ref="I203"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0" r:id="rId58" xr:uid="{00000000-0004-0000-0600-00003A000000}"/>
    <hyperlink ref="I140" r:id="rId59" xr:uid="{00000000-0004-0000-0600-00003B000000}"/>
    <hyperlink ref="I165" r:id="rId60" location="Brewers" xr:uid="{00000000-0004-0000-0600-00003C000000}"/>
    <hyperlink ref="I161" r:id="rId61" xr:uid="{00000000-0004-0000-0600-00003D000000}"/>
    <hyperlink ref="I170" r:id="rId62" xr:uid="{00000000-0004-0000-0600-00003E000000}"/>
    <hyperlink ref="I192" r:id="rId63" xr:uid="{00000000-0004-0000-0600-00003F000000}"/>
    <hyperlink ref="I211" r:id="rId64" xr:uid="{00000000-0004-0000-0600-000040000000}"/>
    <hyperlink ref="I231" r:id="rId65" xr:uid="{00000000-0004-0000-0600-000041000000}"/>
    <hyperlink ref="I240" r:id="rId66" xr:uid="{00000000-0004-0000-0600-000042000000}"/>
    <hyperlink ref="I114" r:id="rId67" location="Aromatic" xr:uid="{00000000-0004-0000-0600-000043000000}"/>
    <hyperlink ref="I183"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4" r:id="rId83" location="2RowChocolate" xr:uid="{00000000-0004-0000-0600-000053000000}"/>
    <hyperlink ref="I190"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28" r:id="rId89" location="Goldpils" xr:uid="{00000000-0004-0000-0600-000059000000}"/>
    <hyperlink ref="I144" r:id="rId90" xr:uid="{00000000-0004-0000-0600-00005A000000}"/>
    <hyperlink ref="I241" r:id="rId91" xr:uid="{00000000-0004-0000-0600-00005B000000}"/>
    <hyperlink ref="I242"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27"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3" r:id="rId104" xr:uid="{00000000-0004-0000-0600-000068000000}"/>
    <hyperlink ref="I234" r:id="rId105" xr:uid="{00000000-0004-0000-0600-000069000000}"/>
    <hyperlink ref="I212" r:id="rId106" xr:uid="{00000000-0004-0000-0600-00006A000000}"/>
    <hyperlink ref="I232"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5" r:id="rId117" xr:uid="{00000000-0004-0000-0600-000075000000}"/>
    <hyperlink ref="I176" r:id="rId118" xr:uid="{00000000-0004-0000-0600-000076000000}"/>
    <hyperlink ref="I76" r:id="rId119" xr:uid="{00000000-0004-0000-0600-000077000000}"/>
    <hyperlink ref="I3" r:id="rId120" xr:uid="{00000000-0004-0000-0600-000078000000}"/>
    <hyperlink ref="I205" r:id="rId121" xr:uid="{00000000-0004-0000-0600-000079000000}"/>
    <hyperlink ref="I204" r:id="rId122" xr:uid="{00000000-0004-0000-0600-00007A000000}"/>
    <hyperlink ref="I171"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2" r:id="rId139" xr:uid="{00000000-0004-0000-0600-00008C000000}"/>
    <hyperlink ref="I189" r:id="rId140" xr:uid="{00000000-0004-0000-0600-00008D000000}"/>
    <hyperlink ref="I191" r:id="rId141" xr:uid="{00000000-0004-0000-0600-00008E000000}"/>
    <hyperlink ref="I14" r:id="rId142" xr:uid="{00000000-0004-0000-0600-00008F000000}"/>
    <hyperlink ref="I200" r:id="rId143" xr:uid="{00000000-0004-0000-0600-000090000000}"/>
    <hyperlink ref="I202" r:id="rId144" xr:uid="{00000000-0004-0000-0600-000091000000}"/>
    <hyperlink ref="I206" r:id="rId145" xr:uid="{00000000-0004-0000-0600-000092000000}"/>
    <hyperlink ref="I208" r:id="rId146" xr:uid="{00000000-0004-0000-0600-000093000000}"/>
    <hyperlink ref="I216" r:id="rId147" display="http://www.beersmith.com/Grains/Grains/GrainList.htm" xr:uid="{00000000-0004-0000-0600-000094000000}"/>
    <hyperlink ref="I215" r:id="rId148" display="http://www.beersmith.com/Grains/Grains/GrainList.htm" xr:uid="{00000000-0004-0000-0600-000095000000}"/>
    <hyperlink ref="I217" r:id="rId149" display="http://www.beersmith.com/Grains/Grains/GrainList.htm" xr:uid="{00000000-0004-0000-0600-000096000000}"/>
    <hyperlink ref="I214" r:id="rId150" xr:uid="{00000000-0004-0000-0600-000097000000}"/>
    <hyperlink ref="I213" r:id="rId151" xr:uid="{00000000-0004-0000-0600-000098000000}"/>
    <hyperlink ref="I218" r:id="rId152" display="http://www.beersmith.com/Grains/Grains/GrainList.htm" xr:uid="{00000000-0004-0000-0600-000099000000}"/>
    <hyperlink ref="I220" r:id="rId153" display="http://www.beersmith.com/Grains/Grains/GrainList.htm" xr:uid="{00000000-0004-0000-0600-00009A000000}"/>
    <hyperlink ref="I219" r:id="rId154" xr:uid="{00000000-0004-0000-0600-00009B000000}"/>
    <hyperlink ref="I221" r:id="rId155" xr:uid="{00000000-0004-0000-0600-00009C000000}"/>
    <hyperlink ref="I222" r:id="rId156" display="http://www.beersmith.com/Grains/Grains/GrainList.htm" xr:uid="{00000000-0004-0000-0600-00009D000000}"/>
    <hyperlink ref="I223" r:id="rId157" display="http://www.beersmith.com/Grains/Grains/GrainList.htm" xr:uid="{00000000-0004-0000-0600-00009E000000}"/>
    <hyperlink ref="I224" r:id="rId158" display="http://www.beersmith.com/Grains/Grains/GrainList.htm" xr:uid="{00000000-0004-0000-0600-00009F000000}"/>
    <hyperlink ref="I225" r:id="rId159" display="http://www.beersmith.com/Grains/Grains/GrainList.htm" xr:uid="{00000000-0004-0000-0600-0000A0000000}"/>
    <hyperlink ref="I226" r:id="rId160" location="TorrifiedWheat" xr:uid="{00000000-0004-0000-0600-0000A1000000}"/>
    <hyperlink ref="I180" r:id="rId161" xr:uid="{00000000-0004-0000-0600-0000A2000000}"/>
    <hyperlink ref="I181" r:id="rId162" xr:uid="{00000000-0004-0000-0600-0000A3000000}"/>
    <hyperlink ref="I178" r:id="rId163" xr:uid="{00000000-0004-0000-0600-0000A4000000}"/>
    <hyperlink ref="I177"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7" r:id="rId182" xr:uid="{BC7D9F85-5E58-4871-9070-80A69172F7EA}"/>
    <hyperlink ref="I167"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Common Variables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2021-11-05T12:44:21Z</cp:lastPrinted>
  <dcterms:created xsi:type="dcterms:W3CDTF">2003-11-09T22:26:20Z</dcterms:created>
  <dcterms:modified xsi:type="dcterms:W3CDTF">2021-11-05T12:44:26Z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