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96DAC735-BEBD-4D4C-8E50-3525512013A2}" xr6:coauthVersionLast="47" xr6:coauthVersionMax="47" xr10:uidLastSave="{00000000-0000-0000-0000-000000000000}"/>
  <bookViews>
    <workbookView xWindow="17595" yWindow="450" windowWidth="11295" windowHeight="12660" tabRatio="805" firstSheet="1"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List'!$A$1:$I$733</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List'!$A$87:$A$229</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33" i="24" l="1"/>
  <c r="E6" i="13"/>
  <c r="E7" i="13"/>
  <c r="E8" i="13"/>
  <c r="E9" i="13"/>
  <c r="E10" i="13"/>
  <c r="E11" i="13"/>
  <c r="E12" i="13"/>
  <c r="E13" i="13"/>
  <c r="E14" i="13"/>
  <c r="E5" i="13"/>
  <c r="F192" i="24"/>
  <c r="N25" i="14"/>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4" i="24" l="1"/>
  <c r="H239" i="24" l="1"/>
  <c r="H238" i="24"/>
  <c r="H237" i="24"/>
  <c r="H208" i="24"/>
  <c r="H209" i="24"/>
  <c r="H76" i="24"/>
  <c r="H127" i="24"/>
  <c r="H116" i="24"/>
  <c r="H115" i="24"/>
  <c r="H231" i="24"/>
  <c r="H130" i="24"/>
  <c r="H150" i="24"/>
  <c r="H151" i="24"/>
  <c r="H163" i="24"/>
  <c r="F5" i="13" s="1"/>
  <c r="H242" i="24"/>
  <c r="H234" i="24"/>
  <c r="H162" i="24"/>
  <c r="H121" i="24"/>
  <c r="H213" i="24"/>
  <c r="H211" i="24"/>
  <c r="H157" i="24"/>
  <c r="H156" i="24"/>
  <c r="H9" i="24"/>
  <c r="H143" i="24"/>
  <c r="H142" i="24"/>
  <c r="H160" i="24"/>
  <c r="F119" i="24"/>
  <c r="F78" i="24" l="1"/>
  <c r="F77" i="24"/>
  <c r="G10" i="13" s="1"/>
  <c r="J12" i="28" l="1"/>
  <c r="F70" i="14" l="1"/>
  <c r="E70" i="14"/>
  <c r="J4" i="7" l="1"/>
  <c r="F4" i="7"/>
  <c r="B4" i="7"/>
  <c r="F242" i="24" l="1"/>
  <c r="F234" i="24"/>
  <c r="F75" i="24"/>
  <c r="F74" i="24"/>
  <c r="F4" i="24"/>
  <c r="F197" i="24"/>
  <c r="F63" i="24"/>
  <c r="F201" i="24"/>
  <c r="F205" i="24"/>
  <c r="F199" i="24"/>
  <c r="F168" i="24"/>
  <c r="F171" i="24"/>
  <c r="F71" i="24"/>
  <c r="F162" i="24"/>
  <c r="F121" i="24"/>
  <c r="F213" i="24"/>
  <c r="F211"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2" i="24"/>
  <c r="F231" i="24"/>
  <c r="F230" i="24"/>
  <c r="F216" i="24"/>
  <c r="F215" i="24"/>
  <c r="F214" i="24"/>
  <c r="F212" i="24"/>
  <c r="F210" i="24"/>
  <c r="F209" i="24"/>
  <c r="F208" i="24"/>
  <c r="F207" i="24"/>
  <c r="F206" i="24"/>
  <c r="F204" i="24"/>
  <c r="F203" i="24"/>
  <c r="F202" i="24"/>
  <c r="F15" i="24"/>
  <c r="F198" i="24"/>
  <c r="F14" i="24"/>
  <c r="F196" i="24"/>
  <c r="F81" i="24"/>
  <c r="F17" i="24"/>
  <c r="F195" i="24"/>
  <c r="G11" i="13" s="1"/>
  <c r="F194" i="24"/>
  <c r="F193" i="24"/>
  <c r="F191" i="24"/>
  <c r="F190" i="24"/>
  <c r="F189" i="24"/>
  <c r="F188" i="24"/>
  <c r="F187" i="24"/>
  <c r="F186" i="24"/>
  <c r="F185" i="24"/>
  <c r="F184" i="24"/>
  <c r="F183" i="24"/>
  <c r="F182" i="24"/>
  <c r="F181" i="24"/>
  <c r="F11" i="24"/>
  <c r="F180" i="24"/>
  <c r="F179" i="24"/>
  <c r="F178" i="24"/>
  <c r="F177" i="24"/>
  <c r="F176" i="24"/>
  <c r="F175" i="24"/>
  <c r="F174" i="24"/>
  <c r="F173" i="24"/>
  <c r="F172"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J13" i="28"/>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<sst xmlns="http://schemas.openxmlformats.org/spreadsheetml/2006/main" count="4796" uniqueCount="2432">
  <si>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</si>
  <si>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</si>
  <si>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</si>
  <si>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</si>
  <si>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</si>
  <si>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</si>
  <si>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</si>
  <si>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</si>
  <si>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</si>
  <si>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</si>
  <si>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</si>
  <si>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</si>
  <si>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</si>
  <si>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</si>
  <si>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</si>
  <si>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</si>
  <si>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</si>
  <si>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</si>
  <si>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</si>
  <si>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</si>
  <si>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</si>
  <si>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</si>
  <si>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</si>
  <si>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</si>
  <si>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</si>
  <si>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</si>
  <si>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</si>
  <si>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</si>
  <si>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</si>
  <si>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</si>
  <si>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</si>
  <si>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</si>
  <si>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</si>
  <si>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</si>
  <si>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</si>
  <si>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</si>
  <si>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</si>
  <si>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</si>
  <si>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</si>
  <si>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</si>
  <si>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</si>
  <si>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</si>
  <si>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</si>
  <si>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</si>
  <si>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</si>
  <si>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</si>
  <si>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</si>
  <si>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</si>
  <si>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</si>
  <si>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</si>
  <si>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</si>
  <si>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</si>
  <si>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</si>
  <si>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</si>
  <si>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</si>
  <si>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</si>
  <si>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</si>
  <si>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</si>
  <si>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</si>
  <si>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</si>
  <si>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</si>
  <si>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</si>
  <si>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</si>
  <si>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</si>
  <si>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</si>
  <si>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</si>
  <si>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</si>
  <si>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</si>
  <si>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</si>
  <si>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</si>
  <si>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</si>
  <si>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</si>
  <si>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</si>
  <si>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</si>
  <si>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</si>
  <si>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</si>
  <si>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</si>
  <si>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</si>
  <si>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</si>
  <si>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</si>
  <si>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</si>
  <si>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</si>
  <si>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</si>
  <si>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</si>
  <si>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</si>
  <si>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</si>
  <si>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</si>
  <si>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</si>
  <si>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</si>
  <si>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</si>
  <si>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</si>
  <si>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</si>
  <si>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</si>
  <si>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</si>
  <si>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</si>
  <si>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</si>
  <si>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</si>
  <si>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</si>
  <si>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</si>
  <si>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</si>
  <si>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</si>
  <si>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</si>
  <si>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</si>
  <si>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</si>
  <si>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</si>
  <si>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</si>
  <si>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</si>
  <si>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</si>
  <si>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</si>
  <si>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</si>
  <si>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</si>
  <si>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</si>
  <si>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</si>
  <si>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</si>
  <si>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</si>
  <si>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</si>
  <si>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</si>
  <si>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</si>
  <si>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</si>
  <si>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</si>
  <si>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</si>
  <si>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</si>
  <si>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</si>
  <si>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</si>
  <si>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</si>
  <si>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</si>
  <si>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</si>
  <si>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</si>
  <si>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</si>
  <si>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</si>
  <si>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</si>
  <si>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</si>
  <si>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</si>
  <si>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</si>
  <si>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</si>
  <si>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</si>
  <si>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</si>
  <si>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</si>
  <si>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</si>
  <si>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</si>
  <si>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</si>
  <si>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</si>
  <si>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</si>
  <si>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</si>
  <si>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</si>
  <si>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</si>
  <si>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</si>
  <si>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</si>
  <si>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</si>
  <si>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</si>
  <si>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</si>
  <si>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</si>
  <si>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</si>
  <si>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</si>
  <si>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</si>
  <si>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</si>
  <si>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</si>
  <si>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</si>
  <si>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</si>
  <si>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</si>
  <si>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</si>
  <si>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</si>
  <si>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</si>
  <si>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</si>
  <si>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</si>
  <si>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</si>
  <si>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</si>
  <si>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</si>
  <si>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</si>
  <si>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</si>
  <si>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</si>
  <si>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</si>
  <si>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</si>
  <si>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</si>
  <si>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</si>
  <si>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</si>
  <si>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</si>
  <si>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</si>
  <si>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</si>
  <si>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</si>
  <si>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</si>
  <si>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</si>
  <si>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</si>
  <si>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</si>
  <si>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</si>
  <si>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</si>
  <si>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</si>
  <si>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</si>
  <si>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</si>
  <si>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</si>
  <si>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</si>
  <si>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</si>
  <si>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</si>
  <si>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</si>
  <si>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</si>
  <si>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</si>
  <si>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</si>
  <si>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</si>
  <si>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</si>
  <si>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</si>
  <si>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</si>
  <si>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</si>
  <si>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</si>
  <si>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</si>
  <si>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</si>
  <si>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</si>
  <si>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</si>
  <si>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</si>
  <si>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</si>
  <si>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</si>
  <si>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</si>
  <si>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</si>
  <si>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</si>
  <si>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</si>
  <si>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</si>
  <si>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</si>
  <si>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</si>
  <si>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</si>
  <si>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</si>
  <si>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</si>
  <si>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</si>
  <si>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</si>
  <si>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</si>
  <si>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</si>
  <si>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</si>
  <si>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</si>
  <si>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</si>
  <si>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</si>
  <si>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</si>
  <si>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</si>
  <si>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</si>
  <si>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</si>
  <si>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</si>
  <si>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</si>
  <si>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</si>
  <si>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</si>
  <si>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</si>
  <si>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</si>
  <si>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</si>
  <si>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</si>
  <si>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</si>
  <si>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</si>
  <si>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</si>
  <si>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</si>
  <si>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</si>
  <si>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</si>
  <si>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</si>
  <si>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</si>
  <si>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</si>
  <si>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</si>
  <si>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</si>
  <si>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</si>
  <si>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</si>
  <si>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</si>
  <si>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</si>
  <si>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</si>
  <si>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</si>
  <si>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</si>
  <si>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</si>
  <si>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</si>
  <si>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</si>
  <si>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</si>
  <si>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</si>
  <si>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</si>
  <si>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</si>
  <si>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</si>
  <si>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</si>
  <si>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</si>
  <si>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</si>
  <si>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</si>
  <si>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</si>
  <si>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</si>
  <si>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</si>
  <si>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</si>
  <si>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</si>
  <si>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</si>
  <si>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</si>
  <si>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</si>
  <si>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</si>
  <si>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</si>
  <si>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</si>
  <si>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</si>
  <si>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</si>
  <si>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</si>
  <si>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</si>
  <si>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</si>
  <si>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</si>
  <si>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</si>
  <si>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</si>
  <si>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</si>
  <si>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</si>
  <si>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</si>
  <si>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</si>
  <si>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</si>
  <si>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</si>
  <si>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</si>
  <si>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</si>
  <si>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</si>
  <si>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</si>
  <si>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</si>
  <si>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</si>
  <si>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</si>
  <si>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</si>
  <si>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</si>
  <si>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</si>
  <si>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</si>
  <si>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</si>
  <si>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</si>
  <si>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</si>
  <si>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</si>
  <si>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</si>
  <si>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</si>
  <si>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</si>
  <si>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</si>
  <si>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</si>
  <si>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</si>
  <si>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</si>
  <si>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</si>
  <si>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</si>
  <si>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</si>
  <si>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</si>
  <si>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</si>
  <si>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</si>
  <si>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</si>
  <si>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</si>
  <si>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</si>
  <si>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</si>
  <si>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</si>
  <si>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</si>
  <si>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</si>
  <si>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</si>
  <si>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</si>
  <si>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</si>
  <si>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</si>
  <si>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</si>
  <si>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</si>
  <si>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</si>
  <si>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</si>
  <si>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</si>
  <si>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</si>
  <si>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</si>
  <si>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</si>
  <si>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</si>
  <si>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</si>
  <si>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</si>
  <si>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</si>
  <si>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</si>
  <si>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</si>
  <si>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</si>
  <si>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</si>
  <si>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</si>
  <si>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</si>
  <si>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</si>
  <si>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</si>
  <si>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</si>
  <si>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</si>
  <si>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</si>
  <si>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</si>
  <si>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</si>
  <si>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</si>
  <si>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</si>
  <si>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</si>
  <si>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</si>
  <si>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</si>
  <si>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</si>
  <si>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</si>
  <si>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</si>
  <si>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</si>
  <si>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</si>
  <si>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</si>
  <si>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</si>
  <si>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</si>
  <si>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</si>
  <si>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</si>
  <si>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</si>
  <si>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</si>
  <si>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</si>
  <si>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</si>
  <si>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</si>
  <si>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</si>
  <si>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</si>
  <si>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</si>
  <si>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</si>
  <si>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</si>
  <si>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</si>
  <si>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</si>
  <si>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</si>
  <si>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</si>
  <si>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</si>
  <si>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</si>
  <si>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</si>
  <si>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</si>
  <si>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</si>
  <si>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</si>
  <si>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</si>
  <si>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</si>
  <si>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</si>
  <si>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</si>
  <si>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</si>
  <si>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</si>
  <si>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</si>
  <si>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</si>
  <si>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</si>
  <si>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</si>
  <si>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</si>
  <si>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</si>
  <si>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</si>
  <si>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</si>
  <si>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</si>
  <si>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</si>
  <si>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</si>
  <si>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</si>
  <si>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</si>
  <si>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</si>
  <si>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</si>
  <si>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</si>
  <si>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</si>
  <si>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</si>
  <si>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</si>
  <si>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</si>
  <si>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</si>
  <si>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</si>
  <si>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</si>
  <si>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</si>
  <si>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</si>
  <si>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</si>
  <si>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</si>
  <si>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</si>
  <si>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</si>
  <si>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</si>
  <si>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</si>
  <si>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</si>
  <si>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</si>
  <si>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</si>
  <si>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</si>
  <si>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</si>
  <si>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</si>
  <si>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</si>
  <si>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</si>
  <si>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</si>
  <si>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</si>
  <si>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</si>
  <si>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</si>
  <si>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</si>
  <si>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</si>
  <si>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</si>
  <si>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</si>
  <si>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</si>
  <si>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</si>
  <si>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</si>
  <si>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</si>
  <si>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</si>
  <si>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</si>
  <si>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</si>
  <si>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</si>
  <si>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</si>
  <si>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</si>
  <si>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</si>
  <si>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</si>
  <si>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</si>
  <si>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</si>
  <si>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</si>
  <si>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</si>
  <si>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</si>
  <si>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</si>
  <si>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</si>
  <si>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</si>
  <si>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</si>
  <si>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</si>
  <si>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</si>
  <si>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</si>
  <si>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</si>
  <si>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</si>
  <si>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</si>
  <si>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</si>
  <si>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</si>
  <si>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</si>
  <si>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</si>
  <si>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</si>
  <si>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</si>
  <si>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</si>
  <si>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</si>
  <si>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</si>
  <si>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</si>
  <si>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</si>
  <si>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</si>
  <si>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</si>
  <si>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</si>
  <si>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</si>
  <si>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</si>
  <si>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</si>
  <si>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</si>
  <si>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</si>
  <si>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</si>
  <si>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</si>
  <si>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</si>
  <si>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</si>
  <si>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</si>
  <si>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</si>
  <si>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</si>
  <si>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</si>
  <si>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</si>
  <si>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</si>
  <si>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</si>
  <si>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</si>
  <si>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</si>
  <si>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</si>
  <si>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</si>
  <si>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</si>
  <si>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</si>
  <si>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</si>
  <si>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</si>
  <si>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</si>
  <si>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</si>
  <si>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</si>
  <si>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</si>
  <si>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</si>
  <si>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</si>
  <si>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</si>
  <si>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</si>
  <si>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</si>
  <si>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</si>
  <si>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</si>
  <si>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</si>
  <si>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</si>
  <si>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</si>
  <si>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</si>
  <si>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</si>
  <si>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</si>
  <si>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</si>
  <si>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</si>
  <si>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</si>
  <si>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</si>
  <si>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</si>
  <si>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</si>
  <si>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</si>
  <si>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</si>
  <si>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</si>
  <si>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</si>
  <si>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</si>
  <si>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</si>
  <si>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</si>
  <si>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</si>
  <si>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</si>
  <si>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</si>
  <si>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</si>
  <si>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</si>
  <si>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</si>
  <si>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</si>
  <si>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</si>
  <si>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</si>
  <si>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</si>
  <si>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</si>
  <si>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</si>
  <si>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</si>
  <si>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</si>
  <si>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</si>
  <si>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</si>
  <si>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</si>
  <si>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</si>
  <si>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</si>
  <si>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</si>
  <si>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</si>
  <si>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</si>
  <si>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</si>
  <si>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</si>
  <si>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</si>
  <si>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</si>
  <si>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</si>
  <si>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</si>
  <si>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</si>
  <si>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</si>
  <si>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</si>
  <si>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</si>
  <si>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</si>
  <si>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</si>
  <si>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</si>
  <si>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</si>
  <si>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</si>
  <si>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</si>
  <si>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</si>
  <si>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</si>
  <si>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</si>
  <si>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</si>
  <si>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</si>
  <si>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</si>
  <si>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</si>
  <si>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</si>
  <si>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</si>
  <si>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</si>
  <si>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</si>
  <si>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</si>
  <si>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</si>
  <si>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</si>
  <si>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</si>
  <si>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</si>
  <si>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</si>
  <si>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</si>
  <si>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</si>
  <si>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</si>
  <si>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</si>
  <si>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</si>
  <si>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</si>
  <si>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</si>
  <si>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</si>
  <si>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</si>
  <si>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</si>
  <si>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</si>
  <si>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</si>
  <si>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</si>
  <si>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</si>
  <si>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</si>
  <si>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</si>
  <si>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</si>
  <si>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</si>
  <si>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</si>
  <si>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</si>
  <si>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</si>
  <si>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</si>
  <si>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</si>
  <si>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</si>
  <si>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</si>
  <si>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</si>
  <si>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</si>
  <si>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</si>
  <si>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</si>
  <si>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</si>
  <si>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</si>
  <si>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</si>
  <si>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</si>
  <si>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</si>
  <si>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</si>
  <si>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</si>
  <si>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</si>
  <si>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</si>
  <si>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</si>
  <si>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</si>
  <si>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</si>
  <si>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</si>
  <si>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</si>
  <si>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</si>
  <si>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</si>
  <si>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</si>
  <si>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</si>
  <si>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</si>
  <si>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</si>
  <si>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</si>
  <si>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</si>
  <si>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</si>
  <si>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</si>
  <si>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</si>
  <si>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</si>
  <si>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</si>
  <si>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</si>
  <si>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</si>
  <si>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</si>
  <si>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</si>
  <si>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</si>
  <si>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</si>
  <si>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</si>
  <si>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</si>
  <si>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</si>
  <si>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</si>
  <si>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</si>
  <si>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</si>
  <si>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</si>
  <si>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</si>
  <si>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</si>
  <si>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</si>
  <si>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</si>
  <si>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</si>
  <si>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</si>
  <si>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</si>
  <si>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</si>
  <si>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</si>
  <si>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</si>
  <si>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</si>
  <si>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</si>
  <si>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</si>
  <si>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</si>
  <si>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</si>
  <si>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</si>
  <si>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</si>
  <si>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</si>
  <si>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</si>
  <si>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</si>
  <si>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</si>
  <si>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</si>
  <si>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</si>
  <si>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</si>
  <si>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</si>
  <si>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</si>
  <si>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</si>
  <si>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</si>
  <si>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</si>
  <si>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</si>
  <si>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</si>
  <si>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</si>
  <si>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</si>
  <si>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</si>
  <si>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</si>
  <si>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</si>
  <si>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</si>
  <si>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</si>
  <si>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</si>
  <si>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</si>
  <si>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</si>
  <si>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</si>
  <si>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</si>
  <si>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</si>
  <si>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</si>
  <si>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</si>
  <si>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</si>
  <si>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</si>
  <si>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</si>
  <si>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</si>
  <si>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</si>
  <si>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</si>
  <si>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</si>
  <si>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</si>
  <si>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</si>
  <si>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</si>
  <si>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</si>
  <si>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</si>
  <si>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</si>
  <si>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</si>
  <si>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</si>
  <si>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</si>
  <si>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</si>
  <si>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</si>
  <si>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</si>
  <si>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</si>
  <si>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</si>
  <si>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</si>
  <si>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</si>
  <si>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</si>
  <si>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</si>
  <si>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</si>
  <si>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</si>
  <si>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</si>
  <si>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</si>
  <si>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</si>
  <si>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</si>
  <si>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</si>
  <si>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</si>
  <si>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</si>
  <si>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</si>
  <si>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</si>
  <si>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</si>
  <si>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</si>
  <si>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</si>
  <si>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</si>
  <si>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</si>
  <si>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</si>
  <si>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</si>
  <si>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</si>
  <si>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</si>
  <si>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</si>
  <si>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</si>
  <si>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</si>
  <si>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</si>
  <si>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</si>
  <si>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</si>
  <si>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</si>
  <si>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</si>
  <si>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</si>
  <si>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</si>
  <si>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</si>
  <si>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</si>
  <si>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</si>
  <si>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</si>
  <si>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</si>
  <si>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</si>
  <si>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</si>
  <si>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</si>
  <si>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</si>
  <si>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</si>
  <si>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</si>
  <si>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</si>
  <si>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</si>
  <si>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</si>
  <si>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</si>
  <si>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</si>
  <si>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</si>
  <si>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</si>
  <si>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</si>
  <si>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</si>
  <si>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</si>
  <si>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</si>
  <si>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</si>
  <si>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</si>
  <si>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</si>
  <si>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</si>
  <si>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</si>
  <si>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</si>
  <si>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</si>
  <si>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</si>
  <si>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</si>
  <si>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</si>
  <si>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</si>
  <si>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</si>
  <si>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</si>
  <si>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</si>
  <si>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</si>
  <si>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</si>
  <si>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</si>
  <si>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</si>
  <si>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</si>
  <si>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</si>
  <si>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</si>
  <si>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</si>
  <si>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</si>
  <si>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</si>
  <si>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</si>
  <si>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</si>
  <si>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</si>
  <si>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</si>
  <si>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</si>
  <si>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</si>
  <si>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</si>
  <si>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</si>
  <si>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</si>
  <si>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</si>
  <si>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</si>
  <si>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</si>
  <si>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</si>
  <si>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</si>
  <si>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</si>
  <si>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</si>
  <si>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</si>
  <si>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</si>
  <si>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</si>
  <si>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</si>
  <si>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</si>
  <si>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</si>
  <si>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</si>
  <si>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</si>
  <si>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</si>
  <si>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</si>
  <si>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</si>
  <si>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</si>
  <si>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</si>
  <si>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</si>
  <si>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</si>
  <si>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</si>
  <si>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</si>
  <si>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</si>
  <si>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</si>
  <si>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</si>
  <si>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</si>
  <si>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</si>
  <si>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</si>
  <si>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</si>
  <si>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</si>
  <si>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</si>
  <si>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</si>
  <si>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</si>
  <si>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</si>
  <si>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</si>
  <si>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</si>
  <si>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</si>
  <si>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</si>
  <si>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</si>
  <si>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</si>
  <si>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</si>
  <si>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</si>
  <si>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</si>
  <si>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</si>
  <si>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</si>
  <si>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</si>
  <si>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</si>
  <si>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</si>
  <si>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</si>
  <si>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</si>
  <si>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</si>
  <si>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</si>
  <si>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</si>
  <si>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</si>
  <si>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</si>
  <si>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</si>
  <si>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</si>
  <si>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</si>
  <si>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</si>
  <si>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</si>
  <si>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</si>
  <si>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</si>
  <si>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</si>
  <si>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</si>
  <si>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</si>
  <si>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</si>
  <si>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</si>
  <si>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</si>
  <si>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</si>
  <si>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</si>
  <si>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</si>
  <si>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</si>
  <si>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</si>
  <si>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</si>
  <si>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</si>
  <si>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</si>
  <si>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</si>
  <si>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</si>
  <si>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</si>
  <si>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</si>
  <si>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</si>
  <si>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</si>
  <si>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</si>
  <si>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</si>
  <si>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</si>
  <si>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</si>
  <si>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</si>
  <si>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</si>
  <si>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</si>
  <si>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</si>
  <si>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</si>
  <si>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</si>
  <si>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</si>
  <si>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</si>
  <si>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</si>
  <si>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</si>
  <si>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</si>
  <si>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</si>
  <si>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</si>
  <si>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</si>
  <si>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</si>
  <si>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</si>
  <si>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</si>
  <si>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</si>
  <si>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</si>
  <si>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</si>
  <si>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</si>
  <si>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</si>
  <si>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</si>
  <si>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</si>
  <si>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</si>
  <si>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</si>
  <si>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</si>
  <si>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</si>
  <si>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</si>
  <si>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</si>
  <si>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</si>
  <si>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</si>
  <si>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</si>
  <si>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</si>
  <si>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</si>
  <si>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</si>
  <si>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</si>
  <si>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</si>
  <si>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</si>
  <si>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</si>
  <si>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</si>
  <si>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</si>
  <si>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</si>
  <si>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</si>
  <si>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</si>
  <si>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</si>
  <si>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</si>
  <si>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</si>
  <si>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</si>
  <si>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</si>
  <si>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</si>
  <si>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</si>
  <si>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</si>
  <si>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</si>
  <si>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</si>
  <si>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</si>
  <si>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</si>
  <si>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</si>
  <si>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</si>
  <si>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</si>
  <si>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</si>
  <si>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</si>
  <si>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</si>
  <si>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</si>
  <si>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</si>
  <si>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</si>
  <si>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</si>
  <si>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</si>
  <si>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</si>
  <si>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</si>
  <si>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</si>
  <si>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</si>
  <si>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</si>
  <si>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</si>
  <si>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</si>
  <si>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</si>
  <si>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</si>
  <si>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</si>
  <si>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</si>
  <si>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</si>
  <si>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</si>
  <si>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</si>
  <si>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</si>
  <si>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</si>
  <si>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</si>
  <si>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</si>
  <si>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</si>
  <si>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</si>
  <si>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</si>
  <si>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</si>
  <si>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</si>
  <si>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</si>
  <si>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</si>
  <si>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</si>
  <si>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</si>
  <si>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</si>
  <si>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</si>
  <si>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</si>
  <si>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</si>
  <si>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</si>
  <si>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</si>
  <si>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</si>
  <si>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</si>
  <si>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</si>
  <si>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</si>
  <si>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</si>
  <si>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</si>
  <si>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</si>
  <si>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</si>
  <si>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</si>
  <si>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</si>
  <si>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</si>
  <si>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</si>
  <si>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</si>
  <si>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</si>
  <si>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</si>
  <si>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</si>
  <si>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</si>
  <si>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</si>
  <si>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</si>
  <si>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</si>
  <si>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</si>
  <si>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</si>
  <si>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</si>
  <si>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</si>
  <si>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</si>
  <si>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</si>
  <si>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</si>
  <si>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</si>
  <si>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</si>
  <si>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</si>
  <si>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</si>
  <si>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</si>
  <si>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</si>
  <si>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</si>
  <si>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</si>
  <si>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</si>
  <si>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</si>
  <si>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</si>
  <si>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</si>
  <si>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</si>
  <si>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</si>
  <si>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</si>
  <si>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</si>
  <si>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</si>
  <si>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</si>
  <si>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</si>
  <si>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</si>
  <si>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</si>
  <si>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</si>
  <si>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</si>
  <si>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</si>
  <si>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</si>
  <si>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</si>
  <si>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</si>
  <si>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</si>
  <si>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</si>
  <si>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</si>
  <si>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</si>
  <si>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</si>
  <si>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</si>
  <si>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</si>
  <si>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</si>
  <si>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</si>
  <si>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</si>
  <si>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</si>
  <si>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</si>
  <si>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</si>
  <si>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</si>
  <si>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</si>
  <si>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</si>
  <si>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</si>
  <si>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</si>
  <si>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</si>
  <si>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</si>
  <si>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</si>
  <si>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</si>
  <si>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</si>
  <si>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</si>
  <si>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</si>
  <si>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</si>
  <si>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</si>
  <si>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</si>
  <si>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</si>
  <si>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</si>
  <si>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</si>
  <si>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</si>
  <si>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</si>
  <si>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</si>
  <si>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</si>
  <si>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</si>
  <si>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</si>
  <si>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</si>
  <si>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</si>
  <si>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</si>
  <si>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</si>
  <si>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</si>
  <si>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</si>
  <si>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</si>
  <si>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</si>
  <si>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</si>
  <si>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</si>
  <si>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</si>
  <si>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</si>
  <si>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</si>
  <si>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</si>
  <si>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</si>
  <si>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</si>
  <si>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</si>
  <si>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</si>
  <si>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</si>
  <si>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</si>
  <si>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</si>
  <si>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</si>
  <si>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</si>
  <si>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</si>
  <si>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</si>
  <si>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</si>
  <si>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</si>
  <si>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</si>
  <si>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</si>
  <si>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</si>
  <si>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</si>
  <si>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</si>
  <si>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</si>
  <si>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</si>
  <si>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</si>
  <si>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</si>
  <si>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</si>
  <si>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</si>
  <si>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</si>
  <si>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</si>
  <si>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</si>
  <si>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</si>
  <si>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</si>
  <si>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</si>
  <si>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</si>
  <si>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</si>
  <si>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</si>
  <si>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</si>
  <si>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</si>
  <si>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</si>
  <si>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</si>
  <si>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</si>
  <si>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</si>
  <si>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</si>
  <si>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</si>
  <si>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</si>
  <si>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</si>
  <si>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</si>
  <si>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</si>
  <si>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</si>
  <si>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</si>
  <si>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</si>
  <si>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</si>
  <si>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</si>
  <si>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</si>
  <si>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</si>
  <si>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</si>
  <si>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</si>
  <si>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</si>
  <si>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</si>
  <si>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</si>
  <si>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</si>
  <si>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</si>
  <si>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</si>
  <si>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</si>
  <si>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</si>
  <si>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</si>
  <si>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</si>
  <si>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</si>
  <si>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</si>
  <si>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</si>
  <si>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</si>
  <si>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</si>
  <si>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</si>
  <si>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</si>
  <si>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</si>
  <si>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</si>
  <si>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</si>
  <si>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</si>
  <si>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</si>
  <si>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</si>
  <si>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</si>
  <si>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</si>
  <si>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</si>
  <si>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</si>
  <si>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</si>
  <si>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</si>
  <si>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</si>
  <si>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</si>
  <si>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</si>
  <si>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</si>
  <si>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</si>
  <si>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</si>
  <si>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</si>
  <si>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</si>
  <si>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</si>
  <si>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</si>
  <si>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</si>
  <si>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</si>
  <si>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</si>
  <si>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</si>
  <si>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</si>
  <si>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</si>
  <si>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</si>
  <si>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</si>
  <si>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</si>
  <si>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</si>
  <si>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</si>
  <si>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</si>
  <si>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</si>
  <si>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</si>
  <si>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</si>
  <si>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</si>
  <si>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</si>
  <si>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</si>
  <si>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</si>
  <si>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</si>
  <si>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</si>
  <si>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</si>
  <si>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</si>
  <si>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</si>
  <si>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</si>
  <si>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</si>
  <si>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</si>
  <si>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</si>
  <si>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</si>
  <si>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</si>
  <si>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</si>
  <si>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</si>
  <si>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</si>
  <si>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</si>
  <si>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</si>
  <si>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</si>
  <si>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</si>
  <si>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</si>
  <si>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</si>
  <si>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</si>
  <si>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</si>
  <si>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</si>
  <si>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</si>
  <si>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</si>
  <si>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</si>
  <si>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</si>
  <si>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</si>
  <si>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</si>
  <si>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</si>
  <si>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</si>
  <si>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</si>
  <si>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</si>
  <si>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</si>
  <si>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</si>
  <si>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</si>
  <si>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</si>
  <si>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</si>
  <si>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</si>
  <si>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</si>
  <si>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</si>
  <si>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</si>
  <si>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</si>
  <si>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</si>
  <si>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</si>
  <si>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</si>
  <si>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</si>
  <si>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</si>
  <si>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</si>
  <si>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</si>
  <si>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</si>
  <si>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</si>
  <si>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</si>
  <si>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</si>
  <si>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</si>
  <si>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</si>
  <si>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</si>
  <si>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</si>
  <si>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</si>
  <si>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</si>
  <si>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</si>
  <si>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</si>
  <si>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</si>
  <si>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</si>
  <si>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</si>
  <si>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</si>
  <si>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</si>
  <si>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</si>
  <si>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</si>
  <si>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</si>
  <si>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</si>
  <si>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</si>
  <si>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</si>
  <si>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</si>
  <si>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</si>
  <si>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</si>
  <si>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</si>
  <si>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</si>
  <si>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</si>
  <si>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</si>
  <si>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</si>
  <si>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</si>
  <si>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</si>
  <si>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</si>
  <si>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</si>
  <si>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</si>
  <si>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</si>
  <si>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</si>
  <si>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</si>
  <si>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</si>
  <si>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</si>
  <si>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</si>
  <si>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</si>
  <si>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</si>
  <si>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</si>
  <si>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</si>
  <si>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</si>
  <si>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</si>
  <si>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</si>
  <si>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</si>
  <si>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</si>
  <si>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</si>
  <si>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</si>
  <si>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</si>
  <si>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</si>
  <si>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</si>
  <si>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</si>
  <si>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</si>
  <si>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</si>
  <si>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</si>
  <si>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</si>
  <si>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</si>
  <si>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</si>
  <si>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</si>
  <si>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</si>
  <si>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</si>
  <si>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</si>
  <si>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</si>
  <si>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</si>
  <si>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</si>
  <si>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</si>
  <si>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</si>
  <si>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</si>
  <si>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</si>
  <si>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</si>
  <si>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</si>
  <si>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</si>
  <si>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</si>
  <si>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</si>
  <si>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</si>
  <si>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</si>
  <si>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</si>
  <si>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</si>
  <si>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</si>
  <si>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</si>
  <si>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</si>
  <si>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</si>
  <si>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</si>
  <si>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</si>
  <si>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</si>
  <si>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</si>
  <si>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</si>
  <si>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</si>
  <si>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</si>
  <si>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</si>
  <si>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</si>
  <si>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</si>
  <si>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</si>
  <si>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</si>
  <si>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</si>
  <si>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</si>
  <si>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</si>
  <si>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</si>
  <si>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</si>
  <si>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</si>
  <si>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</si>
  <si>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</si>
  <si>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</si>
  <si>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</si>
  <si>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</si>
  <si>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</si>
  <si>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</si>
  <si>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</si>
  <si>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</si>
  <si>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</si>
  <si>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</si>
  <si>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</si>
  <si>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</si>
  <si>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</si>
  <si>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</si>
  <si>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</si>
  <si>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</si>
  <si>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</si>
  <si>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</si>
  <si>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</si>
  <si>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</si>
  <si>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</si>
  <si>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</si>
  <si>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</si>
  <si>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</si>
  <si>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</si>
  <si>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</si>
  <si>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</si>
  <si>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</si>
  <si>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</si>
  <si>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</si>
  <si>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</si>
  <si>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</si>
  <si>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</si>
  <si>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</si>
  <si>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</si>
  <si>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</si>
  <si>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</si>
  <si>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</si>
  <si>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</si>
  <si>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</si>
  <si>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</si>
  <si>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</si>
  <si>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</si>
  <si>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</si>
  <si>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</si>
  <si>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</si>
  <si>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</si>
  <si>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</si>
  <si>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</si>
  <si>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</si>
  <si>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</si>
  <si>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</si>
  <si>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</si>
  <si>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</si>
  <si>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</si>
  <si>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</si>
  <si>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</si>
  <si>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</si>
  <si>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</si>
  <si>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</si>
  <si>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</si>
  <si>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</si>
  <si>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</si>
  <si>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</si>
  <si>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</si>
  <si>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</si>
  <si>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</si>
  <si>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</si>
  <si>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</si>
  <si>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</si>
  <si>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</si>
  <si>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</si>
  <si>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</si>
  <si>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</si>
  <si>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</si>
  <si>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</si>
  <si>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</si>
  <si>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</si>
  <si>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</si>
  <si>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</si>
  <si>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</si>
  <si>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</si>
  <si>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</si>
  <si>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</si>
  <si>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</si>
  <si>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</si>
  <si>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</si>
  <si>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</si>
  <si>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</si>
  <si>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</si>
  <si>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</si>
  <si>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</si>
  <si>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</si>
  <si>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</si>
  <si>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</si>
  <si>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</si>
  <si>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</si>
  <si>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</si>
  <si>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</si>
  <si>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</si>
  <si>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</si>
  <si>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</si>
  <si>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</si>
  <si>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</si>
  <si>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</si>
  <si>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</si>
  <si>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</si>
  <si>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</si>
  <si>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</si>
  <si>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</si>
  <si>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</si>
  <si>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</si>
  <si>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</si>
  <si>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</si>
  <si>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</si>
  <si>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</si>
  <si>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</si>
  <si>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</si>
  <si>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</si>
  <si>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</si>
  <si>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</si>
  <si>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</si>
  <si>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</si>
  <si>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</si>
  <si>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</si>
  <si>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</si>
  <si>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</si>
  <si>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</si>
  <si>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</si>
  <si>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</si>
  <si>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</si>
  <si>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</si>
  <si>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</si>
  <si>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</si>
  <si>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</si>
  <si>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</si>
  <si>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</si>
  <si>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</si>
  <si>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</si>
  <si>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</si>
  <si>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</si>
  <si>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</si>
  <si>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</si>
  <si>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</si>
  <si>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</si>
  <si>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</si>
  <si>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</si>
  <si>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</si>
  <si>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</si>
  <si>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</si>
  <si>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</si>
  <si>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</si>
  <si>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</si>
  <si>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</si>
  <si>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</si>
  <si>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</si>
  <si>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</si>
  <si>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</si>
  <si>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</si>
  <si>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</si>
  <si>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</si>
  <si>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</si>
  <si>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</si>
  <si>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</si>
  <si>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</si>
  <si>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</si>
  <si>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</si>
  <si>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</si>
  <si>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</si>
  <si>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</si>
  <si>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</si>
  <si>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</si>
  <si>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</si>
  <si>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</si>
  <si>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</si>
  <si>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</si>
  <si>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</si>
  <si>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</si>
  <si>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</si>
  <si>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</si>
  <si>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</si>
  <si>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</si>
  <si>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</si>
  <si>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</si>
  <si>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</si>
  <si>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</si>
  <si>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</si>
  <si>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</si>
  <si>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</si>
  <si>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</si>
  <si>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</si>
  <si>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</si>
  <si>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</si>
  <si>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</si>
  <si>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</si>
  <si>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</si>
  <si>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</si>
  <si>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</si>
  <si>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</si>
  <si>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</si>
  <si>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</si>
  <si>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</si>
  <si>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</si>
  <si>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</si>
  <si>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</si>
  <si>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</si>
  <si>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</si>
  <si>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</si>
  <si>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</si>
  <si>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</si>
  <si>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</si>
  <si>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</si>
  <si>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</si>
  <si>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</si>
  <si>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</si>
  <si>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</si>
  <si>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</si>
  <si>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</si>
  <si>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</si>
  <si>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</si>
  <si>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</si>
  <si>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</si>
  <si>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</si>
  <si>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</si>
  <si>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</si>
  <si>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</si>
  <si>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</si>
  <si>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</si>
  <si>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</si>
  <si>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</si>
  <si>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</si>
  <si>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</si>
  <si>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</si>
  <si>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</si>
  <si>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</si>
  <si>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</si>
  <si>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</si>
  <si>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</si>
  <si>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</si>
  <si>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</si>
  <si>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</si>
  <si>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</si>
  <si>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</si>
  <si>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</si>
  <si>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</si>
  <si>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</si>
  <si>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</si>
  <si>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</si>
  <si>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</si>
  <si>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</si>
  <si>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</si>
  <si>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</si>
  <si>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</si>
  <si>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</si>
  <si>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</si>
  <si>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</si>
  <si>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</si>
  <si>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</si>
  <si>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</si>
  <si>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</si>
  <si>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</si>
  <si>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</si>
  <si>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</si>
  <si>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</si>
  <si>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</si>
  <si>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</si>
  <si>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</si>
  <si>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</si>
  <si>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</si>
  <si>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</si>
  <si>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</si>
  <si>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</si>
  <si>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</si>
  <si>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</si>
  <si>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</si>
  <si>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</si>
  <si>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</si>
  <si>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</si>
  <si>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</si>
  <si>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</si>
  <si>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</si>
  <si>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</si>
  <si>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</si>
  <si>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</si>
  <si>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</si>
  <si>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</si>
  <si>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</si>
  <si>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</si>
  <si>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</si>
  <si>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</si>
  <si>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</si>
  <si>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</si>
  <si>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</si>
  <si>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</si>
  <si>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</si>
  <si>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</si>
  <si>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</si>
  <si>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</si>
  <si>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</si>
  <si>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</si>
  <si>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</si>
  <si>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</si>
  <si>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</si>
  <si>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</si>
  <si>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</si>
  <si>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</si>
  <si>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</si>
  <si>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</si>
  <si>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</si>
  <si>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</si>
  <si>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</si>
  <si>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</si>
  <si>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</si>
  <si>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</si>
  <si>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</si>
  <si>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</si>
  <si>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</si>
  <si>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</si>
  <si>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</si>
  <si>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</si>
  <si>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</si>
  <si>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</si>
  <si>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</si>
  <si>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</si>
  <si>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</si>
  <si>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</si>
  <si>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</si>
  <si>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</si>
  <si>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</si>
  <si>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</si>
  <si>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</si>
  <si>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</si>
  <si>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</si>
  <si>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</si>
  <si>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</si>
  <si>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</si>
  <si>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</si>
  <si>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</si>
  <si>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</si>
  <si>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</si>
  <si>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</si>
  <si>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</si>
  <si>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</si>
  <si>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</si>
  <si>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</si>
  <si>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</si>
  <si>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</si>
  <si>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</si>
  <si>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</si>
  <si>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</si>
  <si>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</si>
  <si>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</si>
  <si>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</si>
  <si>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</si>
  <si>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</si>
  <si>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</si>
  <si>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</si>
  <si>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</si>
  <si>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</si>
  <si>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</si>
  <si>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</si>
  <si>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</si>
  <si>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</si>
  <si>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</si>
  <si>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</si>
  <si>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</si>
  <si>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</si>
  <si>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</si>
  <si>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</si>
  <si>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</si>
  <si>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</si>
  <si>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</si>
  <si>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</si>
  <si>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</si>
  <si>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</si>
  <si>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</si>
  <si>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</si>
  <si>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</si>
  <si>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</si>
  <si>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</si>
  <si>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</si>
  <si>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</si>
  <si>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</si>
  <si>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</si>
  <si>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</si>
  <si>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</si>
  <si>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</si>
  <si>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</si>
  <si>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</si>
  <si>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</si>
  <si>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</si>
  <si>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</si>
  <si>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</si>
  <si>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</si>
  <si>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</si>
  <si>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</si>
  <si>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</si>
  <si>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</si>
  <si>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</si>
  <si>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</si>
  <si>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</si>
  <si>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</si>
  <si>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</si>
  <si>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</si>
  <si>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</si>
  <si>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</si>
  <si>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</si>
  <si>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</si>
  <si>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</si>
  <si>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</si>
  <si>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</si>
  <si>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</si>
  <si>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</si>
  <si>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</si>
  <si>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</si>
  <si>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</si>
  <si>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</si>
  <si>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</si>
  <si>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</si>
  <si>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</si>
  <si>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</si>
  <si>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</si>
  <si>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</si>
  <si>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</si>
  <si>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</si>
  <si>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</si>
  <si>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</si>
  <si>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</si>
  <si>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</si>
  <si>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</si>
  <si>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</si>
  <si>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</si>
  <si>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</si>
  <si>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</si>
  <si>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</si>
  <si>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</si>
  <si>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</si>
  <si>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</si>
  <si>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</si>
  <si>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</si>
  <si>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</si>
  <si>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</si>
  <si>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</si>
  <si>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</si>
  <si>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</si>
  <si>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</si>
  <si>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</si>
  <si>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</si>
  <si>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</si>
  <si>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</si>
  <si>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</si>
  <si>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</si>
  <si>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</si>
  <si>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</si>
  <si>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</si>
  <si>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</si>
  <si>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</si>
  <si>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</si>
  <si>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</si>
  <si>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</si>
  <si>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</si>
  <si>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</si>
  <si>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</si>
  <si>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</si>
  <si>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</si>
  <si>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</si>
  <si>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</si>
  <si>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</si>
  <si>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</si>
  <si>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</si>
  <si>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</si>
  <si>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</si>
  <si>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</si>
  <si>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</si>
  <si>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</si>
  <si>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</si>
  <si>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</si>
  <si>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</si>
  <si>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</si>
  <si>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</si>
  <si>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</si>
  <si>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</si>
  <si>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</si>
  <si>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</si>
  <si>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</si>
  <si>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</si>
  <si>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</si>
  <si>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</si>
  <si>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</si>
  <si>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</si>
  <si>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</si>
  <si>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</si>
  <si>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</si>
  <si>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</si>
  <si>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</si>
  <si>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</si>
  <si>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</si>
  <si>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</si>
  <si>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</si>
  <si>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</si>
  <si>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</si>
  <si>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</si>
  <si>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</si>
  <si>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</si>
  <si>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</si>
  <si>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</si>
  <si>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</si>
  <si>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</si>
  <si>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</si>
  <si>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</si>
  <si>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</si>
  <si>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</si>
  <si>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</si>
  <si>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</si>
  <si>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</si>
  <si>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</si>
  <si>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</si>
  <si>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</si>
  <si>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</si>
  <si>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</si>
  <si>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</si>
  <si>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</si>
  <si>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</si>
  <si>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</si>
  <si>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</si>
  <si>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</si>
  <si>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</si>
  <si>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</si>
  <si>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</si>
  <si>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</si>
  <si>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</si>
  <si>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</si>
  <si>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</si>
  <si>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</si>
  <si>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</si>
  <si>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</si>
  <si>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</si>
  <si>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</si>
  <si>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</si>
  <si>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</si>
  <si>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</si>
  <si>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</si>
  <si>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</si>
  <si>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</si>
  <si>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</si>
  <si>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</si>
  <si>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</si>
  <si>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</si>
  <si>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</si>
  <si>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</si>
  <si>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</si>
  <si>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</si>
  <si>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</si>
  <si>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</si>
  <si>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</si>
  <si>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</si>
  <si>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</si>
  <si>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</si>
  <si>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</si>
  <si>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</si>
  <si>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</si>
  <si>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</si>
  <si>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</si>
  <si>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</si>
  <si>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</si>
  <si>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</si>
  <si>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</si>
  <si>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</si>
  <si>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</si>
  <si>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</si>
  <si>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</si>
  <si>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</si>
  <si>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</si>
  <si>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</si>
  <si>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</si>
  <si>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</si>
  <si>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</si>
  <si>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</si>
  <si>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</si>
  <si>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</si>
  <si>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</si>
  <si>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</si>
  <si>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</si>
  <si>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</si>
  <si>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</si>
  <si>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</si>
  <si>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</si>
  <si>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</si>
  <si>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</si>
  <si>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</si>
  <si>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</si>
  <si>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</si>
  <si>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</si>
  <si>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</si>
  <si>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</si>
  <si>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</si>
  <si>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</si>
  <si>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</si>
  <si>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</si>
  <si>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</si>
  <si>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</si>
  <si>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</si>
  <si>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</si>
  <si>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</si>
  <si>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</si>
  <si>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</si>
  <si>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</si>
  <si>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</si>
  <si>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</si>
  <si>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</si>
  <si>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</si>
  <si>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</si>
  <si>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</si>
  <si>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</si>
  <si>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</si>
  <si>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</si>
  <si>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</si>
  <si>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</si>
  <si>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</si>
  <si>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</si>
  <si>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</si>
  <si>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</si>
  <si>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</si>
  <si>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</si>
  <si>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</si>
  <si>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</si>
  <si>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</si>
  <si>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</si>
  <si>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</si>
  <si>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</si>
  <si>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</si>
  <si>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</si>
  <si>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</si>
  <si>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</si>
  <si>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</si>
  <si>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</si>
  <si>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</si>
  <si>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</si>
  <si>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</si>
  <si>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</si>
  <si>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</si>
  <si>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</si>
  <si>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</si>
  <si>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</si>
  <si>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</si>
  <si>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</si>
  <si>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</si>
  <si>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</si>
  <si>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</si>
  <si>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</si>
  <si>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</si>
  <si>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</si>
  <si>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</si>
  <si>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</si>
  <si>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</si>
  <si>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</si>
  <si>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</si>
  <si>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</si>
  <si>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</si>
  <si>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</si>
  <si>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</si>
  <si>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</si>
  <si>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</si>
  <si>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</si>
  <si>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</si>
  <si>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</si>
  <si>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</si>
  <si>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</si>
  <si>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</si>
  <si>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</si>
  <si>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</si>
  <si>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</si>
  <si>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</si>
  <si>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</si>
  <si>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</si>
  <si>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</si>
  <si>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</si>
  <si>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</si>
  <si>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</si>
  <si>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</si>
  <si>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</si>
  <si>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</si>
  <si>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</si>
  <si>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</si>
  <si>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</si>
  <si>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</si>
  <si>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</si>
  <si>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</si>
  <si>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</si>
  <si>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</si>
  <si>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</si>
  <si>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</si>
  <si>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</si>
  <si>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</si>
  <si>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</si>
  <si>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</si>
  <si>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</si>
  <si>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</si>
  <si>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</si>
  <si>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</si>
  <si>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</si>
  <si>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</si>
  <si>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</si>
  <si>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</si>
  <si>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</si>
  <si>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</si>
  <si>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</si>
  <si>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</si>
  <si>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</si>
  <si>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</si>
  <si>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</si>
  <si>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</si>
  <si>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</si>
  <si>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</si>
  <si>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</si>
  <si>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</si>
  <si>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</si>
  <si>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</si>
  <si>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</si>
  <si>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</si>
  <si>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</si>
  <si>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</si>
  <si>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</si>
  <si>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</si>
  <si>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</si>
  <si>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</si>
  <si>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</si>
  <si>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</si>
  <si>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</si>
  <si>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</si>
  <si>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</si>
  <si>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</si>
  <si>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</si>
  <si>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</si>
  <si>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</si>
  <si>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</si>
  <si>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</si>
  <si>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</si>
  <si>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</si>
  <si>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</si>
  <si>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</si>
  <si>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</si>
  <si>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</si>
  <si>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</si>
  <si>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</si>
  <si>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</si>
  <si>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</si>
  <si>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</si>
  <si>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</si>
  <si>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</si>
  <si>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</si>
  <si>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</si>
  <si>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</si>
  <si>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</si>
  <si>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</si>
  <si>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</si>
  <si>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</si>
  <si>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</si>
  <si>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</si>
  <si>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</si>
  <si>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</si>
  <si>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</si>
  <si>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</si>
  <si>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</si>
  <si>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</si>
  <si>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</si>
  <si>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</si>
  <si>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</si>
  <si>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</si>
  <si>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</si>
  <si>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</si>
  <si>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</si>
  <si>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</si>
  <si>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</si>
  <si>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</si>
  <si>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</si>
  <si>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</si>
  <si>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</si>
  <si>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</si>
  <si>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</si>
  <si>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</si>
  <si>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</si>
  <si>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</si>
  <si>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</si>
  <si>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</si>
  <si>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</si>
  <si>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</si>
  <si>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</si>
  <si>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</si>
  <si>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</si>
  <si>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</si>
  <si>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</si>
  <si>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</si>
  <si>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</si>
  <si>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</si>
  <si>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</si>
  <si>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</si>
  <si>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</si>
  <si>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</si>
  <si>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</si>
  <si>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</si>
  <si>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</si>
  <si>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</si>
  <si>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</si>
  <si>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</si>
  <si>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</si>
  <si>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</si>
  <si>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</si>
  <si>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</si>
  <si>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</si>
  <si>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</si>
  <si>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</si>
  <si>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</si>
  <si>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</si>
  <si>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</si>
  <si>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</si>
  <si>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</si>
  <si>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</si>
  <si>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</si>
  <si>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</si>
  <si>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</si>
  <si>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</si>
  <si>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</si>
  <si>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</si>
  <si>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</si>
  <si>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</si>
  <si>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</si>
  <si>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</si>
  <si>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</si>
  <si>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</si>
  <si>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</si>
  <si>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</si>
  <si>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</si>
  <si>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</si>
  <si>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</si>
  <si>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</si>
  <si>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</si>
  <si>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</si>
  <si>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</si>
  <si>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</si>
  <si>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</si>
  <si>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</si>
  <si>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</si>
  <si>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</si>
  <si>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</si>
  <si>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</si>
  <si>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</si>
  <si>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</si>
  <si>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</si>
  <si>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</si>
  <si>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</si>
  <si>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</si>
  <si>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</si>
  <si>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</si>
  <si>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</si>
  <si>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</si>
  <si>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</si>
  <si>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</si>
  <si>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</si>
  <si>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</si>
  <si>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</si>
  <si>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</si>
  <si>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</si>
  <si>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</si>
  <si>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</si>
  <si>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</si>
  <si>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</si>
  <si>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</si>
  <si>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</si>
  <si>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</si>
  <si>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</si>
  <si>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</si>
  <si>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</si>
  <si>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</si>
  <si>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</si>
  <si>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</si>
  <si>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</si>
  <si>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</si>
  <si>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</si>
  <si>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</si>
  <si>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</si>
  <si>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</si>
  <si>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</si>
  <si>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</si>
  <si>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</si>
  <si>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</si>
  <si>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</si>
  <si>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</si>
  <si>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</si>
  <si>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</si>
  <si>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</si>
  <si>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</si>
  <si>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</si>
  <si>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</si>
  <si>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</si>
  <si>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</si>
  <si>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</si>
  <si>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</si>
  <si>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</si>
  <si>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</si>
  <si>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</si>
  <si>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</si>
  <si>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</si>
  <si>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</si>
  <si>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</si>
  <si>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</si>
  <si>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</si>
  <si>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</si>
  <si>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</si>
  <si>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</si>
  <si>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</si>
  <si>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</si>
  <si>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</si>
  <si>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</si>
  <si>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</si>
  <si>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</si>
  <si>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</si>
  <si>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</si>
  <si>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</si>
  <si>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</si>
  <si>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</si>
  <si>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</si>
  <si>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</si>
  <si>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</si>
  <si>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</si>
  <si>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</si>
  <si>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</si>
  <si>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</si>
  <si>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</si>
  <si>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</si>
  <si>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</si>
  <si>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</si>
  <si>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</si>
  <si>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</si>
  <si>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</si>
  <si>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</si>
  <si>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</si>
  <si>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</si>
  <si>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</si>
  <si>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</si>
  <si>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</si>
  <si>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</si>
  <si>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</si>
  <si>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</si>
  <si>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pitch</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</si>
  <si>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</si>
  <si>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</si>
  <si>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</si>
  <si>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</si>
  <si>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</si>
  <si>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</si>
  <si>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</si>
  <si>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</si>
  <si>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</si>
  <si>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</si>
  <si>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</si>
  <si>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</si>
  <si>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</si>
  <si>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</si>
  <si>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</si>
  <si>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</si>
  <si>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</si>
  <si>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</si>
  <si>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</si>
  <si>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</si>
  <si>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</si>
  <si>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</si>
  <si>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</si>
  <si>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</si>
  <si>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</si>
  <si>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</si>
  <si>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</si>
  <si>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</si>
  <si>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</si>
  <si>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</si>
  <si>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</si>
  <si>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</si>
  <si>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</si>
  <si>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</si>
  <si>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</si>
  <si>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</si>
  <si>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</si>
  <si>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</si>
  <si>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</si>
  <si>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</si>
  <si>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</si>
  <si>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</si>
  <si>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</si>
  <si>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</si>
  <si>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</si>
  <si>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</si>
  <si>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</si>
  <si>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</si>
  <si>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</si>
  <si>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</si>
  <si>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</si>
  <si>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</si>
  <si>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</si>
  <si>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</si>
  <si>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</si>
  <si>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</si>
  <si>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</si>
  <si>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</si>
  <si>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</si>
  <si>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</si>
  <si>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</si>
  <si>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</si>
  <si>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</si>
  <si>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</si>
  <si>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</si>
  <si>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</si>
  <si>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</si>
  <si>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</si>
  <si>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</si>
  <si>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</si>
  <si>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</si>
  <si>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</si>
  <si>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</si>
  <si>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</si>
  <si>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</si>
  <si>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</si>
  <si>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</si>
  <si>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</si>
  <si>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</si>
  <si>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</si>
  <si>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</si>
  <si>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</si>
  <si>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</si>
  <si>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</si>
  <si>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</si>
  <si>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</si>
  <si>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</si>
  <si>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</si>
  <si>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2</t>
  </si>
  <si>
    <t>Rice, Brown (Requires Gelatinization)</t>
  </si>
  <si>
    <t>Rice, White (Requires Gelatinization)</t>
  </si>
  <si>
    <t>Rice Syrup</t>
  </si>
  <si>
    <t>https://mydigitalpublication.com/publication/frame.php?i=401567&amp;p=50&amp;pn=&amp;ver=html5</t>
  </si>
  <si>
    <t>5.0.2 - Added ingredients (rice) to grain list.</t>
  </si>
  <si>
    <t>Vienna Malt: Vienna Malt (Avangard Malz Premium)</t>
  </si>
  <si>
    <t>German Bock</t>
  </si>
  <si>
    <t>Thought to be from the famous brewery in Aying, Bavaria, this is a versatile lager strain that balances malt and hop flavors well. It is superb for bocks, doppelbocks, Oktoberfest lagers, helles and a favorite for American pilsners, too.</t>
  </si>
  <si>
    <t>Yeast Starter</t>
  </si>
  <si>
    <t>2 L</t>
  </si>
  <si>
    <t>Gelatin</t>
  </si>
  <si>
    <t>1 g/gal</t>
  </si>
  <si>
    <t>post ferm</t>
  </si>
  <si>
    <t xml:space="preserve">NOTES:
• Pressure ferment ~2 weeks under 15 psi pressure at room temperature (~70 deg F). 
• Cold crash.
• Gelatin fine: Rate 1g gelatin per gallon of beer: Dissolve in 2 oz boiled but cooled dechlorinated water per gram gelatin. Stir. Heat to 160 deg F. Add to kegs and agitate. Purge headspace with CO2.
• Rack to keg(s) via closed transfer if possible and chill.
• Carbonate then pour off sediment.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</si>
</sst>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4" fillId="20" borderId="6"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164" xfId="0" applyFont="1" applyBorder="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9" xfId="0" applyFont="1" applyBorder="1" applyAlignment="1">
      <alignment horizontal="center" vertical="center"/>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21" fillId="0" borderId="1" xfId="0" applyFont="1" applyBorder="1" applyAlignment="1">
      <alignment horizontal="right" vertical="center"/>
    </xf>
    <xf numFmtId="0" fontId="14" fillId="20" borderId="3" xfId="0" applyFont="1" applyFill="1" applyBorder="1" applyAlignment="1">
      <alignment horizontal="center" vertical="center" shrinkToFi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2" fontId="21" fillId="0" borderId="6" xfId="0" applyNumberFormat="1"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4" xfId="0" applyFont="1" applyBorder="1" applyAlignment="1">
      <alignment horizontal="center" vertical="center" wrapText="1"/>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21" fillId="20" borderId="3" xfId="0" applyFont="1" applyFill="1" applyBorder="1" applyAlignment="1">
      <alignment horizontal="center" vertical="center" shrinkToFi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0" fillId="0" borderId="164" xfId="0" applyBorder="1" applyAlignment="1">
      <alignment horizontal="center"/>
    </xf>
    <xf numFmtId="0" fontId="0" fillId="0" borderId="0" xfId="0"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shrinkToFit="1"/>
    </xf>
    <xf numFmtId="0" fontId="0" fillId="0" borderId="27" xfId="0" applyBorder="1" applyAlignment="1">
      <alignment horizontal="center"/>
    </xf>
    <xf numFmtId="0" fontId="0" fillId="0" borderId="181"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21"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15" fillId="0" borderId="13"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0" fontId="14" fillId="0" borderId="160" xfId="0" applyFont="1" applyBorder="1" applyAlignment="1">
      <alignment horizontal="center" vertical="center" wrapText="1"/>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4" xfId="0" applyBorder="1" applyAlignment="1">
      <alignment horizontal="center"/>
    </xf>
    <xf numFmtId="0" fontId="21" fillId="0" borderId="1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4" xfId="0" applyFont="1" applyBorder="1" applyAlignment="1">
      <alignment horizontal="center" vertical="center" shrinkToFit="1"/>
    </xf>
    <xf numFmtId="0" fontId="21" fillId="20" borderId="3" xfId="0"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21"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22" xfId="0" applyFont="1" applyBorder="1" applyAlignment="1">
      <alignment horizontal="center" vertical="center" wrapText="1"/>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5" borderId="80" xfId="0" applyFont="1" applyFill="1" applyBorder="1" applyAlignment="1">
      <alignment horizontal="center"/>
    </xf>
    <xf numFmtId="0" fontId="0" fillId="15" borderId="81" xfId="0" applyFill="1" applyBorder="1" applyAlignment="1">
      <alignment horizontal="center"/>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6" val="0"/>
</file>

<file path=xl/ctrlProps/ctrlProp10.xml><?xml version="1.0" encoding="utf-8"?>
<formControlPr xmlns="http://schemas.microsoft.com/office/spreadsheetml/2009/9/main" objectType="Drop" dropLines="12" dropStyle="combo" dx="22" fmlaLink="D16" fmlaRange="$I$12:$I$22" noThreeD="1" sel="8" val="0"/>
</file>

<file path=xl/ctrlProps/ctrlProp11.xml><?xml version="1.0" encoding="utf-8"?>
<formControlPr xmlns="http://schemas.microsoft.com/office/spreadsheetml/2009/9/main" objectType="Drop" dropLines="12" dropStyle="combo" dx="22" fmlaLink="D17" fmlaRange="$I$12:$I$22" noThreeD="1" sel="5"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25" dataDxfId="24">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2" totalsRowShown="0" headerRowDxfId="10" dataDxfId="9">
  <autoFilter ref="A1:I312" xr:uid="{00000000-0009-0000-0100-000003000000}"/>
  <sortState xmlns:xlrd2="http://schemas.microsoft.com/office/spreadsheetml/2017/richdata2" ref="A2:I312">
    <sortCondition ref="A2:A312"/>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52" zoomScaleNormal="100" workbookViewId="0">
      <selection activeCell="B58" sqref="B58"/>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2396</v>
      </c>
    </row>
    <row r="57" spans="1:2" x14ac:dyDescent="0.2">
      <c r="A57" s="40">
        <v>44616</v>
      </c>
      <c r="B57" s="487" t="s">
        <v>2416</v>
      </c>
    </row>
    <row r="58" spans="1:2" x14ac:dyDescent="0.2">
      <c r="A58" s="40">
        <v>44787</v>
      </c>
      <c r="B58" s="41" t="s">
        <v>2422</v>
      </c>
    </row>
    <row r="60" spans="1:2" x14ac:dyDescent="0.2">
      <c r="A60" s="40"/>
      <c r="B60" s="3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topLeftCell="A98"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1"/>
  <sheetViews>
    <sheetView workbookViewId="0">
      <pane ySplit="1" topLeftCell="A161" activePane="bottomLeft" state="frozen"/>
      <selection pane="bottomLeft" activeCell="B176" sqref="B176"/>
    </sheetView>
  </sheetViews>
  <sheetFormatPr defaultRowHeight="12.75" x14ac:dyDescent="0.2"/>
  <cols>
    <col min="1" max="1" width="40.140625" bestFit="1" customWidth="1"/>
    <col min="2" max="2" width="7.42578125" bestFit="1" customWidth="1"/>
    <col min="3" max="3" width="17" bestFit="1" customWidth="1"/>
    <col min="4" max="4" width="9.140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421</v>
      </c>
      <c r="F142" s="428">
        <v>0.78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2424</v>
      </c>
      <c r="B175" s="422" t="s">
        <v>412</v>
      </c>
      <c r="C175" s="422" t="s">
        <v>1914</v>
      </c>
      <c r="D175" s="422" t="s">
        <v>414</v>
      </c>
      <c r="E175" s="422" t="s">
        <v>1180</v>
      </c>
      <c r="F175" s="428">
        <v>0.73</v>
      </c>
      <c r="G175" s="418">
        <v>48</v>
      </c>
      <c r="H175" s="427">
        <v>55</v>
      </c>
      <c r="I175" s="422" t="s">
        <v>2425</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1009</v>
      </c>
      <c r="B177" s="422" t="s">
        <v>412</v>
      </c>
      <c r="C177" s="422" t="s">
        <v>413</v>
      </c>
      <c r="D177" s="422" t="s">
        <v>414</v>
      </c>
      <c r="E177" s="422" t="s">
        <v>512</v>
      </c>
      <c r="F177" s="428">
        <v>0.76500000000000001</v>
      </c>
      <c r="G177" s="418">
        <v>50</v>
      </c>
      <c r="H177" s="427">
        <v>55</v>
      </c>
      <c r="I177" s="422" t="s">
        <v>1010</v>
      </c>
    </row>
    <row r="178" spans="1:9" x14ac:dyDescent="0.2">
      <c r="A178" s="422" t="s">
        <v>2106</v>
      </c>
      <c r="B178" s="422" t="s">
        <v>412</v>
      </c>
      <c r="C178" s="422" t="s">
        <v>413</v>
      </c>
      <c r="D178" s="422" t="s">
        <v>414</v>
      </c>
      <c r="E178" s="422" t="s">
        <v>1180</v>
      </c>
      <c r="F178" s="428">
        <v>0.73</v>
      </c>
      <c r="G178" s="418">
        <v>50</v>
      </c>
      <c r="H178" s="427">
        <v>54</v>
      </c>
      <c r="I178" s="422" t="s">
        <v>2107</v>
      </c>
    </row>
    <row r="179" spans="1:9" x14ac:dyDescent="0.2">
      <c r="A179" s="422" t="s">
        <v>538</v>
      </c>
      <c r="B179" s="422" t="s">
        <v>412</v>
      </c>
      <c r="C179" s="422" t="s">
        <v>427</v>
      </c>
      <c r="D179" s="422" t="s">
        <v>421</v>
      </c>
      <c r="E179" s="422" t="s">
        <v>429</v>
      </c>
      <c r="F179" s="428">
        <v>0.75</v>
      </c>
      <c r="G179" s="418">
        <v>63</v>
      </c>
      <c r="H179" s="427">
        <v>75</v>
      </c>
      <c r="I179" s="422" t="s">
        <v>539</v>
      </c>
    </row>
    <row r="180" spans="1:9" x14ac:dyDescent="0.2">
      <c r="A180" s="422" t="s">
        <v>2052</v>
      </c>
      <c r="B180" s="422" t="s">
        <v>412</v>
      </c>
      <c r="C180" s="422" t="s">
        <v>413</v>
      </c>
      <c r="D180" s="422" t="s">
        <v>417</v>
      </c>
      <c r="E180" s="422" t="s">
        <v>1191</v>
      </c>
      <c r="F180" s="428">
        <v>0.77500000000000002</v>
      </c>
      <c r="G180" s="418">
        <v>66</v>
      </c>
      <c r="H180" s="427">
        <v>70</v>
      </c>
      <c r="I180" s="422" t="s">
        <v>2051</v>
      </c>
    </row>
    <row r="181" spans="1:9" x14ac:dyDescent="0.2">
      <c r="A181" s="415" t="s">
        <v>1927</v>
      </c>
      <c r="B181" s="422" t="s">
        <v>412</v>
      </c>
      <c r="C181" s="422" t="s">
        <v>1914</v>
      </c>
      <c r="D181" s="422" t="s">
        <v>423</v>
      </c>
      <c r="E181" s="415" t="s">
        <v>1156</v>
      </c>
      <c r="F181" s="428">
        <v>0.75</v>
      </c>
      <c r="G181" s="418">
        <v>64</v>
      </c>
      <c r="H181" s="427">
        <v>75</v>
      </c>
      <c r="I181" s="415" t="s">
        <v>1928</v>
      </c>
    </row>
    <row r="182" spans="1:9" x14ac:dyDescent="0.2">
      <c r="A182" s="422" t="s">
        <v>540</v>
      </c>
      <c r="B182" s="422" t="s">
        <v>412</v>
      </c>
      <c r="C182" s="422" t="s">
        <v>413</v>
      </c>
      <c r="D182" s="422" t="s">
        <v>428</v>
      </c>
      <c r="E182" s="422" t="s">
        <v>434</v>
      </c>
      <c r="F182" s="428">
        <v>0.74</v>
      </c>
      <c r="G182" s="418">
        <v>68</v>
      </c>
      <c r="H182" s="427">
        <v>72</v>
      </c>
      <c r="I182" s="422" t="s">
        <v>541</v>
      </c>
    </row>
    <row r="183" spans="1:9" x14ac:dyDescent="0.2">
      <c r="A183" s="422" t="s">
        <v>542</v>
      </c>
      <c r="B183" s="422" t="s">
        <v>412</v>
      </c>
      <c r="C183" s="422" t="s">
        <v>413</v>
      </c>
      <c r="D183" s="422" t="s">
        <v>423</v>
      </c>
      <c r="E183" s="422" t="s">
        <v>543</v>
      </c>
      <c r="F183" s="428">
        <v>0.76500000000000001</v>
      </c>
      <c r="G183" s="418">
        <v>66</v>
      </c>
      <c r="H183" s="427">
        <v>70</v>
      </c>
      <c r="I183" s="422" t="s">
        <v>544</v>
      </c>
    </row>
    <row r="184" spans="1:9" x14ac:dyDescent="0.2">
      <c r="A184" s="422" t="s">
        <v>1175</v>
      </c>
      <c r="B184" s="422" t="s">
        <v>412</v>
      </c>
      <c r="C184" s="422" t="s">
        <v>427</v>
      </c>
      <c r="D184" s="422" t="s">
        <v>414</v>
      </c>
      <c r="E184" s="422" t="s">
        <v>1176</v>
      </c>
      <c r="F184" s="428">
        <v>0.72</v>
      </c>
      <c r="G184" s="418">
        <v>48</v>
      </c>
      <c r="H184" s="427">
        <v>56</v>
      </c>
      <c r="I184" s="422" t="s">
        <v>1177</v>
      </c>
    </row>
    <row r="185" spans="1:9" x14ac:dyDescent="0.2">
      <c r="A185" s="422" t="s">
        <v>2113</v>
      </c>
      <c r="B185" s="422" t="s">
        <v>412</v>
      </c>
      <c r="C185" s="422" t="s">
        <v>413</v>
      </c>
      <c r="D185" s="422" t="s">
        <v>414</v>
      </c>
      <c r="E185" s="422" t="s">
        <v>2114</v>
      </c>
      <c r="F185" s="428">
        <v>0.77500000000000002</v>
      </c>
      <c r="G185" s="418">
        <v>62</v>
      </c>
      <c r="H185" s="427">
        <v>68</v>
      </c>
      <c r="I185" s="422" t="s">
        <v>2115</v>
      </c>
    </row>
    <row r="186" spans="1:9" x14ac:dyDescent="0.2">
      <c r="A186" s="422" t="s">
        <v>1920</v>
      </c>
      <c r="B186" s="422" t="s">
        <v>412</v>
      </c>
      <c r="C186" s="422" t="s">
        <v>1914</v>
      </c>
      <c r="D186" s="422" t="s">
        <v>421</v>
      </c>
      <c r="E186" s="422" t="s">
        <v>1918</v>
      </c>
      <c r="F186" s="428">
        <v>0.78500000000000003</v>
      </c>
      <c r="G186" s="418">
        <v>72</v>
      </c>
      <c r="H186" s="427">
        <v>98</v>
      </c>
      <c r="I186" s="422" t="s">
        <v>1921</v>
      </c>
    </row>
    <row r="187" spans="1:9" x14ac:dyDescent="0.2">
      <c r="A187" s="422" t="s">
        <v>1913</v>
      </c>
      <c r="B187" s="422" t="s">
        <v>412</v>
      </c>
      <c r="C187" s="422" t="s">
        <v>1914</v>
      </c>
      <c r="D187" s="422" t="s">
        <v>417</v>
      </c>
      <c r="E187" s="422" t="s">
        <v>1915</v>
      </c>
      <c r="F187" s="428">
        <v>0.8</v>
      </c>
      <c r="G187" s="418">
        <v>72</v>
      </c>
      <c r="H187" s="427">
        <v>98</v>
      </c>
      <c r="I187" s="422" t="s">
        <v>1916</v>
      </c>
    </row>
    <row r="188" spans="1:9" x14ac:dyDescent="0.2">
      <c r="A188" s="422" t="s">
        <v>545</v>
      </c>
      <c r="B188" s="422" t="s">
        <v>412</v>
      </c>
      <c r="C188" s="422" t="s">
        <v>427</v>
      </c>
      <c r="D188" s="422" t="s">
        <v>414</v>
      </c>
      <c r="E188" s="422" t="s">
        <v>554</v>
      </c>
      <c r="F188" s="428">
        <v>0.73</v>
      </c>
      <c r="G188" s="418">
        <v>62</v>
      </c>
      <c r="H188" s="427">
        <v>72</v>
      </c>
      <c r="I188" s="422" t="s">
        <v>546</v>
      </c>
    </row>
    <row r="189" spans="1:9" x14ac:dyDescent="0.2">
      <c r="A189" s="415" t="s">
        <v>1945</v>
      </c>
      <c r="B189" s="422" t="s">
        <v>412</v>
      </c>
      <c r="C189" s="422" t="s">
        <v>1914</v>
      </c>
      <c r="D189" s="422" t="s">
        <v>414</v>
      </c>
      <c r="E189" s="415" t="s">
        <v>1946</v>
      </c>
      <c r="F189" s="426">
        <v>0.72</v>
      </c>
      <c r="G189" s="418">
        <v>62</v>
      </c>
      <c r="H189" s="427">
        <v>72</v>
      </c>
      <c r="I189" s="415" t="s">
        <v>1947</v>
      </c>
    </row>
    <row r="190" spans="1:9" x14ac:dyDescent="0.2">
      <c r="A190" s="422" t="s">
        <v>547</v>
      </c>
      <c r="B190" s="422" t="s">
        <v>412</v>
      </c>
      <c r="C190" s="422" t="s">
        <v>413</v>
      </c>
      <c r="D190" s="422" t="s">
        <v>417</v>
      </c>
      <c r="E190" s="422" t="s">
        <v>1048</v>
      </c>
      <c r="F190" s="428">
        <v>0.71499999999999997</v>
      </c>
      <c r="G190" s="418">
        <v>65</v>
      </c>
      <c r="H190" s="427">
        <v>68</v>
      </c>
      <c r="I190" s="422" t="s">
        <v>548</v>
      </c>
    </row>
    <row r="191" spans="1:9" x14ac:dyDescent="0.2">
      <c r="A191" s="422" t="s">
        <v>1922</v>
      </c>
      <c r="B191" s="422" t="s">
        <v>412</v>
      </c>
      <c r="C191" s="422" t="s">
        <v>1914</v>
      </c>
      <c r="D191" s="422" t="s">
        <v>428</v>
      </c>
      <c r="E191" s="422" t="s">
        <v>1923</v>
      </c>
      <c r="F191" s="428">
        <v>0.82499999999999996</v>
      </c>
      <c r="G191" s="418">
        <v>70</v>
      </c>
      <c r="H191" s="427">
        <v>95</v>
      </c>
      <c r="I191" s="422" t="s">
        <v>1924</v>
      </c>
    </row>
    <row r="192" spans="1:9" x14ac:dyDescent="0.2">
      <c r="A192" s="422" t="s">
        <v>1148</v>
      </c>
      <c r="B192" s="422" t="s">
        <v>412</v>
      </c>
      <c r="C192" s="422" t="s">
        <v>875</v>
      </c>
      <c r="D192" s="422" t="s">
        <v>421</v>
      </c>
      <c r="E192" s="422"/>
      <c r="F192" s="428">
        <v>0.75</v>
      </c>
      <c r="G192" s="418">
        <v>46</v>
      </c>
      <c r="H192" s="427">
        <v>54</v>
      </c>
      <c r="I192" s="422" t="s">
        <v>1149</v>
      </c>
    </row>
    <row r="193" spans="1:9" x14ac:dyDescent="0.2">
      <c r="A193" s="422" t="s">
        <v>2048</v>
      </c>
      <c r="B193" s="422" t="s">
        <v>412</v>
      </c>
      <c r="C193" s="422" t="s">
        <v>413</v>
      </c>
      <c r="D193" s="422" t="s">
        <v>414</v>
      </c>
      <c r="E193" s="422" t="s">
        <v>1191</v>
      </c>
      <c r="F193" s="428">
        <v>0.77500000000000002</v>
      </c>
      <c r="G193" s="418">
        <v>72</v>
      </c>
      <c r="H193" s="427">
        <v>77</v>
      </c>
      <c r="I193" s="422" t="s">
        <v>2047</v>
      </c>
    </row>
    <row r="194" spans="1:9" x14ac:dyDescent="0.2">
      <c r="A194" s="422" t="s">
        <v>2049</v>
      </c>
      <c r="B194" s="422" t="s">
        <v>412</v>
      </c>
      <c r="C194" s="422" t="s">
        <v>413</v>
      </c>
      <c r="D194" s="422" t="s">
        <v>414</v>
      </c>
      <c r="E194" s="422" t="s">
        <v>2039</v>
      </c>
      <c r="F194" s="428">
        <v>0.7</v>
      </c>
      <c r="G194" s="418">
        <v>66</v>
      </c>
      <c r="H194" s="427">
        <v>70</v>
      </c>
      <c r="I194" s="422" t="s">
        <v>2040</v>
      </c>
    </row>
    <row r="195" spans="1:9" x14ac:dyDescent="0.2">
      <c r="A195" s="422" t="s">
        <v>549</v>
      </c>
      <c r="B195" s="422" t="s">
        <v>412</v>
      </c>
      <c r="C195" s="422" t="s">
        <v>427</v>
      </c>
      <c r="D195" s="422" t="s">
        <v>423</v>
      </c>
      <c r="E195" s="422" t="s">
        <v>429</v>
      </c>
      <c r="F195" s="428">
        <v>0.75</v>
      </c>
      <c r="G195" s="418">
        <v>56</v>
      </c>
      <c r="H195" s="427">
        <v>70</v>
      </c>
      <c r="I195" s="422" t="s">
        <v>550</v>
      </c>
    </row>
    <row r="196" spans="1:9" x14ac:dyDescent="0.2">
      <c r="A196" s="415" t="s">
        <v>1930</v>
      </c>
      <c r="B196" s="422" t="s">
        <v>412</v>
      </c>
      <c r="C196" s="422" t="s">
        <v>1914</v>
      </c>
      <c r="D196" s="422" t="s">
        <v>414</v>
      </c>
      <c r="E196" s="415" t="s">
        <v>1188</v>
      </c>
      <c r="F196" s="428">
        <v>0.75</v>
      </c>
      <c r="G196" s="418">
        <v>65</v>
      </c>
      <c r="H196" s="427">
        <v>69</v>
      </c>
      <c r="I196" s="415" t="s">
        <v>1931</v>
      </c>
    </row>
    <row r="197" spans="1:9" x14ac:dyDescent="0.2">
      <c r="A197" s="422" t="s">
        <v>1178</v>
      </c>
      <c r="B197" s="422" t="s">
        <v>412</v>
      </c>
      <c r="C197" s="422" t="s">
        <v>427</v>
      </c>
      <c r="D197" s="422" t="s">
        <v>423</v>
      </c>
      <c r="E197" s="422" t="s">
        <v>1156</v>
      </c>
      <c r="F197" s="428">
        <v>0.75</v>
      </c>
      <c r="G197" s="418">
        <v>56</v>
      </c>
      <c r="H197" s="427">
        <v>70</v>
      </c>
      <c r="I197" s="422" t="s">
        <v>1179</v>
      </c>
    </row>
    <row r="198" spans="1:9" x14ac:dyDescent="0.2">
      <c r="A198" s="422" t="s">
        <v>1083</v>
      </c>
      <c r="B198" s="422" t="s">
        <v>412</v>
      </c>
      <c r="C198" s="422" t="s">
        <v>875</v>
      </c>
      <c r="D198" s="422" t="s">
        <v>421</v>
      </c>
      <c r="E198" s="422" t="s">
        <v>414</v>
      </c>
      <c r="F198" s="428">
        <v>0.76500000000000001</v>
      </c>
      <c r="G198" s="418">
        <v>58</v>
      </c>
      <c r="H198" s="427">
        <v>66</v>
      </c>
      <c r="I198" s="422" t="s">
        <v>1145</v>
      </c>
    </row>
    <row r="199" spans="1:9" x14ac:dyDescent="0.2">
      <c r="A199" s="422" t="s">
        <v>2119</v>
      </c>
      <c r="B199" s="422" t="s">
        <v>412</v>
      </c>
      <c r="C199" s="422" t="s">
        <v>413</v>
      </c>
      <c r="D199" s="422"/>
      <c r="E199" s="422"/>
      <c r="F199" s="428"/>
      <c r="G199" s="418"/>
      <c r="H199" s="427"/>
      <c r="I199" s="422" t="s">
        <v>2074</v>
      </c>
    </row>
    <row r="200" spans="1:9" x14ac:dyDescent="0.2">
      <c r="A200" s="415" t="s">
        <v>1610</v>
      </c>
      <c r="B200" s="415" t="s">
        <v>412</v>
      </c>
      <c r="C200" s="415" t="s">
        <v>1563</v>
      </c>
      <c r="D200" s="415" t="s">
        <v>417</v>
      </c>
      <c r="E200" s="415" t="s">
        <v>1611</v>
      </c>
      <c r="F200" s="426">
        <v>0.73</v>
      </c>
      <c r="G200" s="418">
        <v>55</v>
      </c>
      <c r="H200" s="427">
        <v>65</v>
      </c>
      <c r="I200" s="415" t="s">
        <v>1612</v>
      </c>
    </row>
    <row r="201" spans="1:9" x14ac:dyDescent="0.2">
      <c r="A201" s="415" t="s">
        <v>1613</v>
      </c>
      <c r="B201" s="415" t="s">
        <v>412</v>
      </c>
      <c r="C201" s="415" t="s">
        <v>1563</v>
      </c>
      <c r="D201" s="415" t="s">
        <v>428</v>
      </c>
      <c r="E201" s="415" t="s">
        <v>1156</v>
      </c>
      <c r="F201" s="426">
        <v>0.75</v>
      </c>
      <c r="G201" s="418">
        <v>46</v>
      </c>
      <c r="H201" s="427">
        <v>56</v>
      </c>
      <c r="I201" s="415" t="s">
        <v>1614</v>
      </c>
    </row>
    <row r="202" spans="1:9" x14ac:dyDescent="0.2">
      <c r="A202" s="415" t="s">
        <v>1615</v>
      </c>
      <c r="B202" s="415" t="s">
        <v>412</v>
      </c>
      <c r="C202" s="415" t="s">
        <v>1563</v>
      </c>
      <c r="D202" s="415" t="s">
        <v>414</v>
      </c>
      <c r="E202" s="415" t="s">
        <v>1176</v>
      </c>
      <c r="F202" s="426">
        <v>0.72</v>
      </c>
      <c r="G202" s="418">
        <v>50</v>
      </c>
      <c r="H202" s="427">
        <v>60</v>
      </c>
      <c r="I202" s="415" t="s">
        <v>1616</v>
      </c>
    </row>
    <row r="203" spans="1:9" x14ac:dyDescent="0.2">
      <c r="A203" s="415" t="s">
        <v>1617</v>
      </c>
      <c r="B203" s="415" t="s">
        <v>412</v>
      </c>
      <c r="C203" s="415" t="s">
        <v>1563</v>
      </c>
      <c r="D203" s="415" t="s">
        <v>414</v>
      </c>
      <c r="E203" s="415" t="s">
        <v>1611</v>
      </c>
      <c r="F203" s="426">
        <v>0.73</v>
      </c>
      <c r="G203" s="418">
        <v>52</v>
      </c>
      <c r="H203" s="427">
        <v>58</v>
      </c>
      <c r="I203" s="415" t="s">
        <v>1618</v>
      </c>
    </row>
    <row r="204" spans="1:9" x14ac:dyDescent="0.2">
      <c r="A204" s="422" t="s">
        <v>994</v>
      </c>
      <c r="B204" s="422" t="s">
        <v>412</v>
      </c>
      <c r="C204" s="422" t="s">
        <v>427</v>
      </c>
      <c r="D204" s="422"/>
      <c r="E204" s="422" t="s">
        <v>125</v>
      </c>
      <c r="F204" s="428"/>
      <c r="G204" s="418">
        <v>60</v>
      </c>
      <c r="H204" s="427">
        <v>95</v>
      </c>
      <c r="I204" s="422" t="s">
        <v>995</v>
      </c>
    </row>
    <row r="205" spans="1:9" x14ac:dyDescent="0.2">
      <c r="A205" s="422" t="s">
        <v>2094</v>
      </c>
      <c r="B205" s="422" t="s">
        <v>412</v>
      </c>
      <c r="C205" s="422" t="s">
        <v>413</v>
      </c>
      <c r="D205" s="422" t="s">
        <v>423</v>
      </c>
      <c r="E205" s="422"/>
      <c r="F205" s="428"/>
      <c r="G205" s="418"/>
      <c r="H205" s="427"/>
      <c r="I205" s="422" t="s">
        <v>2093</v>
      </c>
    </row>
    <row r="206" spans="1:9" x14ac:dyDescent="0.2">
      <c r="A206" s="422" t="s">
        <v>2095</v>
      </c>
      <c r="B206" s="422" t="s">
        <v>412</v>
      </c>
      <c r="C206" s="422" t="s">
        <v>413</v>
      </c>
      <c r="D206" s="422"/>
      <c r="E206" s="422"/>
      <c r="F206" s="428"/>
      <c r="G206" s="418"/>
      <c r="H206" s="427"/>
      <c r="I206" s="422" t="s">
        <v>2096</v>
      </c>
    </row>
    <row r="207" spans="1:9" x14ac:dyDescent="0.2">
      <c r="A207" s="422" t="s">
        <v>2098</v>
      </c>
      <c r="B207" s="422" t="s">
        <v>412</v>
      </c>
      <c r="C207" s="422" t="s">
        <v>413</v>
      </c>
      <c r="D207" s="422" t="s">
        <v>2089</v>
      </c>
      <c r="E207" s="422"/>
      <c r="F207" s="428"/>
      <c r="G207" s="418">
        <v>70</v>
      </c>
      <c r="H207" s="427">
        <v>75</v>
      </c>
      <c r="I207" s="422" t="s">
        <v>2099</v>
      </c>
    </row>
    <row r="208" spans="1:9" x14ac:dyDescent="0.2">
      <c r="A208" s="422" t="s">
        <v>2100</v>
      </c>
      <c r="B208" s="422" t="s">
        <v>412</v>
      </c>
      <c r="C208" s="422" t="s">
        <v>413</v>
      </c>
      <c r="D208" s="422"/>
      <c r="E208" s="422"/>
      <c r="F208" s="428"/>
      <c r="G208" s="418"/>
      <c r="H208" s="427"/>
      <c r="I208" s="422" t="s">
        <v>2101</v>
      </c>
    </row>
    <row r="209" spans="1:9" x14ac:dyDescent="0.2">
      <c r="A209" s="422" t="s">
        <v>2091</v>
      </c>
      <c r="B209" s="422" t="s">
        <v>412</v>
      </c>
      <c r="C209" s="422" t="s">
        <v>413</v>
      </c>
      <c r="D209" s="422"/>
      <c r="E209" s="422"/>
      <c r="F209" s="428"/>
      <c r="G209" s="418"/>
      <c r="H209" s="427"/>
      <c r="I209" s="422" t="s">
        <v>2092</v>
      </c>
    </row>
    <row r="210" spans="1:9" x14ac:dyDescent="0.2">
      <c r="A210" s="422" t="s">
        <v>2120</v>
      </c>
      <c r="B210" s="422" t="s">
        <v>412</v>
      </c>
      <c r="C210" s="422" t="s">
        <v>413</v>
      </c>
      <c r="D210" s="422" t="s">
        <v>423</v>
      </c>
      <c r="E210" s="422" t="s">
        <v>2069</v>
      </c>
      <c r="F210" s="428">
        <v>0.79</v>
      </c>
      <c r="G210" s="418">
        <v>66</v>
      </c>
      <c r="H210" s="427">
        <v>75</v>
      </c>
      <c r="I210" s="422" t="s">
        <v>2070</v>
      </c>
    </row>
    <row r="211" spans="1:9" x14ac:dyDescent="0.2">
      <c r="A211" s="422" t="s">
        <v>955</v>
      </c>
      <c r="B211" s="422" t="s">
        <v>412</v>
      </c>
      <c r="C211" s="422" t="s">
        <v>427</v>
      </c>
      <c r="D211" s="422" t="s">
        <v>423</v>
      </c>
      <c r="E211" s="422" t="s">
        <v>1180</v>
      </c>
      <c r="F211" s="428">
        <v>0.73</v>
      </c>
      <c r="G211" s="418">
        <v>64</v>
      </c>
      <c r="H211" s="427">
        <v>75</v>
      </c>
      <c r="I211" s="422" t="s">
        <v>1181</v>
      </c>
    </row>
    <row r="212" spans="1:9" x14ac:dyDescent="0.2">
      <c r="A212" s="422" t="s">
        <v>551</v>
      </c>
      <c r="B212" s="422" t="s">
        <v>412</v>
      </c>
      <c r="C212" s="422" t="s">
        <v>427</v>
      </c>
      <c r="D212" s="422" t="s">
        <v>428</v>
      </c>
      <c r="E212" s="422" t="s">
        <v>429</v>
      </c>
      <c r="F212" s="428">
        <v>0.75</v>
      </c>
      <c r="G212" s="418">
        <v>60</v>
      </c>
      <c r="H212" s="427">
        <v>72</v>
      </c>
      <c r="I212" s="422" t="s">
        <v>552</v>
      </c>
    </row>
    <row r="213" spans="1:9" x14ac:dyDescent="0.2">
      <c r="A213" s="422" t="s">
        <v>553</v>
      </c>
      <c r="B213" s="422" t="s">
        <v>412</v>
      </c>
      <c r="C213" s="422" t="s">
        <v>427</v>
      </c>
      <c r="D213" s="422" t="s">
        <v>421</v>
      </c>
      <c r="E213" s="422" t="s">
        <v>554</v>
      </c>
      <c r="F213" s="428">
        <v>0.73</v>
      </c>
      <c r="G213" s="418">
        <v>64</v>
      </c>
      <c r="H213" s="427">
        <v>74</v>
      </c>
      <c r="I213" s="422" t="s">
        <v>555</v>
      </c>
    </row>
    <row r="214" spans="1:9" x14ac:dyDescent="0.2">
      <c r="A214" s="422" t="s">
        <v>556</v>
      </c>
      <c r="B214" s="422" t="s">
        <v>412</v>
      </c>
      <c r="C214" s="422" t="s">
        <v>413</v>
      </c>
      <c r="D214" s="422" t="s">
        <v>414</v>
      </c>
      <c r="E214" s="422" t="s">
        <v>557</v>
      </c>
      <c r="F214" s="428">
        <v>0.71</v>
      </c>
      <c r="G214" s="418">
        <v>66</v>
      </c>
      <c r="H214" s="427">
        <v>71</v>
      </c>
      <c r="I214" s="422" t="s">
        <v>558</v>
      </c>
    </row>
    <row r="215" spans="1:9" x14ac:dyDescent="0.2">
      <c r="A215" s="422" t="s">
        <v>1975</v>
      </c>
      <c r="B215" s="422" t="s">
        <v>487</v>
      </c>
      <c r="C215" s="422" t="s">
        <v>860</v>
      </c>
      <c r="D215" s="422" t="s">
        <v>423</v>
      </c>
      <c r="E215" s="422" t="s">
        <v>414</v>
      </c>
      <c r="F215" s="428"/>
      <c r="G215" s="365">
        <v>65</v>
      </c>
      <c r="H215" s="429">
        <v>72</v>
      </c>
      <c r="I215" s="422" t="s">
        <v>1976</v>
      </c>
    </row>
    <row r="216" spans="1:9" x14ac:dyDescent="0.2">
      <c r="A216" s="422" t="s">
        <v>559</v>
      </c>
      <c r="B216" s="422" t="s">
        <v>412</v>
      </c>
      <c r="C216" s="422" t="s">
        <v>427</v>
      </c>
      <c r="D216" s="422" t="s">
        <v>421</v>
      </c>
      <c r="E216" s="422" t="s">
        <v>525</v>
      </c>
      <c r="F216" s="428">
        <v>0.69</v>
      </c>
      <c r="G216" s="365">
        <v>64</v>
      </c>
      <c r="H216" s="424">
        <v>72</v>
      </c>
      <c r="I216" s="422" t="s">
        <v>560</v>
      </c>
    </row>
    <row r="217" spans="1:9" x14ac:dyDescent="0.2">
      <c r="A217" s="422" t="s">
        <v>2024</v>
      </c>
      <c r="B217" s="422" t="s">
        <v>412</v>
      </c>
      <c r="C217" s="422" t="s">
        <v>413</v>
      </c>
      <c r="D217" s="422" t="s">
        <v>428</v>
      </c>
      <c r="E217" s="422" t="s">
        <v>2025</v>
      </c>
      <c r="F217" s="428">
        <v>0.78500000000000003</v>
      </c>
      <c r="G217" s="365">
        <v>64</v>
      </c>
      <c r="H217" s="429">
        <v>72</v>
      </c>
      <c r="I217" s="422" t="s">
        <v>2026</v>
      </c>
    </row>
    <row r="218" spans="1:9" x14ac:dyDescent="0.2">
      <c r="A218" s="422" t="s">
        <v>868</v>
      </c>
      <c r="B218" s="422" t="s">
        <v>412</v>
      </c>
      <c r="C218" s="422" t="s">
        <v>869</v>
      </c>
      <c r="D218" s="422" t="s">
        <v>421</v>
      </c>
      <c r="E218" s="422" t="s">
        <v>507</v>
      </c>
      <c r="F218" s="428">
        <v>0.75</v>
      </c>
      <c r="G218" s="418">
        <v>68</v>
      </c>
      <c r="H218" s="427">
        <v>75</v>
      </c>
      <c r="I218" s="422" t="s">
        <v>870</v>
      </c>
    </row>
    <row r="219" spans="1:9" x14ac:dyDescent="0.2">
      <c r="A219" s="422" t="s">
        <v>2097</v>
      </c>
      <c r="B219" s="422" t="s">
        <v>412</v>
      </c>
      <c r="C219" s="422" t="s">
        <v>413</v>
      </c>
      <c r="D219" s="422"/>
      <c r="E219" s="422"/>
      <c r="F219" s="428"/>
      <c r="G219" s="418"/>
      <c r="H219" s="427"/>
      <c r="I219" s="422"/>
    </row>
    <row r="220" spans="1:9" x14ac:dyDescent="0.2">
      <c r="A220" s="422" t="s">
        <v>1049</v>
      </c>
      <c r="B220" s="422" t="s">
        <v>412</v>
      </c>
      <c r="C220" s="422" t="s">
        <v>413</v>
      </c>
      <c r="D220" s="422" t="s">
        <v>417</v>
      </c>
      <c r="E220" s="422" t="s">
        <v>414</v>
      </c>
      <c r="F220" s="428">
        <v>0.72</v>
      </c>
      <c r="G220" s="418">
        <v>65</v>
      </c>
      <c r="H220" s="427">
        <v>70</v>
      </c>
      <c r="I220" s="422" t="s">
        <v>1050</v>
      </c>
    </row>
    <row r="221" spans="1:9" x14ac:dyDescent="0.2">
      <c r="A221" s="422" t="s">
        <v>2066</v>
      </c>
      <c r="B221" s="422" t="s">
        <v>412</v>
      </c>
      <c r="C221" s="422" t="s">
        <v>413</v>
      </c>
      <c r="D221" s="422" t="s">
        <v>423</v>
      </c>
      <c r="E221" s="422" t="s">
        <v>2067</v>
      </c>
      <c r="F221" s="428">
        <v>0.67500000000000004</v>
      </c>
      <c r="G221" s="418">
        <v>65</v>
      </c>
      <c r="H221" s="427">
        <v>75</v>
      </c>
      <c r="I221" s="422" t="s">
        <v>2068</v>
      </c>
    </row>
    <row r="222" spans="1:9" x14ac:dyDescent="0.2">
      <c r="A222" s="422" t="s">
        <v>2121</v>
      </c>
      <c r="B222" s="422" t="s">
        <v>412</v>
      </c>
      <c r="C222" s="422" t="s">
        <v>413</v>
      </c>
      <c r="D222" s="422" t="s">
        <v>414</v>
      </c>
      <c r="E222" s="422" t="s">
        <v>1171</v>
      </c>
      <c r="F222" s="428">
        <v>0.76</v>
      </c>
      <c r="G222" s="418"/>
      <c r="H222" s="427"/>
      <c r="I222" s="422" t="s">
        <v>2043</v>
      </c>
    </row>
    <row r="223" spans="1:9" x14ac:dyDescent="0.2">
      <c r="A223" s="422" t="s">
        <v>906</v>
      </c>
      <c r="B223" s="422" t="s">
        <v>412</v>
      </c>
      <c r="C223" s="422" t="s">
        <v>413</v>
      </c>
      <c r="D223" s="422" t="s">
        <v>414</v>
      </c>
      <c r="E223" s="422" t="s">
        <v>907</v>
      </c>
      <c r="F223" s="428">
        <v>0.74</v>
      </c>
      <c r="G223" s="418">
        <v>50</v>
      </c>
      <c r="H223" s="427">
        <v>55</v>
      </c>
      <c r="I223" s="422" t="s">
        <v>908</v>
      </c>
    </row>
    <row r="224" spans="1:9" x14ac:dyDescent="0.2">
      <c r="A224" s="422" t="s">
        <v>2062</v>
      </c>
      <c r="B224" s="422" t="s">
        <v>412</v>
      </c>
      <c r="C224" s="422" t="s">
        <v>413</v>
      </c>
      <c r="D224" s="422" t="s">
        <v>428</v>
      </c>
      <c r="E224" s="422" t="s">
        <v>1191</v>
      </c>
      <c r="F224" s="428">
        <v>0.77500000000000002</v>
      </c>
      <c r="G224" s="418">
        <v>65</v>
      </c>
      <c r="H224" s="427">
        <v>72</v>
      </c>
      <c r="I224" s="422" t="s">
        <v>2063</v>
      </c>
    </row>
    <row r="225" spans="1:9" x14ac:dyDescent="0.2">
      <c r="A225" s="415" t="s">
        <v>1977</v>
      </c>
      <c r="B225" s="422" t="s">
        <v>487</v>
      </c>
      <c r="C225" s="422" t="s">
        <v>860</v>
      </c>
      <c r="D225" s="422" t="s">
        <v>423</v>
      </c>
      <c r="E225" s="422" t="s">
        <v>1978</v>
      </c>
      <c r="F225" s="428"/>
      <c r="G225" s="418">
        <v>63</v>
      </c>
      <c r="H225" s="427">
        <v>72</v>
      </c>
      <c r="I225" s="422" t="s">
        <v>1979</v>
      </c>
    </row>
    <row r="226" spans="1:9" x14ac:dyDescent="0.2">
      <c r="A226" s="422" t="s">
        <v>1053</v>
      </c>
      <c r="B226" s="422" t="s">
        <v>412</v>
      </c>
      <c r="C226" s="422" t="s">
        <v>875</v>
      </c>
      <c r="D226" s="422" t="s">
        <v>414</v>
      </c>
      <c r="E226" s="422" t="s">
        <v>414</v>
      </c>
      <c r="F226" s="428"/>
      <c r="G226" s="418">
        <v>46</v>
      </c>
      <c r="H226" s="427">
        <v>54</v>
      </c>
      <c r="I226" s="422" t="s">
        <v>1054</v>
      </c>
    </row>
    <row r="227" spans="1:9" x14ac:dyDescent="0.2">
      <c r="A227" s="422" t="s">
        <v>909</v>
      </c>
      <c r="B227" s="422" t="s">
        <v>412</v>
      </c>
      <c r="C227" s="422" t="s">
        <v>413</v>
      </c>
      <c r="D227" s="422" t="s">
        <v>414</v>
      </c>
      <c r="E227" s="422" t="s">
        <v>414</v>
      </c>
      <c r="F227" s="428">
        <v>0.7</v>
      </c>
      <c r="G227" s="418">
        <v>48</v>
      </c>
      <c r="H227" s="427">
        <v>52</v>
      </c>
      <c r="I227" s="422" t="s">
        <v>910</v>
      </c>
    </row>
    <row r="228" spans="1:9" x14ac:dyDescent="0.2">
      <c r="A228" s="422" t="s">
        <v>1011</v>
      </c>
      <c r="B228" s="422" t="s">
        <v>412</v>
      </c>
      <c r="C228" s="422" t="s">
        <v>427</v>
      </c>
      <c r="D228" s="422" t="s">
        <v>414</v>
      </c>
      <c r="E228" s="422" t="s">
        <v>1012</v>
      </c>
      <c r="F228" s="428">
        <v>0.72</v>
      </c>
      <c r="G228" s="418">
        <v>48</v>
      </c>
      <c r="H228" s="427">
        <v>56</v>
      </c>
      <c r="I228" s="422" t="s">
        <v>1013</v>
      </c>
    </row>
    <row r="229" spans="1:9" x14ac:dyDescent="0.2">
      <c r="A229" s="422" t="s">
        <v>1014</v>
      </c>
      <c r="B229" s="422" t="s">
        <v>412</v>
      </c>
      <c r="C229" s="422" t="s">
        <v>427</v>
      </c>
      <c r="D229" s="422" t="s">
        <v>414</v>
      </c>
      <c r="E229" s="422" t="s">
        <v>1182</v>
      </c>
      <c r="F229" s="428">
        <v>0.73</v>
      </c>
      <c r="G229" s="418">
        <v>52</v>
      </c>
      <c r="H229" s="427">
        <v>62</v>
      </c>
      <c r="I229" s="422" t="s">
        <v>1015</v>
      </c>
    </row>
    <row r="230" spans="1:9" x14ac:dyDescent="0.2">
      <c r="A230" s="415" t="s">
        <v>1219</v>
      </c>
      <c r="B230" s="422" t="s">
        <v>487</v>
      </c>
      <c r="C230" s="422" t="s">
        <v>860</v>
      </c>
      <c r="D230" s="422" t="s">
        <v>1088</v>
      </c>
      <c r="E230" s="422" t="s">
        <v>414</v>
      </c>
      <c r="F230" s="428">
        <v>0.7</v>
      </c>
      <c r="G230" s="418">
        <v>63</v>
      </c>
      <c r="H230" s="427">
        <v>72</v>
      </c>
      <c r="I230" s="422" t="s">
        <v>1089</v>
      </c>
    </row>
    <row r="231" spans="1:9" x14ac:dyDescent="0.2">
      <c r="A231" s="422" t="s">
        <v>561</v>
      </c>
      <c r="B231" s="422" t="s">
        <v>487</v>
      </c>
      <c r="C231" s="422" t="s">
        <v>562</v>
      </c>
      <c r="D231" s="422" t="s">
        <v>421</v>
      </c>
      <c r="E231" s="422" t="s">
        <v>421</v>
      </c>
      <c r="F231" s="428"/>
      <c r="G231" s="418">
        <v>57</v>
      </c>
      <c r="H231" s="427">
        <v>77</v>
      </c>
      <c r="I231" s="422" t="s">
        <v>563</v>
      </c>
    </row>
    <row r="232" spans="1:9" x14ac:dyDescent="0.2">
      <c r="A232" s="422" t="s">
        <v>564</v>
      </c>
      <c r="B232" s="422" t="s">
        <v>487</v>
      </c>
      <c r="C232" s="422" t="s">
        <v>562</v>
      </c>
      <c r="D232" s="422" t="s">
        <v>421</v>
      </c>
      <c r="E232" s="422" t="s">
        <v>421</v>
      </c>
      <c r="F232" s="428"/>
      <c r="G232" s="418">
        <v>57</v>
      </c>
      <c r="H232" s="427">
        <v>77</v>
      </c>
      <c r="I232" s="422" t="s">
        <v>565</v>
      </c>
    </row>
    <row r="233" spans="1:9" x14ac:dyDescent="0.2">
      <c r="A233" s="422" t="s">
        <v>871</v>
      </c>
      <c r="B233" s="422" t="s">
        <v>412</v>
      </c>
      <c r="C233" s="422" t="s">
        <v>413</v>
      </c>
      <c r="D233" s="422" t="s">
        <v>414</v>
      </c>
      <c r="E233" s="422" t="s">
        <v>872</v>
      </c>
      <c r="F233" s="428">
        <v>0.80500000000000005</v>
      </c>
      <c r="G233" s="418">
        <v>76</v>
      </c>
      <c r="H233" s="427">
        <v>85</v>
      </c>
      <c r="I233" s="422" t="s">
        <v>873</v>
      </c>
    </row>
    <row r="234" spans="1:9" x14ac:dyDescent="0.2">
      <c r="A234" s="422" t="s">
        <v>1980</v>
      </c>
      <c r="B234" s="422" t="s">
        <v>487</v>
      </c>
      <c r="C234" s="422" t="s">
        <v>860</v>
      </c>
      <c r="D234" s="422" t="s">
        <v>414</v>
      </c>
      <c r="E234" s="422"/>
      <c r="F234" s="428" t="s">
        <v>414</v>
      </c>
      <c r="G234" s="418">
        <v>59</v>
      </c>
      <c r="H234" s="427">
        <v>72</v>
      </c>
      <c r="I234" s="422" t="s">
        <v>1981</v>
      </c>
    </row>
    <row r="235" spans="1:9" x14ac:dyDescent="0.2">
      <c r="A235" s="422" t="s">
        <v>2078</v>
      </c>
      <c r="B235" s="422" t="s">
        <v>412</v>
      </c>
      <c r="C235" s="422" t="s">
        <v>413</v>
      </c>
      <c r="D235" s="422" t="s">
        <v>428</v>
      </c>
      <c r="E235" s="422" t="s">
        <v>2079</v>
      </c>
      <c r="F235" s="428">
        <v>0.7</v>
      </c>
      <c r="G235" s="418"/>
      <c r="H235" s="427"/>
      <c r="I235" s="422" t="s">
        <v>2080</v>
      </c>
    </row>
    <row r="236" spans="1:9" x14ac:dyDescent="0.2">
      <c r="A236" s="422" t="s">
        <v>1029</v>
      </c>
      <c r="B236" s="422" t="s">
        <v>487</v>
      </c>
      <c r="C236" s="422" t="s">
        <v>887</v>
      </c>
      <c r="D236" s="422" t="s">
        <v>414</v>
      </c>
      <c r="E236" s="422" t="s">
        <v>414</v>
      </c>
      <c r="F236" s="428"/>
      <c r="G236" s="418">
        <v>64</v>
      </c>
      <c r="H236" s="427">
        <v>72</v>
      </c>
      <c r="I236" s="422" t="s">
        <v>1030</v>
      </c>
    </row>
    <row r="237" spans="1:9" x14ac:dyDescent="0.2">
      <c r="A237" s="422" t="s">
        <v>911</v>
      </c>
      <c r="B237" s="422" t="s">
        <v>412</v>
      </c>
      <c r="C237" s="422" t="s">
        <v>427</v>
      </c>
      <c r="D237" s="422" t="s">
        <v>421</v>
      </c>
      <c r="E237" s="422" t="s">
        <v>1180</v>
      </c>
      <c r="F237" s="428">
        <v>0.73</v>
      </c>
      <c r="G237" s="418">
        <v>52</v>
      </c>
      <c r="H237" s="427">
        <v>58</v>
      </c>
      <c r="I237" s="422" t="s">
        <v>1183</v>
      </c>
    </row>
    <row r="238" spans="1:9" x14ac:dyDescent="0.2">
      <c r="A238" s="422" t="s">
        <v>1063</v>
      </c>
      <c r="B238" s="422" t="s">
        <v>412</v>
      </c>
      <c r="C238" s="422" t="s">
        <v>420</v>
      </c>
      <c r="D238" s="422" t="s">
        <v>423</v>
      </c>
      <c r="E238" s="422" t="s">
        <v>421</v>
      </c>
      <c r="F238" s="428"/>
      <c r="G238" s="418">
        <v>68</v>
      </c>
      <c r="H238" s="427">
        <v>72</v>
      </c>
      <c r="I238" s="422" t="s">
        <v>1064</v>
      </c>
    </row>
    <row r="239" spans="1:9" x14ac:dyDescent="0.2">
      <c r="A239" s="422" t="s">
        <v>874</v>
      </c>
      <c r="B239" s="422" t="s">
        <v>412</v>
      </c>
      <c r="C239" s="422" t="s">
        <v>875</v>
      </c>
      <c r="D239" s="422" t="s">
        <v>421</v>
      </c>
      <c r="E239" s="422" t="s">
        <v>421</v>
      </c>
      <c r="F239" s="428"/>
      <c r="G239" s="418">
        <v>65</v>
      </c>
      <c r="H239" s="427">
        <v>70</v>
      </c>
      <c r="I239" s="422" t="s">
        <v>876</v>
      </c>
    </row>
    <row r="240" spans="1:9" x14ac:dyDescent="0.2">
      <c r="A240" s="422" t="s">
        <v>566</v>
      </c>
      <c r="B240" s="422" t="s">
        <v>412</v>
      </c>
      <c r="C240" s="422" t="s">
        <v>427</v>
      </c>
      <c r="D240" s="422" t="s">
        <v>421</v>
      </c>
      <c r="E240" s="422" t="s">
        <v>525</v>
      </c>
      <c r="F240" s="428">
        <v>0.69</v>
      </c>
      <c r="G240" s="418">
        <v>65</v>
      </c>
      <c r="H240" s="427">
        <v>75</v>
      </c>
      <c r="I240" s="422" t="s">
        <v>567</v>
      </c>
    </row>
    <row r="241" spans="1:9" x14ac:dyDescent="0.2">
      <c r="A241" s="422" t="s">
        <v>568</v>
      </c>
      <c r="B241" s="422" t="s">
        <v>487</v>
      </c>
      <c r="C241" s="422" t="s">
        <v>860</v>
      </c>
      <c r="D241" s="422" t="s">
        <v>421</v>
      </c>
      <c r="E241" s="422" t="s">
        <v>421</v>
      </c>
      <c r="F241" s="428">
        <v>0.75</v>
      </c>
      <c r="G241" s="418">
        <v>50</v>
      </c>
      <c r="H241" s="427">
        <v>72</v>
      </c>
      <c r="I241" s="422" t="s">
        <v>569</v>
      </c>
    </row>
    <row r="242" spans="1:9" x14ac:dyDescent="0.2">
      <c r="A242" s="422" t="s">
        <v>1077</v>
      </c>
      <c r="B242" s="422" t="s">
        <v>412</v>
      </c>
      <c r="C242" s="422" t="s">
        <v>427</v>
      </c>
      <c r="D242" s="422" t="s">
        <v>428</v>
      </c>
      <c r="E242" s="422" t="s">
        <v>429</v>
      </c>
      <c r="F242" s="428">
        <v>0.75</v>
      </c>
      <c r="G242" s="418">
        <v>48</v>
      </c>
      <c r="H242" s="427">
        <v>58</v>
      </c>
      <c r="I242" s="422" t="s">
        <v>1078</v>
      </c>
    </row>
    <row r="243" spans="1:9" x14ac:dyDescent="0.2">
      <c r="A243" s="422" t="s">
        <v>1079</v>
      </c>
      <c r="B243" s="422" t="s">
        <v>412</v>
      </c>
      <c r="C243" s="422" t="s">
        <v>413</v>
      </c>
      <c r="D243" s="422" t="s">
        <v>414</v>
      </c>
      <c r="E243" s="422" t="s">
        <v>1080</v>
      </c>
      <c r="F243" s="428">
        <v>0.69</v>
      </c>
      <c r="G243" s="418">
        <v>52</v>
      </c>
      <c r="H243" s="427">
        <v>58</v>
      </c>
      <c r="I243" s="422" t="s">
        <v>1081</v>
      </c>
    </row>
    <row r="244" spans="1:9" x14ac:dyDescent="0.2">
      <c r="A244" s="422" t="s">
        <v>1016</v>
      </c>
      <c r="B244" s="422" t="s">
        <v>412</v>
      </c>
      <c r="C244" s="422" t="s">
        <v>413</v>
      </c>
      <c r="D244" s="422" t="s">
        <v>414</v>
      </c>
      <c r="E244" s="422" t="s">
        <v>1017</v>
      </c>
      <c r="F244" s="428">
        <v>0.69</v>
      </c>
      <c r="G244" s="418">
        <v>50</v>
      </c>
      <c r="H244" s="427">
        <v>55</v>
      </c>
      <c r="I244" s="422" t="s">
        <v>1018</v>
      </c>
    </row>
    <row r="245" spans="1:9" x14ac:dyDescent="0.2">
      <c r="A245" s="422" t="s">
        <v>877</v>
      </c>
      <c r="B245" s="422" t="s">
        <v>412</v>
      </c>
      <c r="C245" s="422" t="s">
        <v>875</v>
      </c>
      <c r="D245" s="422" t="s">
        <v>421</v>
      </c>
      <c r="E245" s="422" t="s">
        <v>423</v>
      </c>
      <c r="F245" s="428">
        <v>0.76</v>
      </c>
      <c r="G245" s="418">
        <v>60</v>
      </c>
      <c r="H245" s="427">
        <v>68</v>
      </c>
      <c r="I245" s="422" t="s">
        <v>1140</v>
      </c>
    </row>
    <row r="246" spans="1:9" x14ac:dyDescent="0.2">
      <c r="A246" s="422" t="s">
        <v>878</v>
      </c>
      <c r="B246" s="422" t="s">
        <v>412</v>
      </c>
      <c r="C246" s="422" t="s">
        <v>875</v>
      </c>
      <c r="D246" s="422" t="s">
        <v>414</v>
      </c>
      <c r="E246" s="422" t="s">
        <v>414</v>
      </c>
      <c r="F246" s="428"/>
      <c r="G246" s="418">
        <v>58</v>
      </c>
      <c r="H246" s="427">
        <v>68</v>
      </c>
      <c r="I246" s="422" t="s">
        <v>879</v>
      </c>
    </row>
    <row r="247" spans="1:9" x14ac:dyDescent="0.2">
      <c r="A247" s="422" t="s">
        <v>880</v>
      </c>
      <c r="B247" s="422" t="s">
        <v>412</v>
      </c>
      <c r="C247" s="415" t="s">
        <v>413</v>
      </c>
      <c r="D247" s="422" t="s">
        <v>414</v>
      </c>
      <c r="E247" s="422" t="s">
        <v>414</v>
      </c>
      <c r="F247" s="428"/>
      <c r="G247" s="418">
        <v>66</v>
      </c>
      <c r="H247" s="427">
        <v>70</v>
      </c>
      <c r="I247" s="422" t="s">
        <v>881</v>
      </c>
    </row>
    <row r="248" spans="1:9" x14ac:dyDescent="0.2">
      <c r="A248" s="422" t="s">
        <v>2065</v>
      </c>
      <c r="B248" s="422" t="s">
        <v>412</v>
      </c>
      <c r="C248" s="415" t="s">
        <v>413</v>
      </c>
      <c r="D248" s="422" t="s">
        <v>417</v>
      </c>
      <c r="E248" s="422" t="s">
        <v>1939</v>
      </c>
      <c r="F248" s="428">
        <v>0.75</v>
      </c>
      <c r="G248" s="418">
        <v>77</v>
      </c>
      <c r="H248" s="427">
        <v>95</v>
      </c>
      <c r="I248" s="422" t="s">
        <v>2064</v>
      </c>
    </row>
    <row r="249" spans="1:9" x14ac:dyDescent="0.2">
      <c r="A249" s="422" t="s">
        <v>996</v>
      </c>
      <c r="B249" s="422" t="s">
        <v>412</v>
      </c>
      <c r="C249" s="422" t="s">
        <v>875</v>
      </c>
      <c r="D249" s="422"/>
      <c r="E249" s="422" t="s">
        <v>414</v>
      </c>
      <c r="F249" s="428"/>
      <c r="G249" s="418">
        <v>68</v>
      </c>
      <c r="H249" s="427">
        <v>74</v>
      </c>
      <c r="I249" s="422" t="s">
        <v>997</v>
      </c>
    </row>
    <row r="250" spans="1:9" x14ac:dyDescent="0.2">
      <c r="A250" s="422" t="s">
        <v>570</v>
      </c>
      <c r="B250" s="422" t="s">
        <v>412</v>
      </c>
      <c r="C250" s="422" t="s">
        <v>413</v>
      </c>
      <c r="D250" s="422" t="s">
        <v>421</v>
      </c>
      <c r="E250" s="422" t="s">
        <v>527</v>
      </c>
      <c r="F250" s="428">
        <v>0.67500000000000004</v>
      </c>
      <c r="G250" s="418">
        <v>65</v>
      </c>
      <c r="H250" s="427">
        <v>68</v>
      </c>
      <c r="I250" s="422" t="s">
        <v>571</v>
      </c>
    </row>
    <row r="251" spans="1:9" x14ac:dyDescent="0.2">
      <c r="A251" s="422" t="s">
        <v>998</v>
      </c>
      <c r="B251" s="422" t="s">
        <v>412</v>
      </c>
      <c r="C251" s="422" t="s">
        <v>427</v>
      </c>
      <c r="D251" s="422"/>
      <c r="E251" s="422" t="s">
        <v>125</v>
      </c>
      <c r="F251" s="428"/>
      <c r="G251" s="418">
        <v>60</v>
      </c>
      <c r="H251" s="427">
        <v>95</v>
      </c>
      <c r="I251" s="422" t="s">
        <v>995</v>
      </c>
    </row>
    <row r="252" spans="1:9" x14ac:dyDescent="0.2">
      <c r="A252" s="422" t="s">
        <v>2088</v>
      </c>
      <c r="B252" s="422" t="s">
        <v>412</v>
      </c>
      <c r="C252" s="422" t="s">
        <v>413</v>
      </c>
      <c r="D252" s="422" t="s">
        <v>2089</v>
      </c>
      <c r="E252" s="422"/>
      <c r="F252" s="428"/>
      <c r="G252" s="418"/>
      <c r="H252" s="427"/>
      <c r="I252" s="422" t="s">
        <v>2090</v>
      </c>
    </row>
    <row r="253" spans="1:9" x14ac:dyDescent="0.2">
      <c r="A253" s="422" t="s">
        <v>1065</v>
      </c>
      <c r="B253" s="422" t="s">
        <v>412</v>
      </c>
      <c r="C253" s="422" t="s">
        <v>427</v>
      </c>
      <c r="D253" s="422" t="s">
        <v>414</v>
      </c>
      <c r="E253" s="422" t="s">
        <v>554</v>
      </c>
      <c r="F253" s="428">
        <v>0.73</v>
      </c>
      <c r="G253" s="418">
        <v>48</v>
      </c>
      <c r="H253" s="427">
        <v>56</v>
      </c>
      <c r="I253" s="422" t="s">
        <v>1066</v>
      </c>
    </row>
    <row r="254" spans="1:9" x14ac:dyDescent="0.2">
      <c r="A254" s="422" t="s">
        <v>1067</v>
      </c>
      <c r="B254" s="422" t="s">
        <v>412</v>
      </c>
      <c r="C254" s="422" t="s">
        <v>413</v>
      </c>
      <c r="D254" s="422" t="s">
        <v>417</v>
      </c>
      <c r="E254" s="422" t="s">
        <v>1068</v>
      </c>
      <c r="F254" s="428">
        <v>0.745</v>
      </c>
      <c r="G254" s="418">
        <v>50</v>
      </c>
      <c r="H254" s="427">
        <v>55</v>
      </c>
      <c r="I254" s="422" t="s">
        <v>1069</v>
      </c>
    </row>
    <row r="255" spans="1:9" x14ac:dyDescent="0.2">
      <c r="A255" s="422" t="s">
        <v>2035</v>
      </c>
      <c r="B255" s="422" t="s">
        <v>412</v>
      </c>
      <c r="C255" s="422" t="s">
        <v>413</v>
      </c>
      <c r="D255" s="422" t="s">
        <v>414</v>
      </c>
      <c r="E255" s="422" t="s">
        <v>424</v>
      </c>
      <c r="F255" s="428">
        <v>0.72499999999999998</v>
      </c>
      <c r="G255" s="418">
        <v>67</v>
      </c>
      <c r="H255" s="427">
        <v>70</v>
      </c>
      <c r="I255" s="422" t="s">
        <v>2036</v>
      </c>
    </row>
    <row r="256" spans="1:9" x14ac:dyDescent="0.2">
      <c r="A256" s="422" t="s">
        <v>912</v>
      </c>
      <c r="B256" s="422" t="s">
        <v>412</v>
      </c>
      <c r="C256" s="422" t="s">
        <v>427</v>
      </c>
      <c r="D256" s="422" t="s">
        <v>423</v>
      </c>
      <c r="E256" s="422" t="s">
        <v>414</v>
      </c>
      <c r="F256" s="428"/>
      <c r="G256" s="418">
        <v>48</v>
      </c>
      <c r="H256" s="427">
        <v>68</v>
      </c>
      <c r="I256" s="422" t="s">
        <v>913</v>
      </c>
    </row>
    <row r="257" spans="1:9" x14ac:dyDescent="0.2">
      <c r="A257" s="422" t="s">
        <v>572</v>
      </c>
      <c r="B257" s="422" t="s">
        <v>412</v>
      </c>
      <c r="C257" s="422" t="s">
        <v>427</v>
      </c>
      <c r="D257" s="422" t="s">
        <v>421</v>
      </c>
      <c r="E257" s="422" t="s">
        <v>521</v>
      </c>
      <c r="F257" s="428">
        <v>0.7</v>
      </c>
      <c r="G257" s="418">
        <v>64</v>
      </c>
      <c r="H257" s="427">
        <v>74</v>
      </c>
      <c r="I257" s="422" t="s">
        <v>573</v>
      </c>
    </row>
    <row r="258" spans="1:9" x14ac:dyDescent="0.2">
      <c r="A258" s="422" t="s">
        <v>914</v>
      </c>
      <c r="B258" s="422" t="s">
        <v>412</v>
      </c>
      <c r="C258" s="422" t="s">
        <v>427</v>
      </c>
      <c r="D258" s="422" t="s">
        <v>417</v>
      </c>
      <c r="E258" s="422" t="s">
        <v>1176</v>
      </c>
      <c r="F258" s="428">
        <v>0.72</v>
      </c>
      <c r="G258" s="418">
        <v>48</v>
      </c>
      <c r="H258" s="427">
        <v>56</v>
      </c>
      <c r="I258" s="422" t="s">
        <v>1184</v>
      </c>
    </row>
    <row r="259" spans="1:9" x14ac:dyDescent="0.2">
      <c r="A259" s="422" t="s">
        <v>999</v>
      </c>
      <c r="B259" s="422" t="s">
        <v>412</v>
      </c>
      <c r="C259" s="422" t="s">
        <v>427</v>
      </c>
      <c r="D259" s="422" t="s">
        <v>126</v>
      </c>
      <c r="E259" s="422" t="s">
        <v>1185</v>
      </c>
      <c r="F259" s="428">
        <v>0.8</v>
      </c>
      <c r="G259" s="418">
        <v>65</v>
      </c>
      <c r="H259" s="427">
        <v>85</v>
      </c>
      <c r="I259" s="422" t="s">
        <v>1186</v>
      </c>
    </row>
    <row r="260" spans="1:9" x14ac:dyDescent="0.2">
      <c r="A260" s="422" t="s">
        <v>2085</v>
      </c>
      <c r="B260" s="422" t="s">
        <v>412</v>
      </c>
      <c r="C260" s="422" t="s">
        <v>413</v>
      </c>
      <c r="D260" s="422" t="s">
        <v>423</v>
      </c>
      <c r="E260" s="422">
        <v>85</v>
      </c>
      <c r="F260" s="428">
        <v>0.85</v>
      </c>
      <c r="G260" s="418">
        <v>70</v>
      </c>
      <c r="H260" s="427">
        <v>85</v>
      </c>
      <c r="I260" s="422" t="s">
        <v>2084</v>
      </c>
    </row>
    <row r="261" spans="1:9" ht="25.5" x14ac:dyDescent="0.2">
      <c r="A261" s="422" t="s">
        <v>1196</v>
      </c>
      <c r="B261" s="422" t="s">
        <v>487</v>
      </c>
      <c r="C261" s="422" t="s">
        <v>529</v>
      </c>
      <c r="D261" s="422"/>
      <c r="E261" s="425"/>
      <c r="F261" s="428">
        <v>0.9</v>
      </c>
      <c r="G261" s="418">
        <v>64.400000000000006</v>
      </c>
      <c r="H261" s="427">
        <v>82.4</v>
      </c>
      <c r="I261" s="430" t="s">
        <v>1197</v>
      </c>
    </row>
    <row r="262" spans="1:9" ht="25.5" x14ac:dyDescent="0.2">
      <c r="A262" s="422" t="s">
        <v>1212</v>
      </c>
      <c r="B262" s="422" t="s">
        <v>487</v>
      </c>
      <c r="C262" s="422" t="s">
        <v>529</v>
      </c>
      <c r="D262" s="422"/>
      <c r="E262" s="425"/>
      <c r="F262" s="428">
        <v>0.82</v>
      </c>
      <c r="G262" s="418">
        <v>59</v>
      </c>
      <c r="H262" s="427">
        <v>68</v>
      </c>
      <c r="I262" s="430" t="s">
        <v>1213</v>
      </c>
    </row>
    <row r="263" spans="1:9" ht="38.25" x14ac:dyDescent="0.2">
      <c r="A263" s="422" t="s">
        <v>1210</v>
      </c>
      <c r="B263" s="422" t="s">
        <v>487</v>
      </c>
      <c r="C263" s="422" t="s">
        <v>529</v>
      </c>
      <c r="D263" s="422"/>
      <c r="E263" s="425"/>
      <c r="F263" s="428"/>
      <c r="G263" s="418">
        <v>59</v>
      </c>
      <c r="H263" s="427">
        <v>77</v>
      </c>
      <c r="I263" s="430" t="s">
        <v>1211</v>
      </c>
    </row>
    <row r="264" spans="1:9" ht="25.5" x14ac:dyDescent="0.2">
      <c r="A264" s="422" t="s">
        <v>1208</v>
      </c>
      <c r="B264" s="422" t="s">
        <v>487</v>
      </c>
      <c r="C264" s="422" t="s">
        <v>529</v>
      </c>
      <c r="D264" s="422"/>
      <c r="E264" s="425"/>
      <c r="F264" s="428">
        <v>0.81</v>
      </c>
      <c r="G264" s="418">
        <v>59</v>
      </c>
      <c r="H264" s="427">
        <v>68</v>
      </c>
      <c r="I264" s="430" t="s">
        <v>1209</v>
      </c>
    </row>
    <row r="265" spans="1:9" ht="38.25" x14ac:dyDescent="0.2">
      <c r="A265" s="422" t="s">
        <v>1198</v>
      </c>
      <c r="B265" s="422" t="s">
        <v>487</v>
      </c>
      <c r="C265" s="422" t="s">
        <v>529</v>
      </c>
      <c r="D265" s="422"/>
      <c r="E265" s="425"/>
      <c r="F265" s="428">
        <v>0.79</v>
      </c>
      <c r="G265" s="418">
        <v>59</v>
      </c>
      <c r="H265" s="427">
        <v>68</v>
      </c>
      <c r="I265" s="430" t="s">
        <v>1199</v>
      </c>
    </row>
    <row r="266" spans="1:9" ht="38.25" x14ac:dyDescent="0.2">
      <c r="A266" s="422" t="s">
        <v>1203</v>
      </c>
      <c r="B266" s="422" t="s">
        <v>487</v>
      </c>
      <c r="C266" s="422" t="s">
        <v>529</v>
      </c>
      <c r="D266" s="422"/>
      <c r="E266" s="425"/>
      <c r="F266" s="428">
        <v>0.75</v>
      </c>
      <c r="G266" s="418">
        <v>59</v>
      </c>
      <c r="H266" s="427">
        <v>68</v>
      </c>
      <c r="I266" s="430" t="s">
        <v>1204</v>
      </c>
    </row>
    <row r="267" spans="1:9" ht="25.5" x14ac:dyDescent="0.2">
      <c r="A267" s="422" t="s">
        <v>1201</v>
      </c>
      <c r="B267" s="422" t="s">
        <v>487</v>
      </c>
      <c r="C267" s="422" t="s">
        <v>529</v>
      </c>
      <c r="D267" s="422"/>
      <c r="E267" s="425"/>
      <c r="F267" s="428">
        <v>0.75</v>
      </c>
      <c r="G267" s="418">
        <v>59</v>
      </c>
      <c r="H267" s="427">
        <v>68</v>
      </c>
      <c r="I267" s="430" t="s">
        <v>1202</v>
      </c>
    </row>
    <row r="268" spans="1:9" ht="25.5" x14ac:dyDescent="0.2">
      <c r="A268" s="422" t="s">
        <v>1200</v>
      </c>
      <c r="B268" s="422" t="s">
        <v>487</v>
      </c>
      <c r="C268" s="422" t="s">
        <v>529</v>
      </c>
      <c r="D268" s="422" t="s">
        <v>414</v>
      </c>
      <c r="E268" s="422" t="s">
        <v>421</v>
      </c>
      <c r="F268" s="428">
        <v>0.81</v>
      </c>
      <c r="G268" s="418">
        <v>64</v>
      </c>
      <c r="H268" s="427">
        <v>82</v>
      </c>
      <c r="I268" s="430" t="s">
        <v>1195</v>
      </c>
    </row>
    <row r="269" spans="1:9" x14ac:dyDescent="0.2">
      <c r="A269" s="422" t="s">
        <v>1090</v>
      </c>
      <c r="B269" s="422" t="s">
        <v>487</v>
      </c>
      <c r="C269" s="422" t="s">
        <v>529</v>
      </c>
      <c r="D269" s="422" t="s">
        <v>421</v>
      </c>
      <c r="E269" s="422" t="s">
        <v>421</v>
      </c>
      <c r="F269" s="428">
        <v>0.86</v>
      </c>
      <c r="G269" s="418">
        <v>64</v>
      </c>
      <c r="H269" s="427">
        <v>75</v>
      </c>
      <c r="I269" s="422" t="s">
        <v>1091</v>
      </c>
    </row>
    <row r="270" spans="1:9" ht="25.5" x14ac:dyDescent="0.2">
      <c r="A270" s="422" t="s">
        <v>1214</v>
      </c>
      <c r="B270" s="422" t="s">
        <v>487</v>
      </c>
      <c r="C270" s="422" t="s">
        <v>529</v>
      </c>
      <c r="D270" s="422"/>
      <c r="E270" s="425"/>
      <c r="F270" s="428">
        <v>0.84</v>
      </c>
      <c r="G270" s="418">
        <v>53.6</v>
      </c>
      <c r="H270" s="427">
        <v>59</v>
      </c>
      <c r="I270" s="430" t="s">
        <v>1215</v>
      </c>
    </row>
    <row r="271" spans="1:9" x14ac:dyDescent="0.2">
      <c r="A271" s="422" t="s">
        <v>1207</v>
      </c>
      <c r="B271" s="422" t="s">
        <v>487</v>
      </c>
      <c r="C271" s="422" t="s">
        <v>529</v>
      </c>
      <c r="D271" s="422" t="s">
        <v>417</v>
      </c>
      <c r="E271" s="425">
        <v>0.8</v>
      </c>
      <c r="F271" s="428">
        <v>0.8</v>
      </c>
      <c r="G271" s="418">
        <v>48</v>
      </c>
      <c r="H271" s="427">
        <v>59</v>
      </c>
      <c r="I271" s="422" t="s">
        <v>1070</v>
      </c>
    </row>
    <row r="272" spans="1:9" x14ac:dyDescent="0.2">
      <c r="A272" s="422" t="s">
        <v>1206</v>
      </c>
      <c r="B272" s="422" t="s">
        <v>487</v>
      </c>
      <c r="C272" s="422" t="s">
        <v>529</v>
      </c>
      <c r="D272" s="422" t="s">
        <v>421</v>
      </c>
      <c r="E272" s="422" t="s">
        <v>421</v>
      </c>
      <c r="F272" s="428">
        <v>0.83</v>
      </c>
      <c r="G272" s="418">
        <v>54</v>
      </c>
      <c r="H272" s="427">
        <v>59</v>
      </c>
      <c r="I272" s="422" t="s">
        <v>915</v>
      </c>
    </row>
    <row r="273" spans="1:9" x14ac:dyDescent="0.2">
      <c r="A273" s="422" t="s">
        <v>1137</v>
      </c>
      <c r="B273" s="422" t="s">
        <v>412</v>
      </c>
      <c r="C273" s="422" t="s">
        <v>875</v>
      </c>
      <c r="D273" s="422" t="s">
        <v>414</v>
      </c>
      <c r="E273" s="422" t="s">
        <v>414</v>
      </c>
      <c r="F273" s="428">
        <v>0.8</v>
      </c>
      <c r="G273" s="418">
        <v>75</v>
      </c>
      <c r="H273" s="427">
        <v>85</v>
      </c>
      <c r="I273" s="422" t="s">
        <v>1138</v>
      </c>
    </row>
    <row r="274" spans="1:9" x14ac:dyDescent="0.2">
      <c r="A274" s="422" t="s">
        <v>1135</v>
      </c>
      <c r="B274" s="422" t="s">
        <v>412</v>
      </c>
      <c r="C274" s="422" t="s">
        <v>875</v>
      </c>
      <c r="D274" s="422" t="s">
        <v>414</v>
      </c>
      <c r="E274" s="422" t="s">
        <v>414</v>
      </c>
      <c r="F274" s="428">
        <v>0.77</v>
      </c>
      <c r="G274" s="418">
        <v>75</v>
      </c>
      <c r="H274" s="427">
        <v>82</v>
      </c>
      <c r="I274" s="422" t="s">
        <v>1143</v>
      </c>
    </row>
    <row r="275" spans="1:9" x14ac:dyDescent="0.2">
      <c r="A275" s="415" t="s">
        <v>1956</v>
      </c>
      <c r="B275" s="422" t="s">
        <v>412</v>
      </c>
      <c r="C275" s="422" t="s">
        <v>1914</v>
      </c>
      <c r="D275" s="422" t="s">
        <v>423</v>
      </c>
      <c r="E275" s="415" t="s">
        <v>1957</v>
      </c>
      <c r="F275" s="426">
        <v>0.85</v>
      </c>
      <c r="G275" s="418">
        <v>65</v>
      </c>
      <c r="H275" s="427">
        <v>78</v>
      </c>
      <c r="I275" s="415" t="s">
        <v>1958</v>
      </c>
    </row>
    <row r="276" spans="1:9" x14ac:dyDescent="0.2">
      <c r="A276" s="422" t="s">
        <v>882</v>
      </c>
      <c r="B276" s="422" t="s">
        <v>412</v>
      </c>
      <c r="C276" s="422" t="s">
        <v>413</v>
      </c>
      <c r="D276" s="422" t="s">
        <v>417</v>
      </c>
      <c r="E276" s="422" t="s">
        <v>421</v>
      </c>
      <c r="F276" s="428">
        <v>0.75</v>
      </c>
      <c r="G276" s="418">
        <v>65</v>
      </c>
      <c r="H276" s="427">
        <v>68</v>
      </c>
      <c r="I276" s="422" t="s">
        <v>883</v>
      </c>
    </row>
    <row r="277" spans="1:9" x14ac:dyDescent="0.2">
      <c r="A277" s="422" t="s">
        <v>574</v>
      </c>
      <c r="B277" s="422" t="s">
        <v>412</v>
      </c>
      <c r="C277" s="422" t="s">
        <v>413</v>
      </c>
      <c r="D277" s="422" t="s">
        <v>421</v>
      </c>
      <c r="E277" s="422" t="s">
        <v>527</v>
      </c>
      <c r="F277" s="428">
        <v>0.67500000000000004</v>
      </c>
      <c r="G277" s="418">
        <v>58</v>
      </c>
      <c r="H277" s="427">
        <v>65</v>
      </c>
      <c r="I277" s="422" t="s">
        <v>575</v>
      </c>
    </row>
    <row r="278" spans="1:9" x14ac:dyDescent="0.2">
      <c r="A278" s="422" t="s">
        <v>2122</v>
      </c>
      <c r="B278" s="422" t="s">
        <v>412</v>
      </c>
      <c r="C278" s="422" t="s">
        <v>413</v>
      </c>
      <c r="D278" s="422" t="s">
        <v>414</v>
      </c>
      <c r="E278" s="422" t="s">
        <v>415</v>
      </c>
      <c r="F278" s="428">
        <v>0.77500000000000002</v>
      </c>
      <c r="G278" s="418">
        <v>72</v>
      </c>
      <c r="H278" s="427">
        <v>77</v>
      </c>
      <c r="I278" s="422" t="s">
        <v>1084</v>
      </c>
    </row>
    <row r="279" spans="1:9" x14ac:dyDescent="0.2">
      <c r="A279" s="422" t="s">
        <v>576</v>
      </c>
      <c r="B279" s="422" t="s">
        <v>412</v>
      </c>
      <c r="C279" s="422" t="s">
        <v>427</v>
      </c>
      <c r="D279" s="422" t="s">
        <v>421</v>
      </c>
      <c r="E279" s="422" t="s">
        <v>577</v>
      </c>
      <c r="F279" s="428">
        <v>0.71</v>
      </c>
      <c r="G279" s="418">
        <v>55</v>
      </c>
      <c r="H279" s="427">
        <v>75</v>
      </c>
      <c r="I279" s="422" t="s">
        <v>578</v>
      </c>
    </row>
    <row r="280" spans="1:9" x14ac:dyDescent="0.2">
      <c r="A280" s="422" t="s">
        <v>918</v>
      </c>
      <c r="B280" s="422" t="s">
        <v>412</v>
      </c>
      <c r="C280" s="422" t="s">
        <v>875</v>
      </c>
      <c r="D280" s="422" t="s">
        <v>414</v>
      </c>
      <c r="E280" s="422" t="s">
        <v>1132</v>
      </c>
      <c r="F280" s="428">
        <v>0.78500000000000003</v>
      </c>
      <c r="G280" s="418">
        <v>60</v>
      </c>
      <c r="H280" s="427">
        <v>68</v>
      </c>
      <c r="I280" s="422" t="s">
        <v>1136</v>
      </c>
    </row>
    <row r="281" spans="1:9" x14ac:dyDescent="0.2">
      <c r="A281" s="422" t="s">
        <v>1146</v>
      </c>
      <c r="B281" s="422" t="s">
        <v>412</v>
      </c>
      <c r="C281" s="422" t="s">
        <v>875</v>
      </c>
      <c r="D281" s="422"/>
      <c r="E281" s="422"/>
      <c r="F281" s="428">
        <v>0.75</v>
      </c>
      <c r="G281" s="418">
        <v>62</v>
      </c>
      <c r="H281" s="427">
        <v>68</v>
      </c>
      <c r="I281" s="422" t="s">
        <v>1147</v>
      </c>
    </row>
    <row r="282" spans="1:9" x14ac:dyDescent="0.2">
      <c r="A282" s="422" t="s">
        <v>2053</v>
      </c>
      <c r="B282" s="422" t="s">
        <v>412</v>
      </c>
      <c r="C282" s="422" t="s">
        <v>413</v>
      </c>
      <c r="D282" s="422" t="s">
        <v>414</v>
      </c>
      <c r="E282" s="422" t="s">
        <v>1176</v>
      </c>
      <c r="F282" s="428">
        <v>0.72</v>
      </c>
      <c r="G282" s="418">
        <v>66</v>
      </c>
      <c r="H282" s="427">
        <v>70</v>
      </c>
      <c r="I282" s="422" t="s">
        <v>2054</v>
      </c>
    </row>
    <row r="283" spans="1:9" x14ac:dyDescent="0.2">
      <c r="A283" s="422" t="s">
        <v>1019</v>
      </c>
      <c r="B283" s="422" t="s">
        <v>412</v>
      </c>
      <c r="C283" s="422" t="s">
        <v>413</v>
      </c>
      <c r="D283" s="422" t="s">
        <v>417</v>
      </c>
      <c r="E283" s="422" t="s">
        <v>1020</v>
      </c>
      <c r="F283" s="428">
        <v>0.72</v>
      </c>
      <c r="G283" s="418">
        <v>50</v>
      </c>
      <c r="H283" s="427">
        <v>55</v>
      </c>
      <c r="I283" s="422" t="s">
        <v>1021</v>
      </c>
    </row>
    <row r="284" spans="1:9" x14ac:dyDescent="0.2">
      <c r="A284" s="422" t="s">
        <v>2032</v>
      </c>
      <c r="B284" s="422" t="s">
        <v>412</v>
      </c>
      <c r="C284" s="422" t="s">
        <v>413</v>
      </c>
      <c r="D284" s="422" t="s">
        <v>414</v>
      </c>
      <c r="E284" s="422" t="s">
        <v>2033</v>
      </c>
      <c r="F284" s="428">
        <v>0.71499999999999997</v>
      </c>
      <c r="G284" s="418">
        <v>66</v>
      </c>
      <c r="H284" s="427">
        <v>69</v>
      </c>
      <c r="I284" s="422" t="s">
        <v>2034</v>
      </c>
    </row>
    <row r="285" spans="1:9" x14ac:dyDescent="0.2">
      <c r="A285" s="422" t="s">
        <v>1022</v>
      </c>
      <c r="B285" s="422" t="s">
        <v>412</v>
      </c>
      <c r="C285" s="422" t="s">
        <v>427</v>
      </c>
      <c r="D285" s="422" t="s">
        <v>414</v>
      </c>
      <c r="E285" s="422" t="s">
        <v>1176</v>
      </c>
      <c r="F285" s="428">
        <v>0.72</v>
      </c>
      <c r="G285" s="418">
        <v>50</v>
      </c>
      <c r="H285" s="427">
        <v>58</v>
      </c>
      <c r="I285" s="422" t="s">
        <v>1187</v>
      </c>
    </row>
    <row r="286" spans="1:9" x14ac:dyDescent="0.2">
      <c r="A286" s="422" t="s">
        <v>579</v>
      </c>
      <c r="B286" s="422" t="s">
        <v>412</v>
      </c>
      <c r="C286" s="422" t="s">
        <v>413</v>
      </c>
      <c r="D286" s="422" t="s">
        <v>414</v>
      </c>
      <c r="E286" s="422" t="s">
        <v>919</v>
      </c>
      <c r="F286" s="428">
        <v>0.82</v>
      </c>
      <c r="G286" s="418">
        <v>65</v>
      </c>
      <c r="H286" s="427">
        <v>69</v>
      </c>
      <c r="I286" s="422" t="s">
        <v>580</v>
      </c>
    </row>
    <row r="287" spans="1:9" x14ac:dyDescent="0.2">
      <c r="A287" s="422" t="s">
        <v>2041</v>
      </c>
      <c r="B287" s="422" t="s">
        <v>412</v>
      </c>
      <c r="C287" s="422" t="s">
        <v>413</v>
      </c>
      <c r="D287" s="422" t="s">
        <v>414</v>
      </c>
      <c r="E287" s="422" t="s">
        <v>415</v>
      </c>
      <c r="F287" s="428">
        <v>0.77500000000000002</v>
      </c>
      <c r="G287" s="418">
        <v>75</v>
      </c>
      <c r="H287" s="427">
        <v>79</v>
      </c>
      <c r="I287" s="422" t="s">
        <v>920</v>
      </c>
    </row>
    <row r="288" spans="1:9" x14ac:dyDescent="0.2">
      <c r="A288" s="422" t="s">
        <v>2037</v>
      </c>
      <c r="B288" s="422" t="s">
        <v>412</v>
      </c>
      <c r="C288" s="422" t="s">
        <v>413</v>
      </c>
      <c r="D288" s="422" t="s">
        <v>421</v>
      </c>
      <c r="E288" s="422" t="s">
        <v>1188</v>
      </c>
      <c r="F288" s="428">
        <v>0.75</v>
      </c>
      <c r="G288" s="418"/>
      <c r="H288" s="427"/>
      <c r="I288" s="422" t="s">
        <v>2038</v>
      </c>
    </row>
    <row r="289" spans="1:9" x14ac:dyDescent="0.2">
      <c r="A289" s="422" t="s">
        <v>581</v>
      </c>
      <c r="B289" s="422" t="s">
        <v>412</v>
      </c>
      <c r="C289" s="422" t="s">
        <v>427</v>
      </c>
      <c r="D289" s="422" t="s">
        <v>414</v>
      </c>
      <c r="E289" s="422" t="s">
        <v>434</v>
      </c>
      <c r="F289" s="428">
        <v>0.74</v>
      </c>
      <c r="G289" s="418">
        <v>62</v>
      </c>
      <c r="H289" s="427">
        <v>72</v>
      </c>
      <c r="I289" s="422" t="s">
        <v>582</v>
      </c>
    </row>
    <row r="290" spans="1:9" x14ac:dyDescent="0.2">
      <c r="A290" s="422" t="s">
        <v>1031</v>
      </c>
      <c r="B290" s="422" t="s">
        <v>412</v>
      </c>
      <c r="C290" s="422" t="s">
        <v>427</v>
      </c>
      <c r="D290" s="422" t="s">
        <v>421</v>
      </c>
      <c r="E290" s="422" t="s">
        <v>1188</v>
      </c>
      <c r="F290" s="428">
        <v>0.75</v>
      </c>
      <c r="G290" s="418">
        <v>60</v>
      </c>
      <c r="H290" s="427">
        <v>70</v>
      </c>
      <c r="I290" s="422" t="s">
        <v>1189</v>
      </c>
    </row>
    <row r="291" spans="1:9" x14ac:dyDescent="0.2">
      <c r="A291" s="422" t="s">
        <v>956</v>
      </c>
      <c r="B291" s="422" t="s">
        <v>487</v>
      </c>
      <c r="C291" s="422" t="s">
        <v>869</v>
      </c>
      <c r="D291" s="422" t="s">
        <v>414</v>
      </c>
      <c r="E291" s="422" t="s">
        <v>415</v>
      </c>
      <c r="F291" s="428">
        <v>0.77500000000000002</v>
      </c>
      <c r="G291" s="418">
        <v>66</v>
      </c>
      <c r="H291" s="427">
        <v>72</v>
      </c>
      <c r="I291" s="422" t="s">
        <v>957</v>
      </c>
    </row>
    <row r="292" spans="1:9" x14ac:dyDescent="0.2">
      <c r="A292" s="422" t="s">
        <v>884</v>
      </c>
      <c r="B292" s="422" t="s">
        <v>487</v>
      </c>
      <c r="C292" s="422" t="s">
        <v>869</v>
      </c>
      <c r="D292" s="422" t="s">
        <v>421</v>
      </c>
      <c r="E292" s="422" t="s">
        <v>507</v>
      </c>
      <c r="F292" s="428">
        <v>0.75</v>
      </c>
      <c r="G292" s="418">
        <v>68</v>
      </c>
      <c r="H292" s="427">
        <v>75</v>
      </c>
      <c r="I292" s="422" t="s">
        <v>885</v>
      </c>
    </row>
    <row r="293" spans="1:9" x14ac:dyDescent="0.2">
      <c r="A293" s="422" t="s">
        <v>2077</v>
      </c>
      <c r="B293" s="422" t="s">
        <v>412</v>
      </c>
      <c r="C293" s="422" t="s">
        <v>413</v>
      </c>
      <c r="D293" s="422" t="s">
        <v>428</v>
      </c>
      <c r="E293" s="422" t="s">
        <v>2075</v>
      </c>
      <c r="F293" s="428">
        <v>0.4</v>
      </c>
      <c r="G293" s="418">
        <v>50</v>
      </c>
      <c r="H293" s="427">
        <v>86</v>
      </c>
      <c r="I293" s="422" t="s">
        <v>2076</v>
      </c>
    </row>
    <row r="294" spans="1:9" x14ac:dyDescent="0.2">
      <c r="A294" s="422" t="s">
        <v>583</v>
      </c>
      <c r="B294" s="422" t="s">
        <v>412</v>
      </c>
      <c r="C294" s="422" t="s">
        <v>420</v>
      </c>
      <c r="D294" s="422" t="s">
        <v>414</v>
      </c>
      <c r="E294" s="422" t="s">
        <v>421</v>
      </c>
      <c r="F294" s="428"/>
      <c r="G294" s="418">
        <v>64</v>
      </c>
      <c r="H294" s="427">
        <v>72</v>
      </c>
      <c r="I294" s="422" t="s">
        <v>958</v>
      </c>
    </row>
    <row r="295" spans="1:9" x14ac:dyDescent="0.2">
      <c r="A295" s="422" t="s">
        <v>584</v>
      </c>
      <c r="B295" s="422" t="s">
        <v>412</v>
      </c>
      <c r="C295" s="422" t="s">
        <v>413</v>
      </c>
      <c r="D295" s="422" t="s">
        <v>428</v>
      </c>
      <c r="E295" s="422" t="s">
        <v>415</v>
      </c>
      <c r="F295" s="428">
        <v>0.77500000000000002</v>
      </c>
      <c r="G295" s="418">
        <v>65</v>
      </c>
      <c r="H295" s="427">
        <v>72</v>
      </c>
      <c r="I295" s="422" t="s">
        <v>585</v>
      </c>
    </row>
    <row r="296" spans="1:9" x14ac:dyDescent="0.2">
      <c r="A296" s="422" t="s">
        <v>586</v>
      </c>
      <c r="B296" s="422" t="s">
        <v>412</v>
      </c>
      <c r="C296" s="422" t="s">
        <v>427</v>
      </c>
      <c r="D296" s="422" t="s">
        <v>414</v>
      </c>
      <c r="E296" s="422" t="s">
        <v>440</v>
      </c>
      <c r="F296" s="428">
        <v>0.76</v>
      </c>
      <c r="G296" s="418">
        <v>64</v>
      </c>
      <c r="H296" s="427">
        <v>78</v>
      </c>
      <c r="I296" s="422" t="s">
        <v>587</v>
      </c>
    </row>
    <row r="297" spans="1:9" x14ac:dyDescent="0.2">
      <c r="A297" s="422" t="s">
        <v>1190</v>
      </c>
      <c r="B297" s="422" t="s">
        <v>412</v>
      </c>
      <c r="C297" s="422" t="s">
        <v>427</v>
      </c>
      <c r="D297" s="422" t="s">
        <v>414</v>
      </c>
      <c r="E297" s="422" t="s">
        <v>1191</v>
      </c>
      <c r="F297" s="428">
        <v>0.77500000000000002</v>
      </c>
      <c r="G297" s="418">
        <v>68</v>
      </c>
      <c r="H297" s="427">
        <v>85</v>
      </c>
      <c r="I297" s="422" t="s">
        <v>1192</v>
      </c>
    </row>
    <row r="298" spans="1:9" x14ac:dyDescent="0.2">
      <c r="A298" s="415" t="s">
        <v>1932</v>
      </c>
      <c r="B298" s="422" t="s">
        <v>412</v>
      </c>
      <c r="C298" s="422" t="s">
        <v>1914</v>
      </c>
      <c r="D298" s="422" t="s">
        <v>423</v>
      </c>
      <c r="E298" s="415" t="s">
        <v>1933</v>
      </c>
      <c r="F298" s="428">
        <v>0.92500000000000004</v>
      </c>
      <c r="G298" s="418">
        <v>75</v>
      </c>
      <c r="H298" s="427">
        <v>85</v>
      </c>
      <c r="I298" s="415" t="s">
        <v>1934</v>
      </c>
    </row>
    <row r="299" spans="1:9" x14ac:dyDescent="0.2">
      <c r="A299" s="422" t="s">
        <v>1071</v>
      </c>
      <c r="B299" s="422" t="s">
        <v>412</v>
      </c>
      <c r="C299" s="422" t="s">
        <v>427</v>
      </c>
      <c r="D299" s="422" t="s">
        <v>417</v>
      </c>
      <c r="E299" s="422" t="s">
        <v>434</v>
      </c>
      <c r="F299" s="428">
        <v>0.74</v>
      </c>
      <c r="G299" s="418">
        <v>48</v>
      </c>
      <c r="H299" s="427">
        <v>56</v>
      </c>
      <c r="I299" s="422" t="s">
        <v>1072</v>
      </c>
    </row>
    <row r="300" spans="1:9" x14ac:dyDescent="0.2">
      <c r="A300" s="422" t="s">
        <v>886</v>
      </c>
      <c r="B300" s="422" t="s">
        <v>487</v>
      </c>
      <c r="C300" s="422" t="s">
        <v>887</v>
      </c>
      <c r="D300" s="422" t="s">
        <v>421</v>
      </c>
      <c r="E300" s="422" t="s">
        <v>421</v>
      </c>
      <c r="F300" s="428"/>
      <c r="G300" s="418">
        <v>59</v>
      </c>
      <c r="H300" s="427">
        <v>74</v>
      </c>
      <c r="I300" s="422" t="s">
        <v>888</v>
      </c>
    </row>
    <row r="301" spans="1:9" x14ac:dyDescent="0.2">
      <c r="A301" s="422" t="s">
        <v>1917</v>
      </c>
      <c r="B301" s="422" t="s">
        <v>412</v>
      </c>
      <c r="C301" s="422" t="s">
        <v>1914</v>
      </c>
      <c r="D301" s="422" t="s">
        <v>414</v>
      </c>
      <c r="E301" s="422" t="s">
        <v>1918</v>
      </c>
      <c r="F301" s="428">
        <v>0.78500000000000003</v>
      </c>
      <c r="G301" s="418">
        <v>72</v>
      </c>
      <c r="H301" s="427">
        <v>98</v>
      </c>
      <c r="I301" s="422" t="s">
        <v>1919</v>
      </c>
    </row>
    <row r="302" spans="1:9" x14ac:dyDescent="0.2">
      <c r="A302" s="415" t="s">
        <v>1622</v>
      </c>
      <c r="B302" s="415" t="s">
        <v>412</v>
      </c>
      <c r="C302" s="415" t="s">
        <v>1563</v>
      </c>
      <c r="D302" s="415" t="s">
        <v>423</v>
      </c>
      <c r="E302" s="415" t="s">
        <v>1191</v>
      </c>
      <c r="F302" s="426">
        <v>0.77500000000000002</v>
      </c>
      <c r="G302" s="418">
        <v>64</v>
      </c>
      <c r="H302" s="427">
        <v>74</v>
      </c>
      <c r="I302" s="415" t="s">
        <v>1623</v>
      </c>
    </row>
    <row r="303" spans="1:9" x14ac:dyDescent="0.2">
      <c r="A303" s="422" t="s">
        <v>588</v>
      </c>
      <c r="B303" s="422" t="s">
        <v>412</v>
      </c>
      <c r="C303" s="422" t="s">
        <v>427</v>
      </c>
      <c r="D303" s="422" t="s">
        <v>423</v>
      </c>
      <c r="E303" s="422" t="s">
        <v>429</v>
      </c>
      <c r="F303" s="428">
        <v>0.75</v>
      </c>
      <c r="G303" s="418">
        <v>64</v>
      </c>
      <c r="H303" s="427">
        <v>75</v>
      </c>
      <c r="I303" s="422" t="s">
        <v>589</v>
      </c>
    </row>
    <row r="304" spans="1:9" x14ac:dyDescent="0.2">
      <c r="A304" s="415" t="s">
        <v>1935</v>
      </c>
      <c r="B304" s="422" t="s">
        <v>412</v>
      </c>
      <c r="C304" s="422" t="s">
        <v>1914</v>
      </c>
      <c r="D304" s="422" t="s">
        <v>428</v>
      </c>
      <c r="E304" s="415" t="s">
        <v>1936</v>
      </c>
      <c r="F304" s="426">
        <v>0.76500000000000001</v>
      </c>
      <c r="G304" s="418">
        <v>60</v>
      </c>
      <c r="H304" s="427">
        <v>73</v>
      </c>
      <c r="I304" s="415" t="s">
        <v>1937</v>
      </c>
    </row>
    <row r="305" spans="1:9" x14ac:dyDescent="0.2">
      <c r="A305" s="422" t="s">
        <v>1032</v>
      </c>
      <c r="B305" s="422" t="s">
        <v>412</v>
      </c>
      <c r="C305" s="422" t="s">
        <v>427</v>
      </c>
      <c r="D305" s="422" t="s">
        <v>421</v>
      </c>
      <c r="E305" s="422" t="s">
        <v>1193</v>
      </c>
      <c r="F305" s="428">
        <v>0.69</v>
      </c>
      <c r="G305" s="418">
        <v>64</v>
      </c>
      <c r="H305" s="427">
        <v>72</v>
      </c>
      <c r="I305" s="422" t="s">
        <v>1194</v>
      </c>
    </row>
    <row r="306" spans="1:9" x14ac:dyDescent="0.2">
      <c r="A306" s="422" t="s">
        <v>590</v>
      </c>
      <c r="B306" s="422" t="s">
        <v>412</v>
      </c>
      <c r="C306" s="422" t="s">
        <v>427</v>
      </c>
      <c r="D306" s="422" t="s">
        <v>421</v>
      </c>
      <c r="E306" s="422" t="s">
        <v>521</v>
      </c>
      <c r="F306" s="428">
        <v>0.7</v>
      </c>
      <c r="G306" s="418">
        <v>64</v>
      </c>
      <c r="H306" s="427">
        <v>74</v>
      </c>
      <c r="I306" s="422" t="s">
        <v>591</v>
      </c>
    </row>
    <row r="307" spans="1:9" x14ac:dyDescent="0.2">
      <c r="A307" s="422" t="s">
        <v>2029</v>
      </c>
      <c r="B307" s="422" t="s">
        <v>412</v>
      </c>
      <c r="C307" s="422" t="s">
        <v>413</v>
      </c>
      <c r="D307" s="422" t="s">
        <v>421</v>
      </c>
      <c r="E307" s="422" t="s">
        <v>592</v>
      </c>
      <c r="F307" s="428">
        <v>0.7</v>
      </c>
      <c r="G307" s="418">
        <v>66</v>
      </c>
      <c r="H307" s="427">
        <v>70</v>
      </c>
      <c r="I307" s="422" t="s">
        <v>593</v>
      </c>
    </row>
    <row r="308" spans="1:9" x14ac:dyDescent="0.2">
      <c r="A308" s="422" t="s">
        <v>921</v>
      </c>
      <c r="B308" s="422" t="s">
        <v>487</v>
      </c>
      <c r="C308" s="422" t="s">
        <v>860</v>
      </c>
      <c r="D308" s="422" t="s">
        <v>423</v>
      </c>
      <c r="E308" s="422" t="s">
        <v>414</v>
      </c>
      <c r="F308" s="428">
        <v>0.75</v>
      </c>
      <c r="G308" s="418">
        <v>59</v>
      </c>
      <c r="H308" s="427">
        <v>72</v>
      </c>
      <c r="I308" s="422" t="s">
        <v>594</v>
      </c>
    </row>
    <row r="309" spans="1:9" x14ac:dyDescent="0.2">
      <c r="A309" s="422" t="s">
        <v>889</v>
      </c>
      <c r="B309" s="422" t="s">
        <v>487</v>
      </c>
      <c r="C309" s="422" t="s">
        <v>887</v>
      </c>
      <c r="D309" s="422" t="s">
        <v>414</v>
      </c>
      <c r="E309" s="422" t="s">
        <v>421</v>
      </c>
      <c r="F309" s="428"/>
      <c r="G309" s="418">
        <v>59</v>
      </c>
      <c r="H309" s="427">
        <v>68</v>
      </c>
      <c r="I309" s="422" t="s">
        <v>890</v>
      </c>
    </row>
    <row r="310" spans="1:9" x14ac:dyDescent="0.2">
      <c r="A310" s="422" t="s">
        <v>1040</v>
      </c>
      <c r="B310" s="422" t="s">
        <v>487</v>
      </c>
      <c r="C310" s="422" t="s">
        <v>869</v>
      </c>
      <c r="D310" s="422" t="s">
        <v>414</v>
      </c>
      <c r="E310" s="422" t="s">
        <v>472</v>
      </c>
      <c r="F310" s="428">
        <v>0.7</v>
      </c>
      <c r="G310" s="418">
        <v>65</v>
      </c>
      <c r="H310" s="427">
        <v>70</v>
      </c>
      <c r="I310" s="422" t="s">
        <v>1041</v>
      </c>
    </row>
    <row r="311" spans="1:9" x14ac:dyDescent="0.2">
      <c r="A311" s="422" t="s">
        <v>1033</v>
      </c>
      <c r="B311" s="422" t="s">
        <v>412</v>
      </c>
      <c r="C311" s="422" t="s">
        <v>413</v>
      </c>
      <c r="D311" s="422" t="s">
        <v>421</v>
      </c>
      <c r="E311" s="422" t="s">
        <v>423</v>
      </c>
      <c r="F311" s="428">
        <v>0.7</v>
      </c>
      <c r="G311" s="418">
        <v>65</v>
      </c>
      <c r="H311" s="427">
        <v>70</v>
      </c>
      <c r="I311" s="422" t="s">
        <v>1034</v>
      </c>
    </row>
    <row r="312" spans="1:9" x14ac:dyDescent="0.2">
      <c r="A312" s="422" t="s">
        <v>1073</v>
      </c>
      <c r="B312" s="422" t="s">
        <v>412</v>
      </c>
      <c r="C312" s="422" t="s">
        <v>413</v>
      </c>
      <c r="D312" s="422" t="s">
        <v>414</v>
      </c>
      <c r="E312" s="422" t="s">
        <v>507</v>
      </c>
      <c r="F312" s="428">
        <v>0.75</v>
      </c>
      <c r="G312" s="418">
        <v>50</v>
      </c>
      <c r="H312" s="427">
        <v>55</v>
      </c>
      <c r="I312" s="422" t="s">
        <v>1074</v>
      </c>
    </row>
    <row r="313" spans="1:9" x14ac:dyDescent="0.2">
      <c r="A313" s="422"/>
      <c r="B313" s="422"/>
      <c r="C313" s="422"/>
      <c r="D313" s="422"/>
      <c r="E313" s="422"/>
      <c r="F313" s="422"/>
      <c r="G313" s="418"/>
      <c r="H313" s="418"/>
      <c r="I313" s="422"/>
    </row>
    <row r="314" spans="1:9" x14ac:dyDescent="0.2">
      <c r="A314" s="422"/>
      <c r="B314" s="422"/>
      <c r="C314" s="422"/>
      <c r="D314" s="422"/>
      <c r="E314" s="422"/>
      <c r="F314" s="422"/>
      <c r="G314" s="418"/>
      <c r="H314" s="418"/>
      <c r="I314" s="422"/>
    </row>
    <row r="315" spans="1:9" x14ac:dyDescent="0.2">
      <c r="A315" s="422"/>
      <c r="B315" s="422"/>
      <c r="C315" s="422"/>
      <c r="D315" s="422"/>
      <c r="E315" s="422"/>
      <c r="F315" s="422"/>
      <c r="G315" s="418"/>
      <c r="H315" s="418"/>
      <c r="I315" s="422"/>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sheetData>
  <sheetProtection formatRows="0" insertRows="0" insertHyperlinks="0" deleteRows="0" selectLockedCells="1" sort="0" autoFilter="0"/>
  <sortState xmlns:xlrd2="http://schemas.microsoft.com/office/spreadsheetml/2017/richdata2" ref="A1:G727">
    <sortCondition ref="A1:A727"/>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2" t="s">
        <v>1643</v>
      </c>
      <c r="B1" s="1352"/>
      <c r="C1" s="1352"/>
      <c r="F1" s="53" t="s">
        <v>100</v>
      </c>
      <c r="G1" s="681" t="s">
        <v>1644</v>
      </c>
    </row>
    <row r="2" spans="1:7" ht="15" x14ac:dyDescent="0.25">
      <c r="A2" s="1" t="s">
        <v>1645</v>
      </c>
      <c r="B2" s="676">
        <v>14.74</v>
      </c>
      <c r="C2" s="2" t="s">
        <v>1646</v>
      </c>
      <c r="E2" s="1352" t="s">
        <v>1647</v>
      </c>
      <c r="F2" s="1352"/>
      <c r="G2" s="1352"/>
    </row>
    <row r="3" spans="1:7" x14ac:dyDescent="0.2">
      <c r="A3" s="1" t="s">
        <v>1226</v>
      </c>
      <c r="B3" s="841">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2">
        <f>B4*B2/100</f>
        <v>30.069600000000001</v>
      </c>
      <c r="C5" s="2" t="s">
        <v>1650</v>
      </c>
      <c r="D5" s="4"/>
      <c r="E5" s="1" t="s">
        <v>1651</v>
      </c>
      <c r="F5" s="680">
        <v>1.0580000000000001</v>
      </c>
    </row>
    <row r="6" spans="1:7" x14ac:dyDescent="0.2">
      <c r="A6" s="1" t="s">
        <v>1654</v>
      </c>
      <c r="B6" s="842">
        <f>B4-B5</f>
        <v>173.93039999999999</v>
      </c>
      <c r="C6" s="2" t="s">
        <v>1650</v>
      </c>
      <c r="D6" s="4"/>
      <c r="E6" s="1" t="s">
        <v>1655</v>
      </c>
      <c r="F6" s="843">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3" t="s">
        <v>1657</v>
      </c>
      <c r="B8" s="1353"/>
      <c r="C8" s="1353"/>
      <c r="G8" s="4"/>
    </row>
    <row r="9" spans="1:7" x14ac:dyDescent="0.2">
      <c r="A9" s="1" t="s">
        <v>1656</v>
      </c>
      <c r="B9" s="676">
        <v>14.74</v>
      </c>
      <c r="C9" s="2"/>
    </row>
    <row r="10" spans="1:7" x14ac:dyDescent="0.2">
      <c r="A10" s="1" t="s">
        <v>1226</v>
      </c>
      <c r="B10" s="841">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6">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6">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4">
        <v>1.94</v>
      </c>
      <c r="D10" s="343" t="s">
        <v>1815</v>
      </c>
      <c r="E10" s="846">
        <f>C10*32.174049</f>
        <v>62.417655059999994</v>
      </c>
      <c r="F10" s="343" t="s">
        <v>1816</v>
      </c>
    </row>
    <row r="11" spans="1:6" ht="17.25" x14ac:dyDescent="0.25">
      <c r="A11" s="343" t="s">
        <v>1817</v>
      </c>
      <c r="B11" s="347" t="s">
        <v>1650</v>
      </c>
      <c r="C11" s="844">
        <f>C3*E10</f>
        <v>63.041831610599992</v>
      </c>
      <c r="D11" s="343" t="s">
        <v>1818</v>
      </c>
    </row>
    <row r="12" spans="1:6" ht="17.25" x14ac:dyDescent="0.25">
      <c r="A12" s="343" t="s">
        <v>1819</v>
      </c>
      <c r="B12" s="343" t="s">
        <v>1820</v>
      </c>
      <c r="C12" s="844">
        <f>PI()*(E5/2)^2</f>
        <v>1.9174759848570515E-4</v>
      </c>
      <c r="D12" s="343" t="s">
        <v>1821</v>
      </c>
    </row>
    <row r="13" spans="1:6" ht="17.25" x14ac:dyDescent="0.25">
      <c r="A13" s="343" t="s">
        <v>1822</v>
      </c>
      <c r="B13" s="343" t="s">
        <v>1823</v>
      </c>
      <c r="C13" s="844">
        <f>0.016710069444/C7</f>
        <v>1.6710069444000001E-3</v>
      </c>
      <c r="D13" s="343" t="s">
        <v>1824</v>
      </c>
    </row>
    <row r="14" spans="1:6" x14ac:dyDescent="0.25">
      <c r="A14" s="343" t="s">
        <v>1825</v>
      </c>
      <c r="B14" s="343" t="s">
        <v>1826</v>
      </c>
      <c r="C14" s="844">
        <f>C13/C12</f>
        <v>8.7146173281777735</v>
      </c>
      <c r="D14" s="343" t="s">
        <v>1827</v>
      </c>
    </row>
    <row r="15" spans="1:6" ht="18.75" x14ac:dyDescent="0.35">
      <c r="A15" s="343" t="s">
        <v>1828</v>
      </c>
      <c r="B15" s="343" t="s">
        <v>1829</v>
      </c>
      <c r="C15" s="844">
        <f>0.00003228*C3</f>
        <v>3.2602800000000006E-5</v>
      </c>
      <c r="D15" s="343" t="s">
        <v>1830</v>
      </c>
    </row>
    <row r="16" spans="1:6" ht="17.25" x14ac:dyDescent="0.25">
      <c r="A16" s="343" t="s">
        <v>1831</v>
      </c>
      <c r="B16" s="347" t="s">
        <v>1832</v>
      </c>
      <c r="C16" s="844">
        <f>C15/C10</f>
        <v>1.6805567010309282E-5</v>
      </c>
      <c r="D16" s="343" t="s">
        <v>1833</v>
      </c>
    </row>
    <row r="17" spans="1:4" x14ac:dyDescent="0.25">
      <c r="A17" s="343" t="s">
        <v>1834</v>
      </c>
      <c r="B17" s="343" t="s">
        <v>1835</v>
      </c>
      <c r="C17" s="844">
        <f>(C13*E5)/(C16*C12)</f>
        <v>8102.4279436241259</v>
      </c>
    </row>
    <row r="18" spans="1:4" x14ac:dyDescent="0.25">
      <c r="A18" s="343" t="s">
        <v>1836</v>
      </c>
      <c r="B18" s="343" t="s">
        <v>1837</v>
      </c>
      <c r="C18" s="844">
        <f>0.25*(LOG10(C6/(3.7*C5)+5.74/C17^0.9))^-2</f>
        <v>3.2888353186781065E-2</v>
      </c>
    </row>
    <row r="19" spans="1:4" ht="15.75" thickBot="1" x14ac:dyDescent="0.3"/>
    <row r="20" spans="1:4" ht="16.5" thickTop="1" thickBot="1" x14ac:dyDescent="0.3">
      <c r="A20" s="346" t="s">
        <v>1838</v>
      </c>
      <c r="B20" s="348" t="s">
        <v>1839</v>
      </c>
      <c r="C20" s="845">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4" t="s">
        <v>64</v>
      </c>
      <c r="B1" s="1355"/>
      <c r="C1" s="1355"/>
      <c r="E1" s="1354" t="s">
        <v>61</v>
      </c>
      <c r="F1" s="1355"/>
      <c r="G1" s="1355"/>
      <c r="I1" s="1354" t="s">
        <v>1637</v>
      </c>
      <c r="J1" s="1355"/>
      <c r="K1" s="1355"/>
      <c r="O1" s="1354" t="s">
        <v>37</v>
      </c>
      <c r="P1" s="1355"/>
      <c r="Q1" s="1355"/>
      <c r="R1" s="1356"/>
      <c r="T1" s="1354" t="s">
        <v>28</v>
      </c>
      <c r="U1" s="1355"/>
      <c r="V1" s="1355"/>
    </row>
    <row r="2" spans="1:22" ht="15.75" x14ac:dyDescent="0.3">
      <c r="A2" s="5" t="s">
        <v>38</v>
      </c>
      <c r="B2" s="672">
        <v>0.88</v>
      </c>
      <c r="C2" s="2" t="s">
        <v>15</v>
      </c>
      <c r="E2" s="5" t="s">
        <v>53</v>
      </c>
      <c r="F2" s="672">
        <v>1.73</v>
      </c>
      <c r="G2" s="2" t="s">
        <v>55</v>
      </c>
      <c r="I2" s="5" t="s">
        <v>53</v>
      </c>
      <c r="J2" s="672">
        <v>1.73</v>
      </c>
      <c r="K2" s="2" t="s">
        <v>55</v>
      </c>
      <c r="O2" s="1353" t="s">
        <v>19</v>
      </c>
      <c r="P2" s="1353"/>
      <c r="Q2" s="1366" t="s">
        <v>46</v>
      </c>
      <c r="R2" s="1365" t="s">
        <v>65</v>
      </c>
      <c r="T2" s="1353" t="s">
        <v>21</v>
      </c>
      <c r="U2" s="1361" t="s">
        <v>45</v>
      </c>
      <c r="V2" s="1365" t="s">
        <v>35</v>
      </c>
    </row>
    <row r="3" spans="1:22" ht="15.75" x14ac:dyDescent="0.3">
      <c r="A3" s="5" t="s">
        <v>36</v>
      </c>
      <c r="B3" s="672">
        <v>3.6</v>
      </c>
      <c r="C3" s="2" t="s">
        <v>15</v>
      </c>
      <c r="E3" s="5" t="s">
        <v>54</v>
      </c>
      <c r="F3" s="672">
        <v>6.5</v>
      </c>
      <c r="G3" s="2" t="s">
        <v>55</v>
      </c>
      <c r="I3" s="5" t="s">
        <v>54</v>
      </c>
      <c r="J3" s="672">
        <v>6.5</v>
      </c>
      <c r="K3" s="2" t="s">
        <v>55</v>
      </c>
      <c r="O3" s="2" t="s">
        <v>18</v>
      </c>
      <c r="P3" s="2" t="s">
        <v>20</v>
      </c>
      <c r="Q3" s="1367"/>
      <c r="R3" s="1365"/>
      <c r="T3" s="1353"/>
      <c r="U3" s="1364"/>
      <c r="V3" s="1365"/>
    </row>
    <row r="4" spans="1:22" ht="30" customHeight="1" x14ac:dyDescent="0.2">
      <c r="A4" s="51" t="s">
        <v>1634</v>
      </c>
      <c r="B4" s="817">
        <f>'Recipe Sheet'!AD50</f>
        <v>0</v>
      </c>
      <c r="C4" s="817" t="str">
        <f>'Brewhouse Setup &amp; Calcs'!D18</f>
        <v>qt</v>
      </c>
      <c r="E4" s="51" t="s">
        <v>1634</v>
      </c>
      <c r="F4" s="817">
        <f>'Recipe Sheet'!AD50</f>
        <v>0</v>
      </c>
      <c r="G4" s="817" t="str">
        <f>'Brewhouse Setup &amp; Calcs'!D18</f>
        <v>qt</v>
      </c>
      <c r="I4" s="51" t="s">
        <v>1634</v>
      </c>
      <c r="J4" s="817">
        <f>'Recipe Sheet'!AD50</f>
        <v>0</v>
      </c>
      <c r="K4" s="817"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61" t="s">
        <v>56</v>
      </c>
      <c r="B5" s="847">
        <f>(B3-B2)*'Common Variables'!C14/(2*('Common Variables'!D6*'Common Variables'!D7/'Common Variables'!D8))</f>
        <v>10.18538810444088</v>
      </c>
      <c r="C5" s="52" t="s">
        <v>16</v>
      </c>
      <c r="E5" s="1361" t="s">
        <v>56</v>
      </c>
      <c r="F5" s="817">
        <f>(F3-F2)*2.16</f>
        <v>10.3032</v>
      </c>
      <c r="G5" s="2" t="s">
        <v>16</v>
      </c>
      <c r="I5" s="1233" t="s">
        <v>1639</v>
      </c>
      <c r="J5" s="847">
        <f>(J$3-J$2)/(0.5*0.91)</f>
        <v>10.483516483516482</v>
      </c>
      <c r="K5" s="52" t="s">
        <v>16</v>
      </c>
      <c r="O5" s="2">
        <v>2</v>
      </c>
      <c r="P5" s="7">
        <f t="shared" si="0"/>
        <v>35.6</v>
      </c>
      <c r="Q5" s="6">
        <v>3.14</v>
      </c>
      <c r="R5" s="6">
        <v>1.6</v>
      </c>
      <c r="T5" s="1" t="s">
        <v>31</v>
      </c>
      <c r="U5" s="2" t="s">
        <v>27</v>
      </c>
      <c r="V5" s="2" t="s">
        <v>23</v>
      </c>
    </row>
    <row r="6" spans="1:22" ht="13.5" thickBot="1" x14ac:dyDescent="0.25">
      <c r="A6" s="1362"/>
      <c r="B6" s="819">
        <f>B5*$B$4</f>
        <v>0</v>
      </c>
      <c r="C6" s="50" t="s">
        <v>1636</v>
      </c>
      <c r="E6" s="1363"/>
      <c r="F6" s="819">
        <f>F5*$B$4</f>
        <v>0</v>
      </c>
      <c r="G6" s="50" t="s">
        <v>1636</v>
      </c>
      <c r="I6" s="1362"/>
      <c r="J6" s="819">
        <f>J5*$B$4</f>
        <v>0</v>
      </c>
      <c r="K6" s="50" t="s">
        <v>1636</v>
      </c>
      <c r="O6" s="2">
        <v>4</v>
      </c>
      <c r="P6" s="7">
        <f t="shared" si="0"/>
        <v>39.200000000000003</v>
      </c>
      <c r="Q6" s="6">
        <v>2.95</v>
      </c>
      <c r="R6" s="6">
        <v>1.5</v>
      </c>
      <c r="T6" s="1" t="s">
        <v>30</v>
      </c>
      <c r="U6" s="2" t="s">
        <v>48</v>
      </c>
      <c r="V6" s="2" t="s">
        <v>24</v>
      </c>
    </row>
    <row r="7" spans="1:22" ht="13.5" thickBot="1" x14ac:dyDescent="0.25">
      <c r="A7" s="1363"/>
      <c r="B7" s="848">
        <f>B5/28.34952/1.056688</f>
        <v>0.34000483779648361</v>
      </c>
      <c r="C7" s="14" t="s">
        <v>1635</v>
      </c>
      <c r="E7" s="1363"/>
      <c r="F7" s="848">
        <f>F5/28.34952/1.056688</f>
        <v>0.34393759068025542</v>
      </c>
      <c r="G7" s="14" t="s">
        <v>1635</v>
      </c>
      <c r="I7" s="1363"/>
      <c r="J7" s="848">
        <f>J5/28.34952/1.056688</f>
        <v>0.34995684847400826</v>
      </c>
      <c r="K7" s="14" t="s">
        <v>1635</v>
      </c>
      <c r="O7" s="2">
        <v>6</v>
      </c>
      <c r="P7" s="7">
        <f t="shared" si="0"/>
        <v>42.8</v>
      </c>
      <c r="Q7" s="6">
        <v>2.75</v>
      </c>
      <c r="R7" s="6">
        <v>1.4</v>
      </c>
      <c r="T7" s="1" t="s">
        <v>29</v>
      </c>
      <c r="U7" s="2" t="s">
        <v>49</v>
      </c>
      <c r="V7" s="14" t="s">
        <v>74</v>
      </c>
    </row>
    <row r="8" spans="1:22" ht="13.5" thickBot="1" x14ac:dyDescent="0.25">
      <c r="A8" s="1362"/>
      <c r="B8" s="849">
        <f>$B$4*B7</f>
        <v>0</v>
      </c>
      <c r="C8" s="50" t="s">
        <v>1632</v>
      </c>
      <c r="E8" s="1364"/>
      <c r="F8" s="849">
        <f>$B$4*F7</f>
        <v>0</v>
      </c>
      <c r="G8" s="14" t="s">
        <v>1632</v>
      </c>
      <c r="I8" s="1362"/>
      <c r="J8" s="849">
        <f>$B$4*J7</f>
        <v>0</v>
      </c>
      <c r="K8" s="50" t="s">
        <v>1632</v>
      </c>
      <c r="O8" s="2">
        <v>8</v>
      </c>
      <c r="P8" s="7">
        <f t="shared" si="0"/>
        <v>46.4</v>
      </c>
      <c r="Q8" s="6">
        <v>2.5499999999999998</v>
      </c>
      <c r="R8" s="6">
        <v>1.3</v>
      </c>
      <c r="T8" s="13" t="s">
        <v>68</v>
      </c>
      <c r="U8" s="2" t="s">
        <v>50</v>
      </c>
      <c r="V8" s="14" t="s">
        <v>72</v>
      </c>
    </row>
    <row r="9" spans="1:22" ht="16.149999999999999" customHeight="1" thickBot="1" x14ac:dyDescent="0.35">
      <c r="A9" s="1361" t="s">
        <v>57</v>
      </c>
      <c r="B9" s="816">
        <f>B5*1.15</f>
        <v>11.713196320107011</v>
      </c>
      <c r="C9" s="2" t="s">
        <v>16</v>
      </c>
      <c r="E9" s="1361" t="s">
        <v>57</v>
      </c>
      <c r="F9" s="817">
        <f>F5*1.15</f>
        <v>11.84868</v>
      </c>
      <c r="G9" s="2" t="s">
        <v>16</v>
      </c>
      <c r="I9" s="1369" t="s">
        <v>1640</v>
      </c>
      <c r="J9" s="847">
        <f>(J$3-J$2)/(0.5*0.82*0.8)</f>
        <v>14.542682926829267</v>
      </c>
      <c r="K9" s="2" t="s">
        <v>16</v>
      </c>
      <c r="O9" s="2">
        <v>10</v>
      </c>
      <c r="P9" s="7">
        <f t="shared" si="0"/>
        <v>50</v>
      </c>
      <c r="Q9" s="6">
        <v>2.36</v>
      </c>
      <c r="R9" s="6">
        <v>1.2</v>
      </c>
      <c r="T9" s="13" t="s">
        <v>69</v>
      </c>
      <c r="U9" s="2"/>
      <c r="V9" s="14" t="s">
        <v>73</v>
      </c>
    </row>
    <row r="10" spans="1:22" ht="13.5" thickBot="1" x14ac:dyDescent="0.25">
      <c r="A10" s="1363"/>
      <c r="B10" s="819">
        <f>B9*$B$4</f>
        <v>0</v>
      </c>
      <c r="C10" s="14" t="s">
        <v>1636</v>
      </c>
      <c r="E10" s="1363"/>
      <c r="F10" s="819">
        <f>F9*$B$4</f>
        <v>0</v>
      </c>
      <c r="G10" s="14" t="s">
        <v>1636</v>
      </c>
      <c r="I10" s="1358"/>
      <c r="J10" s="819">
        <f>J9*$B$4</f>
        <v>0</v>
      </c>
      <c r="K10" s="14" t="s">
        <v>1636</v>
      </c>
      <c r="O10" s="2">
        <v>12</v>
      </c>
      <c r="P10" s="7">
        <f t="shared" si="0"/>
        <v>53.6</v>
      </c>
      <c r="Q10" s="6">
        <v>2.2000000000000002</v>
      </c>
      <c r="R10" s="6">
        <v>1.1200000000000001</v>
      </c>
      <c r="T10" s="1" t="s">
        <v>32</v>
      </c>
      <c r="U10" s="2" t="s">
        <v>50</v>
      </c>
      <c r="V10" s="2" t="s">
        <v>25</v>
      </c>
    </row>
    <row r="11" spans="1:22" ht="13.5" thickBot="1" x14ac:dyDescent="0.25">
      <c r="A11" s="1363"/>
      <c r="B11" s="839">
        <f>B9/28.34952/1.056688</f>
        <v>0.39100556346595611</v>
      </c>
      <c r="C11" s="14" t="s">
        <v>1635</v>
      </c>
      <c r="E11" s="1363"/>
      <c r="F11" s="839">
        <f>F9/28.34952/1.056688</f>
        <v>0.3955282292822937</v>
      </c>
      <c r="G11" s="14" t="s">
        <v>1635</v>
      </c>
      <c r="I11" s="1358"/>
      <c r="J11" s="839">
        <f>J9/28.34952/1.056688</f>
        <v>0.48545843309656644</v>
      </c>
      <c r="K11" s="14" t="s">
        <v>1635</v>
      </c>
      <c r="O11" s="2">
        <v>14</v>
      </c>
      <c r="P11" s="7">
        <f t="shared" si="0"/>
        <v>57.2</v>
      </c>
      <c r="Q11" s="6">
        <v>2.06</v>
      </c>
      <c r="R11" s="6">
        <v>1.05</v>
      </c>
      <c r="T11" s="1" t="s">
        <v>33</v>
      </c>
      <c r="U11" s="2" t="s">
        <v>52</v>
      </c>
      <c r="V11" s="2" t="s">
        <v>26</v>
      </c>
    </row>
    <row r="12" spans="1:22" ht="13.5" thickBot="1" x14ac:dyDescent="0.25">
      <c r="A12" s="1364"/>
      <c r="B12" s="849">
        <f>$B$4*B11</f>
        <v>0</v>
      </c>
      <c r="C12" s="50" t="s">
        <v>1632</v>
      </c>
      <c r="E12" s="1364"/>
      <c r="F12" s="849">
        <f>$B$4*F11</f>
        <v>0</v>
      </c>
      <c r="G12" s="50" t="s">
        <v>1632</v>
      </c>
      <c r="I12" s="1359"/>
      <c r="J12" s="849">
        <f>$B$4*J11</f>
        <v>0</v>
      </c>
      <c r="K12" s="50" t="s">
        <v>1632</v>
      </c>
      <c r="O12" s="2">
        <v>16</v>
      </c>
      <c r="P12" s="7">
        <f t="shared" si="0"/>
        <v>60.8</v>
      </c>
      <c r="Q12" s="6">
        <v>1.94</v>
      </c>
      <c r="R12" s="6">
        <v>0.99</v>
      </c>
      <c r="T12" s="1" t="s">
        <v>34</v>
      </c>
      <c r="U12" s="2" t="s">
        <v>51</v>
      </c>
      <c r="V12" s="14" t="s">
        <v>71</v>
      </c>
    </row>
    <row r="13" spans="1:22" ht="15" customHeight="1" thickBot="1" x14ac:dyDescent="0.35">
      <c r="A13" s="1357" t="s">
        <v>62</v>
      </c>
      <c r="B13" s="817">
        <f>B5*1.3</f>
        <v>13.241004535773145</v>
      </c>
      <c r="C13" s="2" t="s">
        <v>16</v>
      </c>
      <c r="E13" s="1357" t="s">
        <v>62</v>
      </c>
      <c r="F13" s="817">
        <f>F5*1.3</f>
        <v>13.394160000000001</v>
      </c>
      <c r="G13" s="2" t="s">
        <v>16</v>
      </c>
      <c r="O13" s="2">
        <v>18</v>
      </c>
      <c r="P13" s="7">
        <f t="shared" si="0"/>
        <v>64.400000000000006</v>
      </c>
      <c r="Q13" s="6">
        <v>1.83</v>
      </c>
      <c r="R13" s="6">
        <v>0.93</v>
      </c>
      <c r="T13" s="1"/>
      <c r="U13" s="2"/>
      <c r="V13" s="2"/>
    </row>
    <row r="14" spans="1:22" ht="15" customHeight="1" thickBot="1" x14ac:dyDescent="0.25">
      <c r="A14" s="1358"/>
      <c r="B14" s="819">
        <f>B13*$B$4</f>
        <v>0</v>
      </c>
      <c r="C14" s="50" t="s">
        <v>1636</v>
      </c>
      <c r="E14" s="1358"/>
      <c r="F14" s="819">
        <f>F13*$B$4</f>
        <v>0</v>
      </c>
      <c r="G14" s="50" t="s">
        <v>1636</v>
      </c>
      <c r="O14" s="2">
        <v>20</v>
      </c>
      <c r="P14" s="7">
        <f t="shared" si="0"/>
        <v>68</v>
      </c>
      <c r="Q14" s="6">
        <v>1.73</v>
      </c>
      <c r="R14" s="6">
        <v>0.88</v>
      </c>
      <c r="T14" s="1"/>
      <c r="U14" s="2"/>
      <c r="V14" s="2"/>
    </row>
    <row r="15" spans="1:22" ht="13.5" thickBot="1" x14ac:dyDescent="0.25">
      <c r="A15" s="1358"/>
      <c r="B15" s="839">
        <f>B13/28.34952/1.056688</f>
        <v>0.44200628913542872</v>
      </c>
      <c r="C15" s="14" t="s">
        <v>1635</v>
      </c>
      <c r="E15" s="1358"/>
      <c r="F15" s="839">
        <f>F13/28.34952/1.056688</f>
        <v>0.44711886788433203</v>
      </c>
      <c r="G15" s="14" t="s">
        <v>1635</v>
      </c>
      <c r="O15" s="2">
        <v>22</v>
      </c>
      <c r="P15" s="7">
        <f t="shared" si="0"/>
        <v>71.599999999999994</v>
      </c>
      <c r="Q15" s="6">
        <v>1.63</v>
      </c>
      <c r="R15" s="6">
        <v>0.83</v>
      </c>
    </row>
    <row r="16" spans="1:22" ht="13.5" thickBot="1" x14ac:dyDescent="0.25">
      <c r="A16" s="1359"/>
      <c r="B16" s="849">
        <f>$B$4*B15</f>
        <v>0</v>
      </c>
      <c r="C16" s="50" t="s">
        <v>1632</v>
      </c>
      <c r="E16" s="1359"/>
      <c r="F16" s="849">
        <f>$B$4*F15</f>
        <v>0</v>
      </c>
      <c r="G16" s="50" t="s">
        <v>1632</v>
      </c>
    </row>
    <row r="17" spans="1:17" ht="16.5" thickBot="1" x14ac:dyDescent="0.35">
      <c r="A17" s="1360" t="s">
        <v>63</v>
      </c>
      <c r="B17" s="817">
        <f>B5*1.4</f>
        <v>14.259543346217232</v>
      </c>
      <c r="C17" s="2" t="s">
        <v>16</v>
      </c>
      <c r="E17" s="1360" t="s">
        <v>63</v>
      </c>
      <c r="F17" s="817">
        <f>F5*1.4</f>
        <v>14.424479999999999</v>
      </c>
      <c r="G17" s="2" t="s">
        <v>16</v>
      </c>
      <c r="Q17" s="4"/>
    </row>
    <row r="18" spans="1:17" ht="13.5" thickBot="1" x14ac:dyDescent="0.25">
      <c r="A18" s="1360"/>
      <c r="B18" s="819">
        <f>B17*$B$4</f>
        <v>0</v>
      </c>
      <c r="C18" s="50" t="s">
        <v>1636</v>
      </c>
      <c r="E18" s="1360"/>
      <c r="F18" s="819">
        <f>F17*$B$4</f>
        <v>0</v>
      </c>
      <c r="G18" s="50" t="s">
        <v>1636</v>
      </c>
      <c r="Q18" s="4"/>
    </row>
    <row r="19" spans="1:17" ht="13.5" thickBot="1" x14ac:dyDescent="0.25">
      <c r="A19" s="1360"/>
      <c r="B19" s="839">
        <f>B17/28.34952/1.056688</f>
        <v>0.47600677291507704</v>
      </c>
      <c r="C19" s="2" t="s">
        <v>17</v>
      </c>
      <c r="E19" s="1360"/>
      <c r="F19" s="839">
        <f>F17/28.34952/1.056688</f>
        <v>0.48151262695235753</v>
      </c>
      <c r="G19" s="2" t="s">
        <v>17</v>
      </c>
    </row>
    <row r="20" spans="1:17" ht="13.5" thickBot="1" x14ac:dyDescent="0.25">
      <c r="A20" s="1360"/>
      <c r="B20" s="849">
        <f>$B$4*B19</f>
        <v>0</v>
      </c>
      <c r="C20" s="50" t="s">
        <v>1632</v>
      </c>
      <c r="E20" s="1360"/>
      <c r="F20" s="849">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8" t="s">
        <v>1513</v>
      </c>
      <c r="F32" s="1248"/>
      <c r="G32" s="1248"/>
    </row>
    <row r="33" spans="5:7" x14ac:dyDescent="0.2">
      <c r="E33" s="1368" t="s">
        <v>1514</v>
      </c>
      <c r="F33" s="1368"/>
      <c r="G33" s="675">
        <v>2.8</v>
      </c>
    </row>
    <row r="34" spans="5:7" x14ac:dyDescent="0.2">
      <c r="E34" s="1368" t="s">
        <v>1515</v>
      </c>
      <c r="F34" s="1368"/>
      <c r="G34" s="607">
        <v>38</v>
      </c>
    </row>
    <row r="35" spans="5:7" x14ac:dyDescent="0.2">
      <c r="E35" s="1368" t="s">
        <v>1516</v>
      </c>
      <c r="F35" s="1368"/>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0" t="s">
        <v>1542</v>
      </c>
      <c r="C2" s="1371"/>
      <c r="D2" s="1372"/>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50">
        <f>((C4-C5-0.002)*46.214)/1000+1</f>
        <v>1.034475644</v>
      </c>
      <c r="D6" s="1" t="s">
        <v>1523</v>
      </c>
    </row>
    <row r="8" spans="2:5" x14ac:dyDescent="0.2">
      <c r="B8" s="1370" t="s">
        <v>1541</v>
      </c>
      <c r="C8" s="1371"/>
      <c r="D8" s="1372"/>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50">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3" t="s">
        <v>78</v>
      </c>
      <c r="B1" s="1353"/>
      <c r="C1" s="1353"/>
      <c r="D1" s="1353"/>
    </row>
    <row r="2" spans="1:8" x14ac:dyDescent="0.2">
      <c r="A2" s="16" t="s">
        <v>76</v>
      </c>
      <c r="B2" s="3"/>
      <c r="C2" s="18" t="s">
        <v>79</v>
      </c>
      <c r="D2" s="3" t="s">
        <v>80</v>
      </c>
      <c r="F2" s="35" t="s">
        <v>1118</v>
      </c>
      <c r="G2" s="36">
        <v>0.45359237000000002</v>
      </c>
    </row>
    <row r="3" spans="1:8" x14ac:dyDescent="0.2">
      <c r="A3" s="851">
        <v>8.73</v>
      </c>
      <c r="B3" s="15" t="s">
        <v>0</v>
      </c>
      <c r="C3" s="737">
        <f>A3*0.8125</f>
        <v>7.0931250000000006</v>
      </c>
      <c r="D3" s="737">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51">
        <v>7.57</v>
      </c>
      <c r="B5" s="15" t="s">
        <v>0</v>
      </c>
      <c r="C5" s="737">
        <f>A5*0.937</f>
        <v>7.093090000000001</v>
      </c>
      <c r="D5" s="737">
        <f>A5*0.7929</f>
        <v>6.0022530000000005</v>
      </c>
      <c r="F5" s="28" t="s">
        <v>1121</v>
      </c>
      <c r="G5" s="36">
        <v>0.94635294999999997</v>
      </c>
    </row>
    <row r="6" spans="1:8" x14ac:dyDescent="0.2">
      <c r="F6" s="22" t="s">
        <v>1122</v>
      </c>
      <c r="G6" s="36">
        <v>2.0863511218233199</v>
      </c>
    </row>
    <row r="7" spans="1:8" x14ac:dyDescent="0.2">
      <c r="A7" s="1353" t="s">
        <v>75</v>
      </c>
      <c r="B7" s="1353"/>
      <c r="C7" s="1353"/>
      <c r="D7" s="1353"/>
      <c r="F7" s="28" t="s">
        <v>1123</v>
      </c>
      <c r="G7" s="37">
        <v>154</v>
      </c>
      <c r="H7" s="38">
        <f>5/9*(G7-32)</f>
        <v>67.777777777777786</v>
      </c>
    </row>
    <row r="8" spans="1:8" x14ac:dyDescent="0.2">
      <c r="A8" s="17" t="s">
        <v>79</v>
      </c>
      <c r="B8" s="3"/>
      <c r="C8" s="1375" t="s">
        <v>76</v>
      </c>
      <c r="D8" s="1376"/>
      <c r="F8" s="22" t="s">
        <v>1124</v>
      </c>
      <c r="G8" s="36">
        <v>28.349519999999998</v>
      </c>
    </row>
    <row r="9" spans="1:8" x14ac:dyDescent="0.2">
      <c r="A9" s="851">
        <v>6.6</v>
      </c>
      <c r="B9" s="15" t="s">
        <v>0</v>
      </c>
      <c r="C9" s="1373">
        <f>A9/0.8125</f>
        <v>8.1230769230769226</v>
      </c>
      <c r="D9" s="1374"/>
      <c r="F9" s="28" t="s">
        <v>1125</v>
      </c>
      <c r="G9" s="36">
        <v>0.26417205124199999</v>
      </c>
    </row>
    <row r="10" spans="1:8" ht="25.5" x14ac:dyDescent="0.2">
      <c r="A10" s="17" t="s">
        <v>80</v>
      </c>
      <c r="B10" s="3"/>
      <c r="C10" s="1375" t="s">
        <v>76</v>
      </c>
      <c r="D10" s="1376"/>
      <c r="F10" s="39" t="s">
        <v>1127</v>
      </c>
      <c r="G10" s="36">
        <v>4.5100000000000001E-4</v>
      </c>
    </row>
    <row r="11" spans="1:8" ht="25.5" x14ac:dyDescent="0.2">
      <c r="A11" s="851">
        <v>2</v>
      </c>
      <c r="B11" s="15" t="s">
        <v>0</v>
      </c>
      <c r="C11" s="1373">
        <f>A11/0.6875</f>
        <v>2.9090909090909092</v>
      </c>
      <c r="D11" s="1374"/>
      <c r="F11" s="39" t="s">
        <v>1126</v>
      </c>
      <c r="G11" s="36">
        <f>G10*17.22</f>
        <v>7.7662199999999999E-3</v>
      </c>
    </row>
    <row r="12" spans="1:8" x14ac:dyDescent="0.2">
      <c r="A12" s="17" t="s">
        <v>81</v>
      </c>
      <c r="B12" s="3"/>
      <c r="C12" s="1375" t="s">
        <v>76</v>
      </c>
      <c r="D12" s="1376"/>
    </row>
    <row r="13" spans="1:8" x14ac:dyDescent="0.2">
      <c r="A13" s="851">
        <v>6</v>
      </c>
      <c r="B13" s="15" t="s">
        <v>0</v>
      </c>
      <c r="C13" s="1373">
        <f>A13/0.937</f>
        <v>6.4034151547491991</v>
      </c>
      <c r="D13" s="1374"/>
      <c r="F13" s="29" t="s">
        <v>1226</v>
      </c>
      <c r="G13" s="45" t="s">
        <v>89</v>
      </c>
    </row>
    <row r="14" spans="1:8" x14ac:dyDescent="0.2">
      <c r="A14" s="17" t="s">
        <v>82</v>
      </c>
      <c r="B14" s="3"/>
      <c r="C14" s="1375" t="s">
        <v>76</v>
      </c>
      <c r="D14" s="1376"/>
      <c r="G14" s="45">
        <v>1.6</v>
      </c>
      <c r="H14" s="19" t="s">
        <v>1227</v>
      </c>
    </row>
    <row r="15" spans="1:8" x14ac:dyDescent="0.2">
      <c r="A15" s="851">
        <v>6</v>
      </c>
      <c r="B15" s="15" t="s">
        <v>0</v>
      </c>
      <c r="C15" s="1373">
        <f>A15/0.7929</f>
        <v>7.567158531971244</v>
      </c>
      <c r="D15" s="1374"/>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3">
        <v>2</v>
      </c>
      <c r="K2" s="853">
        <v>3</v>
      </c>
      <c r="L2"/>
    </row>
    <row r="3" spans="1:12" ht="15" x14ac:dyDescent="0.2">
      <c r="A3" s="1" t="s">
        <v>596</v>
      </c>
      <c r="B3" s="400">
        <v>1.04</v>
      </c>
      <c r="C3" s="400">
        <v>1.05</v>
      </c>
      <c r="D3" s="400">
        <v>1.004</v>
      </c>
      <c r="E3" s="400">
        <v>1.01</v>
      </c>
      <c r="F3" s="401">
        <v>8</v>
      </c>
      <c r="G3" s="402">
        <v>18</v>
      </c>
      <c r="H3" s="403">
        <v>4.2</v>
      </c>
      <c r="I3" s="403">
        <v>5.3</v>
      </c>
      <c r="J3" s="853">
        <v>2</v>
      </c>
      <c r="K3" s="853">
        <v>4</v>
      </c>
      <c r="L3"/>
    </row>
    <row r="4" spans="1:12" ht="15" x14ac:dyDescent="0.2">
      <c r="A4" s="1" t="s">
        <v>597</v>
      </c>
      <c r="B4" s="400">
        <v>1.042</v>
      </c>
      <c r="C4" s="400">
        <v>1.0549999999999999</v>
      </c>
      <c r="D4" s="400">
        <v>1.006</v>
      </c>
      <c r="E4" s="400">
        <v>1.012</v>
      </c>
      <c r="F4" s="401">
        <v>8</v>
      </c>
      <c r="G4" s="402">
        <v>20</v>
      </c>
      <c r="H4" s="403">
        <v>4.2</v>
      </c>
      <c r="I4" s="403">
        <v>5.6</v>
      </c>
      <c r="J4" s="853">
        <v>2.5</v>
      </c>
      <c r="K4" s="853">
        <v>5</v>
      </c>
      <c r="L4"/>
    </row>
    <row r="5" spans="1:12" ht="15" x14ac:dyDescent="0.2">
      <c r="A5" s="1" t="s">
        <v>598</v>
      </c>
      <c r="B5" s="400">
        <v>1.04</v>
      </c>
      <c r="C5" s="400">
        <v>1.0549999999999999</v>
      </c>
      <c r="D5" s="400">
        <v>1.008</v>
      </c>
      <c r="E5" s="400">
        <v>1.0129999999999999</v>
      </c>
      <c r="F5" s="401">
        <v>15</v>
      </c>
      <c r="G5" s="402">
        <v>30</v>
      </c>
      <c r="H5" s="403">
        <v>4</v>
      </c>
      <c r="I5" s="403">
        <v>5.5</v>
      </c>
      <c r="J5" s="853">
        <v>3</v>
      </c>
      <c r="K5" s="853">
        <v>6</v>
      </c>
      <c r="L5"/>
    </row>
    <row r="6" spans="1:12" ht="15" x14ac:dyDescent="0.2">
      <c r="A6" s="1" t="s">
        <v>599</v>
      </c>
      <c r="B6" s="400">
        <v>1.042</v>
      </c>
      <c r="C6" s="400">
        <v>1.05</v>
      </c>
      <c r="D6" s="400">
        <v>1.008</v>
      </c>
      <c r="E6" s="400">
        <v>1.012</v>
      </c>
      <c r="F6" s="401">
        <v>18</v>
      </c>
      <c r="G6" s="402">
        <v>25</v>
      </c>
      <c r="H6" s="403">
        <v>4.5999999999999996</v>
      </c>
      <c r="I6" s="403">
        <v>6</v>
      </c>
      <c r="J6" s="853">
        <v>2</v>
      </c>
      <c r="K6" s="853">
        <v>6</v>
      </c>
      <c r="L6"/>
    </row>
    <row r="7" spans="1:12" ht="15" x14ac:dyDescent="0.2">
      <c r="A7" s="1" t="s">
        <v>600</v>
      </c>
      <c r="B7" s="400">
        <v>1.042</v>
      </c>
      <c r="C7" s="400">
        <v>1.0549999999999999</v>
      </c>
      <c r="D7" s="400">
        <v>1.008</v>
      </c>
      <c r="E7" s="400">
        <v>1.014</v>
      </c>
      <c r="F7" s="401">
        <v>8</v>
      </c>
      <c r="G7" s="402">
        <v>25</v>
      </c>
      <c r="H7" s="403">
        <v>4.5999999999999996</v>
      </c>
      <c r="I7" s="403">
        <v>6</v>
      </c>
      <c r="J7" s="853">
        <v>7</v>
      </c>
      <c r="K7" s="853">
        <v>14</v>
      </c>
      <c r="L7"/>
    </row>
    <row r="8" spans="1:12" ht="15" x14ac:dyDescent="0.2">
      <c r="A8" s="1" t="s">
        <v>601</v>
      </c>
      <c r="B8" s="400">
        <v>1.044</v>
      </c>
      <c r="C8" s="400">
        <v>1.056</v>
      </c>
      <c r="D8" s="400">
        <v>1.008</v>
      </c>
      <c r="E8" s="400">
        <v>1.012</v>
      </c>
      <c r="F8" s="401">
        <v>8</v>
      </c>
      <c r="G8" s="402">
        <v>20</v>
      </c>
      <c r="H8" s="403">
        <v>4.2</v>
      </c>
      <c r="I8" s="403">
        <v>6</v>
      </c>
      <c r="J8" s="853">
        <v>14</v>
      </c>
      <c r="K8" s="853">
        <v>22</v>
      </c>
      <c r="L8"/>
    </row>
    <row r="9" spans="1:12" ht="15" x14ac:dyDescent="0.2">
      <c r="A9" s="1" t="s">
        <v>602</v>
      </c>
      <c r="B9" s="400">
        <v>1.028</v>
      </c>
      <c r="C9" s="400">
        <v>1.044</v>
      </c>
      <c r="D9" s="400">
        <v>1.008</v>
      </c>
      <c r="E9" s="400">
        <v>1.014</v>
      </c>
      <c r="F9" s="401">
        <v>20</v>
      </c>
      <c r="G9" s="402">
        <v>35</v>
      </c>
      <c r="H9" s="403">
        <v>3</v>
      </c>
      <c r="I9" s="403">
        <v>4.0999999999999996</v>
      </c>
      <c r="J9" s="853">
        <v>3</v>
      </c>
      <c r="K9" s="853">
        <v>6</v>
      </c>
      <c r="L9"/>
    </row>
    <row r="10" spans="1:12" ht="15" x14ac:dyDescent="0.2">
      <c r="A10" s="1" t="s">
        <v>603</v>
      </c>
      <c r="B10" s="400">
        <v>1.044</v>
      </c>
      <c r="C10" s="400">
        <v>1.06</v>
      </c>
      <c r="D10" s="400">
        <v>1.0129999999999999</v>
      </c>
      <c r="E10" s="400">
        <v>1.0169999999999999</v>
      </c>
      <c r="F10" s="401">
        <v>30</v>
      </c>
      <c r="G10" s="402">
        <v>45</v>
      </c>
      <c r="H10" s="403">
        <v>4.2</v>
      </c>
      <c r="I10" s="403">
        <v>5.8</v>
      </c>
      <c r="J10" s="853">
        <v>3.5</v>
      </c>
      <c r="K10" s="853">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3">
        <v>10</v>
      </c>
      <c r="K11" s="853">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3">
        <v>14</v>
      </c>
      <c r="K12" s="853">
        <v>35</v>
      </c>
      <c r="L12"/>
    </row>
    <row r="13" spans="1:12" ht="15" x14ac:dyDescent="0.2">
      <c r="A13" s="1" t="s">
        <v>606</v>
      </c>
      <c r="B13" s="400">
        <v>1.044</v>
      </c>
      <c r="C13" s="400">
        <v>1.048</v>
      </c>
      <c r="D13" s="400">
        <v>1.006</v>
      </c>
      <c r="E13" s="400">
        <v>1.012</v>
      </c>
      <c r="F13" s="401">
        <v>16</v>
      </c>
      <c r="G13" s="402">
        <v>22</v>
      </c>
      <c r="H13" s="403">
        <v>4.7</v>
      </c>
      <c r="I13" s="403">
        <v>5.4</v>
      </c>
      <c r="J13" s="853">
        <v>3</v>
      </c>
      <c r="K13" s="853">
        <v>5</v>
      </c>
      <c r="L13"/>
    </row>
    <row r="14" spans="1:12" ht="15" x14ac:dyDescent="0.2">
      <c r="A14" s="1" t="s">
        <v>607</v>
      </c>
      <c r="B14" s="400">
        <v>1.054</v>
      </c>
      <c r="C14" s="400">
        <v>1.0569999999999999</v>
      </c>
      <c r="D14" s="400">
        <v>1.01</v>
      </c>
      <c r="E14" s="400">
        <v>1.012</v>
      </c>
      <c r="F14" s="401">
        <v>18</v>
      </c>
      <c r="G14" s="402">
        <v>25</v>
      </c>
      <c r="H14" s="403">
        <v>5.8</v>
      </c>
      <c r="I14" s="403">
        <v>6.3</v>
      </c>
      <c r="J14" s="853">
        <v>4</v>
      </c>
      <c r="K14" s="853">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3">
        <v>6</v>
      </c>
      <c r="K15" s="853">
        <v>11</v>
      </c>
      <c r="L15"/>
    </row>
    <row r="16" spans="1:12" ht="15" x14ac:dyDescent="0.2">
      <c r="A16" s="1" t="s">
        <v>609</v>
      </c>
      <c r="B16" s="400">
        <v>1.026</v>
      </c>
      <c r="C16" s="400">
        <v>1.034</v>
      </c>
      <c r="D16" s="400">
        <v>1.006</v>
      </c>
      <c r="E16" s="400">
        <v>1.01</v>
      </c>
      <c r="F16" s="401">
        <v>15</v>
      </c>
      <c r="G16" s="402">
        <v>28</v>
      </c>
      <c r="H16" s="403">
        <v>2.4</v>
      </c>
      <c r="I16" s="403">
        <v>3.6</v>
      </c>
      <c r="J16" s="853">
        <v>2</v>
      </c>
      <c r="K16" s="853">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3">
        <v>3.5</v>
      </c>
      <c r="K17" s="853">
        <v>5</v>
      </c>
      <c r="L17"/>
    </row>
    <row r="18" spans="1:12" ht="15" x14ac:dyDescent="0.2">
      <c r="A18" s="1" t="s">
        <v>611</v>
      </c>
      <c r="B18" s="400">
        <v>1.048</v>
      </c>
      <c r="C18" s="400">
        <v>1.056</v>
      </c>
      <c r="D18" s="400">
        <v>1.01</v>
      </c>
      <c r="E18" s="400">
        <v>1.0149999999999999</v>
      </c>
      <c r="F18" s="401">
        <v>20</v>
      </c>
      <c r="G18" s="402">
        <v>30</v>
      </c>
      <c r="H18" s="403">
        <v>4.8</v>
      </c>
      <c r="I18" s="403">
        <v>6</v>
      </c>
      <c r="J18" s="853">
        <v>4</v>
      </c>
      <c r="K18" s="853">
        <v>7</v>
      </c>
      <c r="L18"/>
    </row>
    <row r="19" spans="1:12" ht="15" x14ac:dyDescent="0.2">
      <c r="A19" s="1" t="s">
        <v>612</v>
      </c>
      <c r="B19" s="400">
        <v>1.044</v>
      </c>
      <c r="C19" s="400">
        <v>1.05</v>
      </c>
      <c r="D19" s="400">
        <v>1.008</v>
      </c>
      <c r="E19" s="400">
        <v>1.0129999999999999</v>
      </c>
      <c r="F19" s="401">
        <v>22</v>
      </c>
      <c r="G19" s="402">
        <v>40</v>
      </c>
      <c r="H19" s="403">
        <v>4.4000000000000004</v>
      </c>
      <c r="I19" s="403">
        <v>5.2</v>
      </c>
      <c r="J19" s="853">
        <v>2</v>
      </c>
      <c r="K19" s="853">
        <v>5</v>
      </c>
      <c r="L19"/>
    </row>
    <row r="20" spans="1:12" ht="15" x14ac:dyDescent="0.2">
      <c r="A20" s="1" t="s">
        <v>615</v>
      </c>
      <c r="B20" s="400">
        <v>1.054</v>
      </c>
      <c r="C20" s="400">
        <v>1.06</v>
      </c>
      <c r="D20" s="400">
        <v>1.01</v>
      </c>
      <c r="E20" s="400">
        <v>1.014</v>
      </c>
      <c r="F20" s="401">
        <v>18</v>
      </c>
      <c r="G20" s="402">
        <v>24</v>
      </c>
      <c r="H20" s="403">
        <v>5.8</v>
      </c>
      <c r="I20" s="403">
        <v>6.3</v>
      </c>
      <c r="J20" s="853">
        <v>8</v>
      </c>
      <c r="K20" s="853">
        <v>17</v>
      </c>
      <c r="L20"/>
    </row>
    <row r="21" spans="1:12" ht="15" x14ac:dyDescent="0.2">
      <c r="A21" s="1" t="s">
        <v>616</v>
      </c>
      <c r="B21" s="400">
        <v>1.05</v>
      </c>
      <c r="C21" s="400">
        <v>1.0569999999999999</v>
      </c>
      <c r="D21" s="400">
        <v>1.012</v>
      </c>
      <c r="E21" s="400">
        <v>1.016</v>
      </c>
      <c r="F21" s="401">
        <v>20</v>
      </c>
      <c r="G21" s="402">
        <v>30</v>
      </c>
      <c r="H21" s="403">
        <v>4.8</v>
      </c>
      <c r="I21" s="403">
        <v>6</v>
      </c>
      <c r="J21" s="853">
        <v>12</v>
      </c>
      <c r="K21" s="853">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3">
        <v>14</v>
      </c>
      <c r="K22" s="853">
        <v>22</v>
      </c>
      <c r="L22"/>
    </row>
    <row r="23" spans="1:12" ht="15" x14ac:dyDescent="0.2">
      <c r="A23" s="1" t="s">
        <v>613</v>
      </c>
      <c r="B23" s="400">
        <v>1.048</v>
      </c>
      <c r="C23" s="400">
        <v>1.0549999999999999</v>
      </c>
      <c r="D23" s="400">
        <v>1.01</v>
      </c>
      <c r="E23" s="400">
        <v>1.014</v>
      </c>
      <c r="F23" s="401">
        <v>18</v>
      </c>
      <c r="G23" s="402">
        <v>30</v>
      </c>
      <c r="H23" s="403">
        <v>4.7</v>
      </c>
      <c r="I23" s="403">
        <v>5.5</v>
      </c>
      <c r="J23" s="853">
        <v>9</v>
      </c>
      <c r="K23" s="853">
        <v>15</v>
      </c>
      <c r="L23"/>
    </row>
    <row r="24" spans="1:12" ht="15" x14ac:dyDescent="0.2">
      <c r="A24" s="1" t="s">
        <v>614</v>
      </c>
      <c r="B24" s="400">
        <v>1.044</v>
      </c>
      <c r="C24" s="400">
        <v>1.052</v>
      </c>
      <c r="D24" s="400">
        <v>1.008</v>
      </c>
      <c r="E24" s="400">
        <v>1.014</v>
      </c>
      <c r="F24" s="401">
        <v>25</v>
      </c>
      <c r="G24" s="402">
        <v>50</v>
      </c>
      <c r="H24" s="403">
        <v>4.3</v>
      </c>
      <c r="I24" s="403">
        <v>5.5</v>
      </c>
      <c r="J24" s="853">
        <v>11</v>
      </c>
      <c r="K24" s="853">
        <v>17</v>
      </c>
      <c r="L24"/>
    </row>
    <row r="25" spans="1:12" ht="15" x14ac:dyDescent="0.2">
      <c r="A25" s="1" t="s">
        <v>618</v>
      </c>
      <c r="B25" s="400">
        <v>1.048</v>
      </c>
      <c r="C25" s="400">
        <v>1.056</v>
      </c>
      <c r="D25" s="400">
        <v>1.01</v>
      </c>
      <c r="E25" s="400">
        <v>1.016</v>
      </c>
      <c r="F25" s="401">
        <v>18</v>
      </c>
      <c r="G25" s="402">
        <v>28</v>
      </c>
      <c r="H25" s="403">
        <v>4.5</v>
      </c>
      <c r="I25" s="403">
        <v>5.6</v>
      </c>
      <c r="J25" s="853">
        <v>14</v>
      </c>
      <c r="K25" s="853">
        <v>28</v>
      </c>
      <c r="L25"/>
    </row>
    <row r="26" spans="1:12" ht="15" x14ac:dyDescent="0.2">
      <c r="A26" s="1" t="s">
        <v>619</v>
      </c>
      <c r="B26" s="400">
        <v>1.046</v>
      </c>
      <c r="C26" s="400">
        <v>1.052</v>
      </c>
      <c r="D26" s="400">
        <v>1.01</v>
      </c>
      <c r="E26" s="400">
        <v>1.016</v>
      </c>
      <c r="F26" s="401">
        <v>20</v>
      </c>
      <c r="G26" s="402">
        <v>30</v>
      </c>
      <c r="H26" s="403">
        <v>4.4000000000000004</v>
      </c>
      <c r="I26" s="403">
        <v>5.4</v>
      </c>
      <c r="J26" s="853">
        <v>17</v>
      </c>
      <c r="K26" s="853">
        <v>30</v>
      </c>
      <c r="L26"/>
    </row>
    <row r="27" spans="1:12" ht="15" x14ac:dyDescent="0.2">
      <c r="A27" s="1" t="s">
        <v>620</v>
      </c>
      <c r="B27" s="400">
        <v>1.0720000000000001</v>
      </c>
      <c r="C27" s="400">
        <v>1.1120000000000001</v>
      </c>
      <c r="D27" s="400">
        <v>1.016</v>
      </c>
      <c r="E27" s="400">
        <v>1.024</v>
      </c>
      <c r="F27" s="401">
        <v>16</v>
      </c>
      <c r="G27" s="402">
        <v>26</v>
      </c>
      <c r="H27" s="403">
        <v>7</v>
      </c>
      <c r="I27" s="403">
        <v>10</v>
      </c>
      <c r="J27" s="853">
        <v>6</v>
      </c>
      <c r="K27" s="853">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3">
        <v>18</v>
      </c>
      <c r="K28" s="853">
        <v>30</v>
      </c>
      <c r="L28"/>
    </row>
    <row r="29" spans="1:12" ht="15" x14ac:dyDescent="0.2">
      <c r="A29" s="1" t="s">
        <v>622</v>
      </c>
      <c r="B29" s="400">
        <v>1.06</v>
      </c>
      <c r="C29" s="400">
        <v>1.0900000000000001</v>
      </c>
      <c r="D29" s="400">
        <v>1.016</v>
      </c>
      <c r="E29" s="400">
        <v>1.024</v>
      </c>
      <c r="F29" s="401">
        <v>20</v>
      </c>
      <c r="G29" s="402">
        <v>40</v>
      </c>
      <c r="H29" s="403">
        <v>6.5</v>
      </c>
      <c r="I29" s="403">
        <v>9.5</v>
      </c>
      <c r="J29" s="853">
        <v>17</v>
      </c>
      <c r="K29" s="853">
        <v>30</v>
      </c>
      <c r="L29"/>
    </row>
    <row r="30" spans="1:12" ht="15" x14ac:dyDescent="0.2">
      <c r="A30" s="1" t="s">
        <v>623</v>
      </c>
      <c r="B30" s="400">
        <v>1.044</v>
      </c>
      <c r="C30" s="400">
        <v>1.052</v>
      </c>
      <c r="D30" s="400">
        <v>1.01</v>
      </c>
      <c r="E30" s="400">
        <v>1.014</v>
      </c>
      <c r="F30" s="401">
        <v>8</v>
      </c>
      <c r="G30" s="402">
        <v>15</v>
      </c>
      <c r="H30" s="403">
        <v>4.3</v>
      </c>
      <c r="I30" s="403">
        <v>5.6</v>
      </c>
      <c r="J30" s="853">
        <v>2</v>
      </c>
      <c r="K30" s="853">
        <v>6</v>
      </c>
      <c r="L30"/>
    </row>
    <row r="31" spans="1:12" ht="15" x14ac:dyDescent="0.2">
      <c r="A31" s="1" t="s">
        <v>624</v>
      </c>
      <c r="B31" s="400">
        <v>1.044</v>
      </c>
      <c r="C31" s="400">
        <v>1.056</v>
      </c>
      <c r="D31" s="400">
        <v>1.01</v>
      </c>
      <c r="E31" s="400">
        <v>1.014</v>
      </c>
      <c r="F31" s="401">
        <v>10</v>
      </c>
      <c r="G31" s="402">
        <v>18</v>
      </c>
      <c r="H31" s="403">
        <v>4.3</v>
      </c>
      <c r="I31" s="403">
        <v>5.6</v>
      </c>
      <c r="J31" s="853">
        <v>14</v>
      </c>
      <c r="K31" s="853">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3">
        <v>6</v>
      </c>
      <c r="K32" s="853">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3">
        <v>8</v>
      </c>
      <c r="K33" s="853">
        <v>14</v>
      </c>
      <c r="L33"/>
    </row>
    <row r="34" spans="1:12" ht="15" x14ac:dyDescent="0.2">
      <c r="A34" s="1" t="s">
        <v>627</v>
      </c>
      <c r="B34" s="400">
        <v>1.04</v>
      </c>
      <c r="C34" s="400">
        <v>1.048</v>
      </c>
      <c r="D34" s="400">
        <v>1.008</v>
      </c>
      <c r="E34" s="400">
        <v>1.012</v>
      </c>
      <c r="F34" s="401">
        <v>25</v>
      </c>
      <c r="G34" s="402">
        <v>40</v>
      </c>
      <c r="H34" s="403">
        <v>3.8</v>
      </c>
      <c r="I34" s="403">
        <v>4.5999999999999996</v>
      </c>
      <c r="J34" s="853">
        <v>8</v>
      </c>
      <c r="K34" s="853">
        <v>16</v>
      </c>
      <c r="L34"/>
    </row>
    <row r="35" spans="1:12" ht="15" x14ac:dyDescent="0.2">
      <c r="A35" s="1" t="s">
        <v>628</v>
      </c>
      <c r="B35" s="400">
        <v>1.048</v>
      </c>
      <c r="C35" s="400">
        <v>1.06</v>
      </c>
      <c r="D35" s="400">
        <v>1.01</v>
      </c>
      <c r="E35" s="400">
        <v>1.016</v>
      </c>
      <c r="F35" s="401">
        <v>30</v>
      </c>
      <c r="G35" s="402">
        <v>50</v>
      </c>
      <c r="H35" s="403">
        <v>4.5999999999999996</v>
      </c>
      <c r="I35" s="403">
        <v>6.2</v>
      </c>
      <c r="J35" s="853">
        <v>8</v>
      </c>
      <c r="K35" s="853">
        <v>18</v>
      </c>
      <c r="L35"/>
    </row>
    <row r="36" spans="1:12" ht="15" x14ac:dyDescent="0.2">
      <c r="A36" s="1" t="s">
        <v>629</v>
      </c>
      <c r="B36" s="400">
        <v>1.038</v>
      </c>
      <c r="C36" s="400">
        <v>1.0529999999999999</v>
      </c>
      <c r="D36" s="400">
        <v>1.006</v>
      </c>
      <c r="E36" s="400">
        <v>1.012</v>
      </c>
      <c r="F36" s="401">
        <v>20</v>
      </c>
      <c r="G36" s="402">
        <v>45</v>
      </c>
      <c r="H36" s="403">
        <v>3.8</v>
      </c>
      <c r="I36" s="403">
        <v>5</v>
      </c>
      <c r="J36" s="853">
        <v>2</v>
      </c>
      <c r="K36" s="853">
        <v>6</v>
      </c>
      <c r="L36"/>
    </row>
    <row r="37" spans="1:12" ht="15" x14ac:dyDescent="0.2">
      <c r="A37" s="1" t="s">
        <v>630</v>
      </c>
      <c r="B37" s="400">
        <v>1.038</v>
      </c>
      <c r="C37" s="400">
        <v>1.05</v>
      </c>
      <c r="D37" s="400">
        <v>1.004</v>
      </c>
      <c r="E37" s="400">
        <v>1.006</v>
      </c>
      <c r="F37" s="401">
        <v>20</v>
      </c>
      <c r="G37" s="402">
        <v>35</v>
      </c>
      <c r="H37" s="403">
        <v>4.5</v>
      </c>
      <c r="I37" s="403">
        <v>6</v>
      </c>
      <c r="J37" s="853">
        <v>4</v>
      </c>
      <c r="K37" s="853">
        <v>7</v>
      </c>
      <c r="L37"/>
    </row>
    <row r="38" spans="1:12" ht="15" x14ac:dyDescent="0.2">
      <c r="A38" s="1" t="s">
        <v>631</v>
      </c>
      <c r="B38" s="400">
        <v>1.05</v>
      </c>
      <c r="C38" s="400">
        <v>1.075</v>
      </c>
      <c r="D38" s="400">
        <v>1.01</v>
      </c>
      <c r="E38" s="400">
        <v>1.018</v>
      </c>
      <c r="F38" s="401">
        <v>40</v>
      </c>
      <c r="G38" s="402">
        <v>60</v>
      </c>
      <c r="H38" s="403">
        <v>5</v>
      </c>
      <c r="I38" s="403">
        <v>7.5</v>
      </c>
      <c r="J38" s="853">
        <v>6</v>
      </c>
      <c r="K38" s="853">
        <v>14</v>
      </c>
      <c r="L38"/>
    </row>
    <row r="39" spans="1:12" ht="15" x14ac:dyDescent="0.2">
      <c r="A39" s="1" t="s">
        <v>632</v>
      </c>
      <c r="B39" s="400">
        <v>1.03</v>
      </c>
      <c r="C39" s="400">
        <v>1.038</v>
      </c>
      <c r="D39" s="400">
        <v>1.008</v>
      </c>
      <c r="E39" s="400">
        <v>1.0129999999999999</v>
      </c>
      <c r="F39" s="401">
        <v>10</v>
      </c>
      <c r="G39" s="402">
        <v>25</v>
      </c>
      <c r="H39" s="403">
        <v>3</v>
      </c>
      <c r="I39" s="403">
        <v>3.8</v>
      </c>
      <c r="J39" s="853">
        <v>12</v>
      </c>
      <c r="K39" s="853">
        <v>25</v>
      </c>
      <c r="L39"/>
    </row>
    <row r="40" spans="1:12" ht="15" x14ac:dyDescent="0.2">
      <c r="A40" s="1" t="s">
        <v>633</v>
      </c>
      <c r="B40" s="400">
        <v>1.04</v>
      </c>
      <c r="C40" s="400">
        <v>1.052</v>
      </c>
      <c r="D40" s="400">
        <v>1.008</v>
      </c>
      <c r="E40" s="400">
        <v>1.0129999999999999</v>
      </c>
      <c r="F40" s="401">
        <v>20</v>
      </c>
      <c r="G40" s="402">
        <v>30</v>
      </c>
      <c r="H40" s="403">
        <v>4.2</v>
      </c>
      <c r="I40" s="403">
        <v>5.4</v>
      </c>
      <c r="J40" s="853">
        <v>12</v>
      </c>
      <c r="K40" s="853">
        <v>22</v>
      </c>
      <c r="L40"/>
    </row>
    <row r="41" spans="1:12" ht="15" x14ac:dyDescent="0.2">
      <c r="A41" s="1" t="s">
        <v>634</v>
      </c>
      <c r="B41" s="400">
        <v>1.04</v>
      </c>
      <c r="C41" s="400">
        <v>1.052</v>
      </c>
      <c r="D41" s="400">
        <v>1.008</v>
      </c>
      <c r="E41" s="400">
        <v>1.014</v>
      </c>
      <c r="F41" s="401">
        <v>18</v>
      </c>
      <c r="G41" s="402">
        <v>35</v>
      </c>
      <c r="H41" s="403">
        <v>4</v>
      </c>
      <c r="I41" s="403">
        <v>5.4</v>
      </c>
      <c r="J41" s="853">
        <v>20</v>
      </c>
      <c r="K41" s="853">
        <v>30</v>
      </c>
      <c r="L41"/>
    </row>
    <row r="42" spans="1:12" ht="15" x14ac:dyDescent="0.2">
      <c r="A42" s="1" t="s">
        <v>635</v>
      </c>
      <c r="B42" s="400">
        <v>1.03</v>
      </c>
      <c r="C42" s="400">
        <v>1.0349999999999999</v>
      </c>
      <c r="D42" s="400">
        <v>1.01</v>
      </c>
      <c r="E42" s="400">
        <v>1.0129999999999999</v>
      </c>
      <c r="F42" s="401">
        <v>10</v>
      </c>
      <c r="G42" s="402">
        <v>20</v>
      </c>
      <c r="H42" s="403">
        <v>2.5</v>
      </c>
      <c r="I42" s="403">
        <v>3.2</v>
      </c>
      <c r="J42" s="853">
        <v>17</v>
      </c>
      <c r="K42" s="853">
        <v>22</v>
      </c>
      <c r="L42"/>
    </row>
    <row r="43" spans="1:12" ht="15" x14ac:dyDescent="0.2">
      <c r="A43" s="1" t="s">
        <v>636</v>
      </c>
      <c r="B43" s="400">
        <v>1.0349999999999999</v>
      </c>
      <c r="C43" s="400">
        <v>1.04</v>
      </c>
      <c r="D43" s="400">
        <v>1.01</v>
      </c>
      <c r="E43" s="400">
        <v>1.0149999999999999</v>
      </c>
      <c r="F43" s="401">
        <v>10</v>
      </c>
      <c r="G43" s="402">
        <v>20</v>
      </c>
      <c r="H43" s="403">
        <v>3.2</v>
      </c>
      <c r="I43" s="403">
        <v>3.9</v>
      </c>
      <c r="J43" s="853">
        <v>13</v>
      </c>
      <c r="K43" s="853">
        <v>22</v>
      </c>
      <c r="L43"/>
    </row>
    <row r="44" spans="1:12" ht="15" x14ac:dyDescent="0.2">
      <c r="A44" s="1" t="s">
        <v>637</v>
      </c>
      <c r="B44" s="400">
        <v>1.04</v>
      </c>
      <c r="C44" s="400">
        <v>1.06</v>
      </c>
      <c r="D44" s="400">
        <v>1.01</v>
      </c>
      <c r="E44" s="400">
        <v>1.016</v>
      </c>
      <c r="F44" s="401">
        <v>15</v>
      </c>
      <c r="G44" s="402">
        <v>30</v>
      </c>
      <c r="H44" s="403">
        <v>3.9</v>
      </c>
      <c r="I44" s="403">
        <v>6</v>
      </c>
      <c r="J44" s="853">
        <v>13</v>
      </c>
      <c r="K44" s="853">
        <v>22</v>
      </c>
      <c r="L44"/>
    </row>
    <row r="45" spans="1:12" ht="15" x14ac:dyDescent="0.2">
      <c r="A45" s="1" t="s">
        <v>638</v>
      </c>
      <c r="B45" s="400">
        <v>1.036</v>
      </c>
      <c r="C45" s="400">
        <v>1.046</v>
      </c>
      <c r="D45" s="400">
        <v>1.01</v>
      </c>
      <c r="E45" s="400">
        <v>1.014</v>
      </c>
      <c r="F45" s="401">
        <v>18</v>
      </c>
      <c r="G45" s="402">
        <v>28</v>
      </c>
      <c r="H45" s="403">
        <v>3.8</v>
      </c>
      <c r="I45" s="403">
        <v>5</v>
      </c>
      <c r="J45" s="853">
        <v>9</v>
      </c>
      <c r="K45" s="853">
        <v>14</v>
      </c>
      <c r="L45"/>
    </row>
    <row r="46" spans="1:12" ht="15" x14ac:dyDescent="0.2">
      <c r="A46" s="1" t="s">
        <v>639</v>
      </c>
      <c r="B46" s="400">
        <v>1.036</v>
      </c>
      <c r="C46" s="400">
        <v>1.044</v>
      </c>
      <c r="D46" s="400">
        <v>1.0069999999999999</v>
      </c>
      <c r="E46" s="400">
        <v>1.0109999999999999</v>
      </c>
      <c r="F46" s="401">
        <v>25</v>
      </c>
      <c r="G46" s="402">
        <v>45</v>
      </c>
      <c r="H46" s="403">
        <v>4</v>
      </c>
      <c r="I46" s="403">
        <v>4.5</v>
      </c>
      <c r="J46" s="853">
        <v>25</v>
      </c>
      <c r="K46" s="853">
        <v>40</v>
      </c>
      <c r="L46"/>
    </row>
    <row r="47" spans="1:12" ht="15" x14ac:dyDescent="0.2">
      <c r="A47" s="1" t="s">
        <v>640</v>
      </c>
      <c r="B47" s="400">
        <v>1.052</v>
      </c>
      <c r="C47" s="400">
        <v>1.0620000000000001</v>
      </c>
      <c r="D47" s="400">
        <v>1.01</v>
      </c>
      <c r="E47" s="400">
        <v>1.014</v>
      </c>
      <c r="F47" s="401">
        <v>35</v>
      </c>
      <c r="G47" s="402">
        <v>50</v>
      </c>
      <c r="H47" s="403">
        <v>5.5</v>
      </c>
      <c r="I47" s="403">
        <v>6.5</v>
      </c>
      <c r="J47" s="853">
        <v>25</v>
      </c>
      <c r="K47" s="853">
        <v>40</v>
      </c>
      <c r="L47"/>
    </row>
    <row r="48" spans="1:12" ht="15" x14ac:dyDescent="0.2">
      <c r="A48" s="1" t="s">
        <v>641</v>
      </c>
      <c r="B48" s="400">
        <v>1.044</v>
      </c>
      <c r="C48" s="400">
        <v>1.06</v>
      </c>
      <c r="D48" s="400">
        <v>1.012</v>
      </c>
      <c r="E48" s="400">
        <v>1.024</v>
      </c>
      <c r="F48" s="401">
        <v>20</v>
      </c>
      <c r="G48" s="402">
        <v>40</v>
      </c>
      <c r="H48" s="403">
        <v>4</v>
      </c>
      <c r="I48" s="403">
        <v>6</v>
      </c>
      <c r="J48" s="853">
        <v>30</v>
      </c>
      <c r="K48" s="853">
        <v>40</v>
      </c>
      <c r="L48"/>
    </row>
    <row r="49" spans="1:12" ht="15" x14ac:dyDescent="0.2">
      <c r="A49" s="1" t="s">
        <v>642</v>
      </c>
      <c r="B49" s="400">
        <v>1.0449999999999999</v>
      </c>
      <c r="C49" s="400">
        <v>1.0649999999999999</v>
      </c>
      <c r="D49" s="400">
        <v>1.01</v>
      </c>
      <c r="E49" s="400">
        <v>1.018</v>
      </c>
      <c r="F49" s="401">
        <v>25</v>
      </c>
      <c r="G49" s="402">
        <v>40</v>
      </c>
      <c r="H49" s="403">
        <v>4.2</v>
      </c>
      <c r="I49" s="403">
        <v>5.9</v>
      </c>
      <c r="J49" s="853">
        <v>22</v>
      </c>
      <c r="K49" s="853">
        <v>40</v>
      </c>
      <c r="L49"/>
    </row>
    <row r="50" spans="1:12" ht="15" x14ac:dyDescent="0.2">
      <c r="A50" s="1" t="s">
        <v>643</v>
      </c>
      <c r="B50" s="400">
        <v>1.056</v>
      </c>
      <c r="C50" s="400">
        <v>1.075</v>
      </c>
      <c r="D50" s="400">
        <v>1.01</v>
      </c>
      <c r="E50" s="400">
        <v>1.018</v>
      </c>
      <c r="F50" s="401">
        <v>30</v>
      </c>
      <c r="G50" s="402">
        <v>50</v>
      </c>
      <c r="H50" s="403">
        <v>5.5</v>
      </c>
      <c r="I50" s="403">
        <v>8</v>
      </c>
      <c r="J50" s="853">
        <v>30</v>
      </c>
      <c r="K50" s="853">
        <v>40</v>
      </c>
      <c r="L50"/>
    </row>
    <row r="51" spans="1:12" ht="15" x14ac:dyDescent="0.2">
      <c r="A51" s="1" t="s">
        <v>644</v>
      </c>
      <c r="B51" s="400">
        <v>1.056</v>
      </c>
      <c r="C51" s="400">
        <v>1.075</v>
      </c>
      <c r="D51" s="400">
        <v>1.01</v>
      </c>
      <c r="E51" s="400">
        <v>1.018</v>
      </c>
      <c r="F51" s="401">
        <v>50</v>
      </c>
      <c r="G51" s="402">
        <v>70</v>
      </c>
      <c r="H51" s="403">
        <v>6.3</v>
      </c>
      <c r="I51" s="403">
        <v>8</v>
      </c>
      <c r="J51" s="853">
        <v>30</v>
      </c>
      <c r="K51" s="853">
        <v>40</v>
      </c>
      <c r="L51"/>
    </row>
    <row r="52" spans="1:12" ht="15" x14ac:dyDescent="0.2">
      <c r="A52" s="1" t="s">
        <v>645</v>
      </c>
      <c r="B52" s="400">
        <v>1.0549999999999999</v>
      </c>
      <c r="C52" s="400">
        <v>1.08</v>
      </c>
      <c r="D52" s="400">
        <v>1.0149999999999999</v>
      </c>
      <c r="E52" s="400">
        <v>1.022</v>
      </c>
      <c r="F52" s="401">
        <v>30</v>
      </c>
      <c r="G52" s="402">
        <v>60</v>
      </c>
      <c r="H52" s="403">
        <v>5.5</v>
      </c>
      <c r="I52" s="403">
        <v>8</v>
      </c>
      <c r="J52" s="853">
        <v>8</v>
      </c>
      <c r="K52" s="853">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3">
        <v>10</v>
      </c>
      <c r="K53" s="853">
        <v>22</v>
      </c>
      <c r="L53"/>
    </row>
    <row r="54" spans="1:12" ht="15" x14ac:dyDescent="0.2">
      <c r="A54" s="1" t="s">
        <v>647</v>
      </c>
      <c r="B54" s="400">
        <v>1.07</v>
      </c>
      <c r="C54" s="400">
        <v>1.1299999999999999</v>
      </c>
      <c r="D54" s="400">
        <v>1.018</v>
      </c>
      <c r="E54" s="400">
        <v>1.04</v>
      </c>
      <c r="F54" s="401">
        <v>17</v>
      </c>
      <c r="G54" s="402">
        <v>35</v>
      </c>
      <c r="H54" s="403">
        <v>6.5</v>
      </c>
      <c r="I54" s="403">
        <v>10</v>
      </c>
      <c r="J54" s="853">
        <v>14</v>
      </c>
      <c r="K54" s="853">
        <v>25</v>
      </c>
      <c r="L54"/>
    </row>
    <row r="55" spans="1:12" ht="15" x14ac:dyDescent="0.2">
      <c r="A55" s="1" t="s">
        <v>648</v>
      </c>
      <c r="B55" s="400">
        <v>1.08</v>
      </c>
      <c r="C55" s="400">
        <v>1.1200000000000001</v>
      </c>
      <c r="D55" s="400">
        <v>1.018</v>
      </c>
      <c r="E55" s="400">
        <v>1.03</v>
      </c>
      <c r="F55" s="401">
        <v>35</v>
      </c>
      <c r="G55" s="402">
        <v>70</v>
      </c>
      <c r="H55" s="403">
        <v>8</v>
      </c>
      <c r="I55" s="403">
        <v>12</v>
      </c>
      <c r="J55" s="853">
        <v>8</v>
      </c>
      <c r="K55" s="853">
        <v>22</v>
      </c>
      <c r="L55"/>
    </row>
    <row r="56" spans="1:12" ht="15" x14ac:dyDescent="0.2">
      <c r="A56" s="1" t="s">
        <v>649</v>
      </c>
      <c r="B56" s="400">
        <v>1.038</v>
      </c>
      <c r="C56" s="400">
        <v>1.054</v>
      </c>
      <c r="D56" s="400">
        <v>1.008</v>
      </c>
      <c r="E56" s="400">
        <v>1.0129999999999999</v>
      </c>
      <c r="F56" s="401">
        <v>15</v>
      </c>
      <c r="G56" s="402">
        <v>28</v>
      </c>
      <c r="H56" s="403">
        <v>3.8</v>
      </c>
      <c r="I56" s="403">
        <v>5.5</v>
      </c>
      <c r="J56" s="853">
        <v>3</v>
      </c>
      <c r="K56" s="853">
        <v>6</v>
      </c>
      <c r="L56"/>
    </row>
    <row r="57" spans="1:12" ht="15" x14ac:dyDescent="0.2">
      <c r="A57" s="1" t="s">
        <v>650</v>
      </c>
      <c r="B57" s="400">
        <v>1.0449999999999999</v>
      </c>
      <c r="C57" s="400">
        <v>1.06</v>
      </c>
      <c r="D57" s="400">
        <v>1.01</v>
      </c>
      <c r="E57" s="400">
        <v>1.0149999999999999</v>
      </c>
      <c r="F57" s="401">
        <v>30</v>
      </c>
      <c r="G57" s="402">
        <v>50</v>
      </c>
      <c r="H57" s="403">
        <v>4.5</v>
      </c>
      <c r="I57" s="403">
        <v>6.2</v>
      </c>
      <c r="J57" s="853">
        <v>5</v>
      </c>
      <c r="K57" s="853">
        <v>10</v>
      </c>
      <c r="L57"/>
    </row>
    <row r="58" spans="1:12" ht="15" x14ac:dyDescent="0.2">
      <c r="A58" s="1" t="s">
        <v>651</v>
      </c>
      <c r="B58" s="400">
        <v>1.0449999999999999</v>
      </c>
      <c r="C58" s="400">
        <v>1.06</v>
      </c>
      <c r="D58" s="400">
        <v>1.01</v>
      </c>
      <c r="E58" s="400">
        <v>1.0149999999999999</v>
      </c>
      <c r="F58" s="401">
        <v>25</v>
      </c>
      <c r="G58" s="402">
        <v>40</v>
      </c>
      <c r="H58" s="403">
        <v>4.5</v>
      </c>
      <c r="I58" s="403">
        <v>6.2</v>
      </c>
      <c r="J58" s="853">
        <v>10</v>
      </c>
      <c r="K58" s="853">
        <v>17</v>
      </c>
      <c r="L58"/>
    </row>
    <row r="59" spans="1:12" ht="15" x14ac:dyDescent="0.2">
      <c r="A59" s="1" t="s">
        <v>652</v>
      </c>
      <c r="B59" s="400">
        <v>1.048</v>
      </c>
      <c r="C59" s="400">
        <v>1.054</v>
      </c>
      <c r="D59" s="400">
        <v>1.0109999999999999</v>
      </c>
      <c r="E59" s="400">
        <v>1.014</v>
      </c>
      <c r="F59" s="401">
        <v>30</v>
      </c>
      <c r="G59" s="402">
        <v>45</v>
      </c>
      <c r="H59" s="403">
        <v>4.5</v>
      </c>
      <c r="I59" s="403">
        <v>5.5</v>
      </c>
      <c r="J59" s="853">
        <v>10</v>
      </c>
      <c r="K59" s="853">
        <v>14</v>
      </c>
      <c r="L59"/>
    </row>
    <row r="60" spans="1:12" ht="15" x14ac:dyDescent="0.2">
      <c r="A60" s="1" t="s">
        <v>653</v>
      </c>
      <c r="B60" s="400">
        <v>1.0449999999999999</v>
      </c>
      <c r="C60" s="400">
        <v>1.06</v>
      </c>
      <c r="D60" s="400">
        <v>1.01</v>
      </c>
      <c r="E60" s="400">
        <v>1.016</v>
      </c>
      <c r="F60" s="401">
        <v>20</v>
      </c>
      <c r="G60" s="402">
        <v>30</v>
      </c>
      <c r="H60" s="403">
        <v>4.3</v>
      </c>
      <c r="I60" s="403">
        <v>6.2</v>
      </c>
      <c r="J60" s="853">
        <v>18</v>
      </c>
      <c r="K60" s="853">
        <v>35</v>
      </c>
      <c r="L60"/>
    </row>
    <row r="61" spans="1:12" ht="15" x14ac:dyDescent="0.2">
      <c r="A61" s="1" t="s">
        <v>654</v>
      </c>
      <c r="B61" s="400">
        <v>1.05</v>
      </c>
      <c r="C61" s="400">
        <v>1.07</v>
      </c>
      <c r="D61" s="400">
        <v>1.012</v>
      </c>
      <c r="E61" s="400">
        <v>1.018</v>
      </c>
      <c r="F61" s="401">
        <v>25</v>
      </c>
      <c r="G61" s="402">
        <v>50</v>
      </c>
      <c r="H61" s="403">
        <v>4.8</v>
      </c>
      <c r="I61" s="403">
        <v>6.5</v>
      </c>
      <c r="J61" s="853">
        <v>22</v>
      </c>
      <c r="K61" s="853">
        <v>40</v>
      </c>
      <c r="L61"/>
    </row>
    <row r="62" spans="1:12" ht="15" x14ac:dyDescent="0.2">
      <c r="A62" s="1" t="s">
        <v>655</v>
      </c>
      <c r="B62" s="400">
        <v>1.05</v>
      </c>
      <c r="C62" s="400">
        <v>1.075</v>
      </c>
      <c r="D62" s="400">
        <v>1.01</v>
      </c>
      <c r="E62" s="400">
        <v>1.022</v>
      </c>
      <c r="F62" s="401">
        <v>35</v>
      </c>
      <c r="G62" s="402">
        <v>75</v>
      </c>
      <c r="H62" s="403">
        <v>5</v>
      </c>
      <c r="I62" s="403">
        <v>7</v>
      </c>
      <c r="J62" s="853">
        <v>30</v>
      </c>
      <c r="K62" s="853">
        <v>40</v>
      </c>
      <c r="L62"/>
    </row>
    <row r="63" spans="1:12" ht="15" x14ac:dyDescent="0.2">
      <c r="A63" s="1" t="s">
        <v>656</v>
      </c>
      <c r="B63" s="400">
        <v>1.075</v>
      </c>
      <c r="C63" s="400">
        <v>1.115</v>
      </c>
      <c r="D63" s="400">
        <v>1.018</v>
      </c>
      <c r="E63" s="400">
        <v>1.03</v>
      </c>
      <c r="F63" s="401">
        <v>50</v>
      </c>
      <c r="G63" s="402">
        <v>90</v>
      </c>
      <c r="H63" s="403">
        <v>8</v>
      </c>
      <c r="I63" s="403">
        <v>12</v>
      </c>
      <c r="J63" s="853">
        <v>30</v>
      </c>
      <c r="K63" s="853">
        <v>40</v>
      </c>
      <c r="L63"/>
    </row>
    <row r="64" spans="1:12" ht="15" x14ac:dyDescent="0.2">
      <c r="A64" s="1" t="s">
        <v>657</v>
      </c>
      <c r="B64" s="400">
        <v>1.056</v>
      </c>
      <c r="C64" s="400">
        <v>1.07</v>
      </c>
      <c r="D64" s="400">
        <v>1.008</v>
      </c>
      <c r="E64" s="400">
        <v>1.014</v>
      </c>
      <c r="F64" s="401">
        <v>40</v>
      </c>
      <c r="G64" s="402">
        <v>70</v>
      </c>
      <c r="H64" s="403">
        <v>5.5</v>
      </c>
      <c r="I64" s="403">
        <v>7.5</v>
      </c>
      <c r="J64" s="853">
        <v>6</v>
      </c>
      <c r="K64" s="853">
        <v>14</v>
      </c>
      <c r="L64"/>
    </row>
    <row r="65" spans="1:12" ht="15" x14ac:dyDescent="0.2">
      <c r="A65" s="1" t="s">
        <v>658</v>
      </c>
      <c r="B65" s="400">
        <v>1.0580000000000001</v>
      </c>
      <c r="C65" s="400">
        <v>1.08</v>
      </c>
      <c r="D65" s="400">
        <v>1.008</v>
      </c>
      <c r="E65" s="400">
        <v>1.016</v>
      </c>
      <c r="F65" s="401">
        <v>50</v>
      </c>
      <c r="G65" s="402">
        <v>100</v>
      </c>
      <c r="H65" s="403">
        <v>6.2</v>
      </c>
      <c r="I65" s="403">
        <v>9.5</v>
      </c>
      <c r="J65" s="853">
        <v>5</v>
      </c>
      <c r="K65" s="853">
        <v>15</v>
      </c>
      <c r="L65"/>
    </row>
    <row r="66" spans="1:12" ht="15" x14ac:dyDescent="0.2">
      <c r="A66" s="1" t="s">
        <v>659</v>
      </c>
      <c r="B66" s="400">
        <v>1.05</v>
      </c>
      <c r="C66" s="400">
        <v>1.085</v>
      </c>
      <c r="D66" s="400">
        <v>1.01</v>
      </c>
      <c r="E66" s="400">
        <v>1.018</v>
      </c>
      <c r="F66" s="401">
        <v>50</v>
      </c>
      <c r="G66" s="402">
        <v>90</v>
      </c>
      <c r="H66" s="403">
        <v>5.5</v>
      </c>
      <c r="I66" s="403">
        <v>9</v>
      </c>
      <c r="J66" s="853">
        <v>25</v>
      </c>
      <c r="K66" s="853">
        <v>40</v>
      </c>
      <c r="L66"/>
    </row>
    <row r="67" spans="1:12" ht="15" x14ac:dyDescent="0.2">
      <c r="A67" s="1" t="s">
        <v>660</v>
      </c>
      <c r="B67" s="400">
        <v>1.056</v>
      </c>
      <c r="C67" s="400">
        <v>1.07</v>
      </c>
      <c r="D67" s="400">
        <v>1.008</v>
      </c>
      <c r="E67" s="400">
        <v>1.016</v>
      </c>
      <c r="F67" s="401">
        <v>40</v>
      </c>
      <c r="G67" s="402">
        <v>70</v>
      </c>
      <c r="H67" s="403">
        <v>5.5</v>
      </c>
      <c r="I67" s="403">
        <v>7.5</v>
      </c>
      <c r="J67" s="853">
        <v>11</v>
      </c>
      <c r="K67" s="853">
        <v>19</v>
      </c>
      <c r="L67"/>
    </row>
    <row r="68" spans="1:12" ht="15" x14ac:dyDescent="0.2">
      <c r="A68" s="1" t="s">
        <v>661</v>
      </c>
      <c r="B68" s="400">
        <v>1.056</v>
      </c>
      <c r="C68" s="400">
        <v>1.07</v>
      </c>
      <c r="D68" s="400">
        <v>1.008</v>
      </c>
      <c r="E68" s="400">
        <v>1.016</v>
      </c>
      <c r="F68" s="401">
        <v>40</v>
      </c>
      <c r="G68" s="402">
        <v>70</v>
      </c>
      <c r="H68" s="403">
        <v>5.5</v>
      </c>
      <c r="I68" s="403">
        <v>7.5</v>
      </c>
      <c r="J68" s="853">
        <v>11</v>
      </c>
      <c r="K68" s="853">
        <v>19</v>
      </c>
      <c r="L68"/>
    </row>
    <row r="69" spans="1:12" ht="15" x14ac:dyDescent="0.2">
      <c r="A69" s="1" t="s">
        <v>662</v>
      </c>
      <c r="B69" s="400">
        <v>1.056</v>
      </c>
      <c r="C69" s="400">
        <v>1.075</v>
      </c>
      <c r="D69" s="400">
        <v>1.008</v>
      </c>
      <c r="E69" s="400">
        <v>1.014</v>
      </c>
      <c r="F69" s="401">
        <v>50</v>
      </c>
      <c r="G69" s="402">
        <v>75</v>
      </c>
      <c r="H69" s="403">
        <v>5.5</v>
      </c>
      <c r="I69" s="403">
        <v>8</v>
      </c>
      <c r="J69" s="853">
        <v>6</v>
      </c>
      <c r="K69" s="853">
        <v>14</v>
      </c>
      <c r="L69"/>
    </row>
    <row r="70" spans="1:12" ht="15" x14ac:dyDescent="0.2">
      <c r="A70" s="1" t="s">
        <v>663</v>
      </c>
      <c r="B70" s="400">
        <v>1.056</v>
      </c>
      <c r="C70" s="400">
        <v>1.0649999999999999</v>
      </c>
      <c r="D70" s="400">
        <v>1.01</v>
      </c>
      <c r="E70" s="400">
        <v>1.016</v>
      </c>
      <c r="F70" s="401">
        <v>40</v>
      </c>
      <c r="G70" s="402">
        <v>70</v>
      </c>
      <c r="H70" s="403">
        <v>5.5</v>
      </c>
      <c r="I70" s="403">
        <v>7</v>
      </c>
      <c r="J70" s="853">
        <v>5</v>
      </c>
      <c r="K70" s="853">
        <v>8</v>
      </c>
      <c r="L70"/>
    </row>
    <row r="71" spans="1:12" ht="15" x14ac:dyDescent="0.2">
      <c r="A71" s="1" t="s">
        <v>2397</v>
      </c>
      <c r="B71" s="400">
        <v>1.046</v>
      </c>
      <c r="C71" s="400">
        <v>1.0569999999999999</v>
      </c>
      <c r="D71" s="400">
        <v>0.99</v>
      </c>
      <c r="E71" s="400">
        <v>1.004</v>
      </c>
      <c r="F71" s="401">
        <v>20</v>
      </c>
      <c r="G71" s="402">
        <v>30</v>
      </c>
      <c r="H71" s="403">
        <v>6</v>
      </c>
      <c r="I71" s="403">
        <v>7.5</v>
      </c>
      <c r="J71" s="853">
        <v>2</v>
      </c>
      <c r="K71" s="853">
        <v>4</v>
      </c>
      <c r="L71"/>
    </row>
    <row r="72" spans="1:12" ht="15" x14ac:dyDescent="0.2">
      <c r="A72" s="1" t="s">
        <v>2398</v>
      </c>
      <c r="B72" s="400">
        <v>1.06</v>
      </c>
      <c r="C72" s="400">
        <v>1.085</v>
      </c>
      <c r="D72" s="400">
        <v>1.01</v>
      </c>
      <c r="E72" s="400">
        <v>1.0149999999999999</v>
      </c>
      <c r="F72" s="401">
        <v>25</v>
      </c>
      <c r="G72" s="402">
        <v>60</v>
      </c>
      <c r="H72" s="403">
        <v>6</v>
      </c>
      <c r="I72" s="403">
        <v>9</v>
      </c>
      <c r="J72" s="853">
        <v>3</v>
      </c>
      <c r="K72" s="853">
        <v>7</v>
      </c>
      <c r="L72"/>
    </row>
    <row r="73" spans="1:12" ht="15" x14ac:dyDescent="0.2">
      <c r="A73" s="1" t="s">
        <v>664</v>
      </c>
      <c r="B73" s="400">
        <v>1.0649999999999999</v>
      </c>
      <c r="C73" s="400">
        <v>1.085</v>
      </c>
      <c r="D73" s="400">
        <v>1.008</v>
      </c>
      <c r="E73" s="400">
        <v>1.018</v>
      </c>
      <c r="F73" s="401">
        <v>60</v>
      </c>
      <c r="G73" s="402">
        <v>120</v>
      </c>
      <c r="H73" s="403">
        <v>7.5</v>
      </c>
      <c r="I73" s="403">
        <v>10</v>
      </c>
      <c r="J73" s="853">
        <v>6</v>
      </c>
      <c r="K73" s="853">
        <v>14</v>
      </c>
      <c r="L73"/>
    </row>
    <row r="74" spans="1:12" ht="15" x14ac:dyDescent="0.2">
      <c r="A74" s="1" t="s">
        <v>665</v>
      </c>
      <c r="B74" s="400">
        <v>1.0620000000000001</v>
      </c>
      <c r="C74" s="400">
        <v>1.0900000000000001</v>
      </c>
      <c r="D74" s="400">
        <v>1.014</v>
      </c>
      <c r="E74" s="400">
        <v>1.024</v>
      </c>
      <c r="F74" s="401">
        <v>50</v>
      </c>
      <c r="G74" s="402">
        <v>100</v>
      </c>
      <c r="H74" s="403">
        <v>6.3</v>
      </c>
      <c r="I74" s="403">
        <v>10</v>
      </c>
      <c r="J74" s="853">
        <v>7</v>
      </c>
      <c r="K74" s="853">
        <v>19</v>
      </c>
      <c r="L74"/>
    </row>
    <row r="75" spans="1:12" ht="15" x14ac:dyDescent="0.2">
      <c r="A75" s="1" t="s">
        <v>666</v>
      </c>
      <c r="B75" s="400">
        <v>1.08</v>
      </c>
      <c r="C75" s="400">
        <v>1.1200000000000001</v>
      </c>
      <c r="D75" s="400">
        <v>1.016</v>
      </c>
      <c r="E75" s="400">
        <v>1.03</v>
      </c>
      <c r="F75" s="401">
        <v>50</v>
      </c>
      <c r="G75" s="402">
        <v>100</v>
      </c>
      <c r="H75" s="403">
        <v>8</v>
      </c>
      <c r="I75" s="403">
        <v>12</v>
      </c>
      <c r="J75" s="853">
        <v>10</v>
      </c>
      <c r="K75" s="853">
        <v>19</v>
      </c>
      <c r="L75"/>
    </row>
    <row r="76" spans="1:12" ht="15" x14ac:dyDescent="0.2">
      <c r="A76" s="1" t="s">
        <v>667</v>
      </c>
      <c r="B76" s="400">
        <v>1.08</v>
      </c>
      <c r="C76" s="400">
        <v>1.1200000000000001</v>
      </c>
      <c r="D76" s="400">
        <v>1.016</v>
      </c>
      <c r="E76" s="400">
        <v>1.03</v>
      </c>
      <c r="F76" s="401">
        <v>30</v>
      </c>
      <c r="G76" s="402">
        <v>60</v>
      </c>
      <c r="H76" s="403">
        <v>8</v>
      </c>
      <c r="I76" s="403">
        <v>12</v>
      </c>
      <c r="J76" s="853">
        <v>8</v>
      </c>
      <c r="K76" s="853">
        <v>15</v>
      </c>
      <c r="L76"/>
    </row>
    <row r="77" spans="1:12" ht="15" x14ac:dyDescent="0.2">
      <c r="A77" s="1" t="s">
        <v>668</v>
      </c>
      <c r="B77" s="400">
        <v>1.028</v>
      </c>
      <c r="C77" s="400">
        <v>1.032</v>
      </c>
      <c r="D77" s="400">
        <v>1.0029999999999999</v>
      </c>
      <c r="E77" s="400">
        <v>1.006</v>
      </c>
      <c r="F77" s="401">
        <v>3</v>
      </c>
      <c r="G77" s="402">
        <v>8</v>
      </c>
      <c r="H77" s="403">
        <v>2.8</v>
      </c>
      <c r="I77" s="403">
        <v>3.8</v>
      </c>
      <c r="J77" s="853">
        <v>2</v>
      </c>
      <c r="K77" s="853">
        <v>3</v>
      </c>
      <c r="L77"/>
    </row>
    <row r="78" spans="1:12" ht="15" x14ac:dyDescent="0.2">
      <c r="A78" s="1" t="s">
        <v>669</v>
      </c>
      <c r="B78" s="400">
        <v>1.048</v>
      </c>
      <c r="C78" s="400">
        <v>1.0569999999999999</v>
      </c>
      <c r="D78" s="400">
        <v>1.002</v>
      </c>
      <c r="E78" s="400">
        <v>1.012</v>
      </c>
      <c r="F78" s="401">
        <v>10</v>
      </c>
      <c r="G78" s="402">
        <v>25</v>
      </c>
      <c r="H78" s="403">
        <v>4.5999999999999996</v>
      </c>
      <c r="I78" s="403">
        <v>6.5</v>
      </c>
      <c r="J78" s="853">
        <v>10</v>
      </c>
      <c r="K78" s="853">
        <v>16</v>
      </c>
      <c r="L78"/>
    </row>
    <row r="79" spans="1:12" ht="15" x14ac:dyDescent="0.2">
      <c r="A79" s="1" t="s">
        <v>670</v>
      </c>
      <c r="B79" s="400">
        <v>1.04</v>
      </c>
      <c r="C79" s="400">
        <v>1.0740000000000001</v>
      </c>
      <c r="D79" s="400">
        <v>1.008</v>
      </c>
      <c r="E79" s="400">
        <v>1.012</v>
      </c>
      <c r="F79" s="401">
        <v>20</v>
      </c>
      <c r="G79" s="402">
        <v>25</v>
      </c>
      <c r="H79" s="403">
        <v>4</v>
      </c>
      <c r="I79" s="403">
        <v>8</v>
      </c>
      <c r="J79" s="853">
        <v>15</v>
      </c>
      <c r="K79" s="853">
        <v>22</v>
      </c>
      <c r="L79"/>
    </row>
    <row r="80" spans="1:12" ht="15" x14ac:dyDescent="0.2">
      <c r="A80" s="1" t="s">
        <v>671</v>
      </c>
      <c r="B80" s="400">
        <v>1.04</v>
      </c>
      <c r="C80" s="400">
        <v>1.054</v>
      </c>
      <c r="D80" s="400">
        <v>1.0009999999999999</v>
      </c>
      <c r="E80" s="400">
        <v>1.01</v>
      </c>
      <c r="F80" s="401">
        <v>0</v>
      </c>
      <c r="G80" s="402">
        <v>10</v>
      </c>
      <c r="H80" s="403">
        <v>5</v>
      </c>
      <c r="I80" s="403">
        <v>6.5</v>
      </c>
      <c r="J80" s="853">
        <v>3</v>
      </c>
      <c r="K80" s="853">
        <v>7</v>
      </c>
      <c r="L80"/>
    </row>
    <row r="81" spans="1:12" ht="15" x14ac:dyDescent="0.2">
      <c r="A81" s="1" t="s">
        <v>672</v>
      </c>
      <c r="B81" s="400">
        <v>1.04</v>
      </c>
      <c r="C81" s="400">
        <v>1.06</v>
      </c>
      <c r="D81" s="400">
        <v>1</v>
      </c>
      <c r="E81" s="400">
        <v>1.006</v>
      </c>
      <c r="F81" s="401">
        <v>0</v>
      </c>
      <c r="G81" s="402">
        <v>10</v>
      </c>
      <c r="H81" s="403">
        <v>5</v>
      </c>
      <c r="I81" s="403">
        <v>8</v>
      </c>
      <c r="J81" s="853">
        <v>3</v>
      </c>
      <c r="K81" s="853">
        <v>7</v>
      </c>
      <c r="L81"/>
    </row>
    <row r="82" spans="1:12" ht="15" x14ac:dyDescent="0.2">
      <c r="A82" s="1" t="s">
        <v>673</v>
      </c>
      <c r="B82" s="400">
        <v>1.04</v>
      </c>
      <c r="C82" s="400">
        <v>1.06</v>
      </c>
      <c r="D82" s="400">
        <v>1</v>
      </c>
      <c r="E82" s="400">
        <v>1.01</v>
      </c>
      <c r="F82" s="401">
        <v>0</v>
      </c>
      <c r="G82" s="402">
        <v>10</v>
      </c>
      <c r="H82" s="403">
        <v>5</v>
      </c>
      <c r="I82" s="403">
        <v>7</v>
      </c>
      <c r="J82" s="853">
        <v>3</v>
      </c>
      <c r="K82" s="853">
        <v>7</v>
      </c>
      <c r="L82"/>
    </row>
    <row r="83" spans="1:12" ht="15" x14ac:dyDescent="0.2">
      <c r="A83" s="1" t="s">
        <v>2399</v>
      </c>
      <c r="B83" s="400">
        <v>1.036</v>
      </c>
      <c r="C83" s="400">
        <v>1.056</v>
      </c>
      <c r="D83" s="400">
        <v>1.006</v>
      </c>
      <c r="E83" s="400">
        <v>1.01</v>
      </c>
      <c r="F83" s="401">
        <v>5</v>
      </c>
      <c r="G83" s="402">
        <v>12</v>
      </c>
      <c r="H83" s="403">
        <v>4.2</v>
      </c>
      <c r="I83" s="403">
        <v>4.8</v>
      </c>
      <c r="J83" s="853">
        <v>3</v>
      </c>
      <c r="K83" s="853">
        <v>4</v>
      </c>
      <c r="L83"/>
    </row>
    <row r="84" spans="1:12" ht="15" x14ac:dyDescent="0.2">
      <c r="A84" s="1" t="s">
        <v>674</v>
      </c>
      <c r="B84" s="400">
        <v>1.044</v>
      </c>
      <c r="C84" s="400">
        <v>1.052</v>
      </c>
      <c r="D84" s="400">
        <v>1.008</v>
      </c>
      <c r="E84" s="400">
        <v>1.012</v>
      </c>
      <c r="F84" s="401">
        <v>8</v>
      </c>
      <c r="G84" s="402">
        <v>20</v>
      </c>
      <c r="H84" s="403">
        <v>4.5</v>
      </c>
      <c r="I84" s="403">
        <v>5.5</v>
      </c>
      <c r="J84" s="853">
        <v>2</v>
      </c>
      <c r="K84" s="853">
        <v>4</v>
      </c>
      <c r="L84"/>
    </row>
    <row r="85" spans="1:12" ht="15" x14ac:dyDescent="0.2">
      <c r="A85" s="1" t="s">
        <v>675</v>
      </c>
      <c r="B85" s="400">
        <v>1.048</v>
      </c>
      <c r="C85" s="400">
        <v>1.054</v>
      </c>
      <c r="D85" s="400">
        <v>1.01</v>
      </c>
      <c r="E85" s="400">
        <v>1.014</v>
      </c>
      <c r="F85" s="401">
        <v>20</v>
      </c>
      <c r="G85" s="402">
        <v>30</v>
      </c>
      <c r="H85" s="403">
        <v>4.8</v>
      </c>
      <c r="I85" s="403">
        <v>5.5</v>
      </c>
      <c r="J85" s="853">
        <v>8</v>
      </c>
      <c r="K85" s="853">
        <v>14</v>
      </c>
      <c r="L85"/>
    </row>
    <row r="86" spans="1:12" ht="15" x14ac:dyDescent="0.2">
      <c r="A86" s="1" t="s">
        <v>676</v>
      </c>
      <c r="B86" s="400">
        <v>1.06</v>
      </c>
      <c r="C86" s="400">
        <v>1.08</v>
      </c>
      <c r="D86" s="400">
        <v>1.008</v>
      </c>
      <c r="E86" s="400">
        <v>1.016</v>
      </c>
      <c r="F86" s="401">
        <v>18</v>
      </c>
      <c r="G86" s="402">
        <v>28</v>
      </c>
      <c r="H86" s="403">
        <v>6</v>
      </c>
      <c r="I86" s="403">
        <v>8.5</v>
      </c>
      <c r="J86" s="853">
        <v>6</v>
      </c>
      <c r="K86" s="853">
        <v>19</v>
      </c>
      <c r="L86"/>
    </row>
    <row r="87" spans="1:12" ht="15" x14ac:dyDescent="0.2">
      <c r="A87" s="1" t="s">
        <v>677</v>
      </c>
      <c r="B87" s="400">
        <v>1.0620000000000001</v>
      </c>
      <c r="C87" s="400">
        <v>1.075</v>
      </c>
      <c r="D87" s="400">
        <v>1.008</v>
      </c>
      <c r="E87" s="400">
        <v>1.018</v>
      </c>
      <c r="F87" s="401">
        <v>15</v>
      </c>
      <c r="G87" s="402">
        <v>30</v>
      </c>
      <c r="H87" s="403">
        <v>6</v>
      </c>
      <c r="I87" s="403">
        <v>7.5</v>
      </c>
      <c r="J87" s="853">
        <v>4</v>
      </c>
      <c r="K87" s="853">
        <v>7</v>
      </c>
      <c r="L87"/>
    </row>
    <row r="88" spans="1:12" ht="15" x14ac:dyDescent="0.2">
      <c r="A88" s="1" t="s">
        <v>678</v>
      </c>
      <c r="B88" s="400">
        <v>1.048</v>
      </c>
      <c r="C88" s="400">
        <v>1.0649999999999999</v>
      </c>
      <c r="D88" s="400">
        <v>1.002</v>
      </c>
      <c r="E88" s="400">
        <v>1.008</v>
      </c>
      <c r="F88" s="401">
        <v>20</v>
      </c>
      <c r="G88" s="402">
        <v>35</v>
      </c>
      <c r="H88" s="403">
        <v>3.5</v>
      </c>
      <c r="I88" s="403">
        <v>9.5</v>
      </c>
      <c r="J88" s="853">
        <v>5</v>
      </c>
      <c r="K88" s="853">
        <v>22</v>
      </c>
      <c r="L88"/>
    </row>
    <row r="89" spans="1:12" ht="15" x14ac:dyDescent="0.2">
      <c r="A89" s="1" t="s">
        <v>679</v>
      </c>
      <c r="B89" s="400">
        <v>1.07</v>
      </c>
      <c r="C89" s="400">
        <v>1.095</v>
      </c>
      <c r="D89" s="400">
        <v>1.0049999999999999</v>
      </c>
      <c r="E89" s="400">
        <v>1.016</v>
      </c>
      <c r="F89" s="401">
        <v>22</v>
      </c>
      <c r="G89" s="402">
        <v>35</v>
      </c>
      <c r="H89" s="403">
        <v>7.5</v>
      </c>
      <c r="I89" s="403">
        <v>10.5</v>
      </c>
      <c r="J89" s="853">
        <v>3</v>
      </c>
      <c r="K89" s="853">
        <v>6</v>
      </c>
      <c r="L89"/>
    </row>
    <row r="90" spans="1:12" ht="15" x14ac:dyDescent="0.2">
      <c r="A90" s="1" t="s">
        <v>680</v>
      </c>
      <c r="B90" s="400">
        <v>1.044</v>
      </c>
      <c r="C90" s="400">
        <v>1.054</v>
      </c>
      <c r="D90" s="400">
        <v>1.004</v>
      </c>
      <c r="E90" s="400">
        <v>1.01</v>
      </c>
      <c r="F90" s="401">
        <v>25</v>
      </c>
      <c r="G90" s="402">
        <v>45</v>
      </c>
      <c r="H90" s="403">
        <v>4.8</v>
      </c>
      <c r="I90" s="403">
        <v>6</v>
      </c>
      <c r="J90" s="853">
        <v>3</v>
      </c>
      <c r="K90" s="853">
        <v>5</v>
      </c>
      <c r="L90"/>
    </row>
    <row r="91" spans="1:12" ht="15" x14ac:dyDescent="0.2">
      <c r="A91" s="1" t="s">
        <v>681</v>
      </c>
      <c r="B91" s="400">
        <v>1.0620000000000001</v>
      </c>
      <c r="C91" s="400">
        <v>1.075</v>
      </c>
      <c r="D91" s="400">
        <v>1.008</v>
      </c>
      <c r="E91" s="400">
        <v>1.018</v>
      </c>
      <c r="F91" s="401">
        <v>15</v>
      </c>
      <c r="G91" s="402">
        <v>25</v>
      </c>
      <c r="H91" s="403">
        <v>6</v>
      </c>
      <c r="I91" s="403">
        <v>7.6</v>
      </c>
      <c r="J91" s="853">
        <v>10</v>
      </c>
      <c r="K91" s="853">
        <v>17</v>
      </c>
      <c r="L91"/>
    </row>
    <row r="92" spans="1:12" ht="15" x14ac:dyDescent="0.2">
      <c r="A92" s="1" t="s">
        <v>682</v>
      </c>
      <c r="B92" s="400">
        <v>1.075</v>
      </c>
      <c r="C92" s="400">
        <v>1.085</v>
      </c>
      <c r="D92" s="400">
        <v>1.008</v>
      </c>
      <c r="E92" s="400">
        <v>1.014</v>
      </c>
      <c r="F92" s="401">
        <v>20</v>
      </c>
      <c r="G92" s="402">
        <v>40</v>
      </c>
      <c r="H92" s="403">
        <v>7.5</v>
      </c>
      <c r="I92" s="403">
        <v>9.5</v>
      </c>
      <c r="J92" s="853">
        <v>4.5</v>
      </c>
      <c r="K92" s="853">
        <v>7</v>
      </c>
      <c r="L92"/>
    </row>
    <row r="93" spans="1:12" ht="15" x14ac:dyDescent="0.2">
      <c r="A93" s="1" t="s">
        <v>683</v>
      </c>
      <c r="B93" s="400">
        <v>1.075</v>
      </c>
      <c r="C93" s="400">
        <v>1.1100000000000001</v>
      </c>
      <c r="D93" s="400">
        <v>1.01</v>
      </c>
      <c r="E93" s="400">
        <v>1.024</v>
      </c>
      <c r="F93" s="401">
        <v>20</v>
      </c>
      <c r="G93" s="402">
        <v>35</v>
      </c>
      <c r="H93" s="403">
        <v>8</v>
      </c>
      <c r="I93" s="403">
        <v>12</v>
      </c>
      <c r="J93" s="853">
        <v>12</v>
      </c>
      <c r="K93" s="853">
        <v>22</v>
      </c>
      <c r="L93"/>
    </row>
    <row r="94" spans="1:12" ht="15" x14ac:dyDescent="0.2">
      <c r="A94" s="1" t="s">
        <v>2412</v>
      </c>
      <c r="B94" s="400">
        <v>1.044</v>
      </c>
      <c r="C94" s="400">
        <v>1.05</v>
      </c>
      <c r="D94" s="400">
        <v>1.008</v>
      </c>
      <c r="E94" s="400">
        <v>1.0129999999999999</v>
      </c>
      <c r="F94" s="401">
        <v>22</v>
      </c>
      <c r="G94" s="402">
        <v>40</v>
      </c>
      <c r="H94" s="403">
        <v>4.4000000000000004</v>
      </c>
      <c r="I94" s="403">
        <v>5.2</v>
      </c>
      <c r="J94" s="853">
        <v>2</v>
      </c>
      <c r="K94" s="853">
        <v>4</v>
      </c>
      <c r="L94"/>
    </row>
    <row r="95" spans="1:12" ht="15" x14ac:dyDescent="0.2">
      <c r="A95" s="1" t="s">
        <v>2413</v>
      </c>
      <c r="B95" s="400">
        <v>1.044</v>
      </c>
      <c r="C95" s="400">
        <v>1.048</v>
      </c>
      <c r="D95" s="400">
        <v>1.006</v>
      </c>
      <c r="E95" s="400">
        <v>1.012</v>
      </c>
      <c r="F95" s="401">
        <v>16</v>
      </c>
      <c r="G95" s="402">
        <v>22</v>
      </c>
      <c r="H95" s="403">
        <v>4.7</v>
      </c>
      <c r="I95" s="403">
        <v>5.4</v>
      </c>
      <c r="J95" s="853">
        <v>3</v>
      </c>
      <c r="K95" s="853">
        <v>5</v>
      </c>
      <c r="L95"/>
    </row>
    <row r="96" spans="1:12" ht="15" x14ac:dyDescent="0.2">
      <c r="A96" s="1" t="s">
        <v>2414</v>
      </c>
      <c r="B96" s="400">
        <v>1.054</v>
      </c>
      <c r="C96" s="400">
        <v>1.06</v>
      </c>
      <c r="D96" s="400">
        <v>1.01</v>
      </c>
      <c r="E96" s="400">
        <v>1.014</v>
      </c>
      <c r="F96" s="401">
        <v>18</v>
      </c>
      <c r="G96" s="402">
        <v>24</v>
      </c>
      <c r="H96" s="403">
        <v>5.6</v>
      </c>
      <c r="I96" s="403">
        <v>6.3</v>
      </c>
      <c r="J96" s="853">
        <v>8</v>
      </c>
      <c r="K96" s="853">
        <v>17</v>
      </c>
      <c r="L96"/>
    </row>
    <row r="97" spans="1:12" ht="15" x14ac:dyDescent="0.2">
      <c r="A97" s="1" t="s">
        <v>2415</v>
      </c>
      <c r="B97" s="400">
        <v>1.048</v>
      </c>
      <c r="C97" s="400">
        <v>1.056</v>
      </c>
      <c r="D97" s="400">
        <v>1.01</v>
      </c>
      <c r="E97" s="400">
        <v>1.016</v>
      </c>
      <c r="F97" s="401">
        <v>18</v>
      </c>
      <c r="G97" s="402">
        <v>28</v>
      </c>
      <c r="H97" s="403">
        <v>4.5</v>
      </c>
      <c r="I97" s="403">
        <v>5.6</v>
      </c>
      <c r="J97" s="853">
        <v>17</v>
      </c>
      <c r="K97" s="853">
        <v>28</v>
      </c>
      <c r="L97"/>
    </row>
    <row r="98" spans="1:12" ht="15" x14ac:dyDescent="0.2">
      <c r="A98" s="1" t="s">
        <v>2400</v>
      </c>
      <c r="B98" s="400">
        <v>1.044</v>
      </c>
      <c r="C98" s="400">
        <v>1.0549999999999999</v>
      </c>
      <c r="D98" s="400">
        <v>1.01</v>
      </c>
      <c r="E98" s="400">
        <v>1.018</v>
      </c>
      <c r="F98" s="401">
        <v>15</v>
      </c>
      <c r="G98" s="402">
        <v>30</v>
      </c>
      <c r="H98" s="403">
        <v>4</v>
      </c>
      <c r="I98" s="403">
        <v>5.5</v>
      </c>
      <c r="J98" s="853">
        <v>11</v>
      </c>
      <c r="K98" s="853">
        <v>20</v>
      </c>
      <c r="L98"/>
    </row>
    <row r="99" spans="1:12" ht="15" x14ac:dyDescent="0.2">
      <c r="A99" s="1" t="s">
        <v>2401</v>
      </c>
      <c r="B99" s="400">
        <v>1.032</v>
      </c>
      <c r="C99" s="400">
        <v>1.04</v>
      </c>
      <c r="D99" s="400">
        <v>1.004</v>
      </c>
      <c r="E99" s="400">
        <v>1.008</v>
      </c>
      <c r="F99" s="401">
        <v>5</v>
      </c>
      <c r="G99" s="402">
        <v>12</v>
      </c>
      <c r="H99" s="403">
        <v>3.5</v>
      </c>
      <c r="I99" s="403">
        <v>4.7</v>
      </c>
      <c r="J99" s="853">
        <v>3</v>
      </c>
      <c r="K99" s="853">
        <v>6</v>
      </c>
      <c r="L99"/>
    </row>
    <row r="100" spans="1:12" ht="15" x14ac:dyDescent="0.2">
      <c r="A100" s="1" t="s">
        <v>2402</v>
      </c>
      <c r="B100" s="400">
        <v>1.0329999999999999</v>
      </c>
      <c r="C100" s="400">
        <v>1.038</v>
      </c>
      <c r="D100" s="400">
        <v>1.012</v>
      </c>
      <c r="E100" s="400">
        <v>1.0149999999999999</v>
      </c>
      <c r="F100" s="401">
        <v>15</v>
      </c>
      <c r="G100" s="402">
        <v>20</v>
      </c>
      <c r="H100" s="403">
        <v>2.8</v>
      </c>
      <c r="I100" s="403">
        <v>3.6</v>
      </c>
      <c r="J100" s="853">
        <v>22</v>
      </c>
      <c r="K100" s="853">
        <v>35</v>
      </c>
      <c r="L100"/>
    </row>
    <row r="101" spans="1:12" ht="15" x14ac:dyDescent="0.2">
      <c r="A101" s="1" t="s">
        <v>2403</v>
      </c>
      <c r="B101" s="400">
        <v>1.028</v>
      </c>
      <c r="C101" s="400">
        <v>1.032</v>
      </c>
      <c r="D101" s="400">
        <v>1.006</v>
      </c>
      <c r="E101" s="400">
        <v>1.012</v>
      </c>
      <c r="F101" s="401">
        <v>20</v>
      </c>
      <c r="G101" s="402">
        <v>35</v>
      </c>
      <c r="H101" s="403">
        <v>2.5</v>
      </c>
      <c r="I101" s="403">
        <v>3.3</v>
      </c>
      <c r="J101" s="853">
        <v>3</v>
      </c>
      <c r="K101" s="853">
        <v>6</v>
      </c>
      <c r="L101"/>
    </row>
    <row r="102" spans="1:12" ht="15" x14ac:dyDescent="0.2">
      <c r="A102" s="1" t="s">
        <v>2404</v>
      </c>
      <c r="B102" s="400">
        <v>1.044</v>
      </c>
      <c r="C102" s="400">
        <v>1.06</v>
      </c>
      <c r="D102" s="400">
        <v>1.01</v>
      </c>
      <c r="E102" s="400">
        <v>1.0149999999999999</v>
      </c>
      <c r="F102" s="401">
        <v>25</v>
      </c>
      <c r="G102" s="402">
        <v>40</v>
      </c>
      <c r="H102" s="403">
        <v>4.5</v>
      </c>
      <c r="I102" s="403">
        <v>6</v>
      </c>
      <c r="J102" s="853">
        <v>3</v>
      </c>
      <c r="K102" s="853">
        <v>6</v>
      </c>
      <c r="L102"/>
    </row>
    <row r="103" spans="1:12" ht="15" x14ac:dyDescent="0.2">
      <c r="A103" s="1" t="s">
        <v>2405</v>
      </c>
      <c r="B103" s="400">
        <v>1.046</v>
      </c>
      <c r="C103" s="400">
        <v>1.06</v>
      </c>
      <c r="D103" s="400">
        <v>1.01</v>
      </c>
      <c r="E103" s="400">
        <v>1.016</v>
      </c>
      <c r="F103" s="401">
        <v>20</v>
      </c>
      <c r="G103" s="402">
        <v>30</v>
      </c>
      <c r="H103" s="403">
        <v>4.5</v>
      </c>
      <c r="I103" s="403">
        <v>6</v>
      </c>
      <c r="J103" s="853">
        <v>18</v>
      </c>
      <c r="K103" s="853">
        <v>30</v>
      </c>
      <c r="L103"/>
    </row>
    <row r="104" spans="1:12" ht="15" x14ac:dyDescent="0.2">
      <c r="A104" s="1" t="s">
        <v>2406</v>
      </c>
      <c r="B104" s="400">
        <v>1.046</v>
      </c>
      <c r="C104" s="400">
        <v>1.056</v>
      </c>
      <c r="D104" s="400">
        <v>1.01</v>
      </c>
      <c r="E104" s="400">
        <v>1.014</v>
      </c>
      <c r="F104" s="401">
        <v>10</v>
      </c>
      <c r="G104" s="402">
        <v>20</v>
      </c>
      <c r="H104" s="403">
        <v>4.5</v>
      </c>
      <c r="I104" s="403">
        <v>6</v>
      </c>
      <c r="J104" s="853">
        <v>14</v>
      </c>
      <c r="K104" s="853">
        <v>19</v>
      </c>
      <c r="L104"/>
    </row>
    <row r="105" spans="1:12" ht="15" x14ac:dyDescent="0.2">
      <c r="A105" s="1" t="s">
        <v>2407</v>
      </c>
      <c r="B105" s="400">
        <v>1.0760000000000001</v>
      </c>
      <c r="C105" s="400">
        <v>1.1200000000000001</v>
      </c>
      <c r="D105" s="400">
        <v>1.016</v>
      </c>
      <c r="E105" s="400">
        <v>1.02</v>
      </c>
      <c r="F105" s="401">
        <v>7</v>
      </c>
      <c r="G105" s="402">
        <v>15</v>
      </c>
      <c r="H105" s="403">
        <v>7</v>
      </c>
      <c r="I105" s="403">
        <v>11</v>
      </c>
      <c r="J105" s="853">
        <v>4</v>
      </c>
      <c r="K105" s="853">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2408</v>
      </c>
      <c r="B109" s="405">
        <v>1.048</v>
      </c>
      <c r="C109" s="405">
        <v>1.0649999999999999</v>
      </c>
      <c r="D109" s="405">
        <v>1.006</v>
      </c>
      <c r="E109" s="405">
        <v>1.0129999999999999</v>
      </c>
      <c r="F109" s="853">
        <v>3</v>
      </c>
      <c r="G109" s="853">
        <v>8</v>
      </c>
      <c r="H109" s="854">
        <v>4.5</v>
      </c>
      <c r="I109" s="854">
        <v>7</v>
      </c>
      <c r="J109" s="853">
        <v>2</v>
      </c>
      <c r="K109" s="853">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2409</v>
      </c>
      <c r="B113" s="405">
        <v>1.0589999999999999</v>
      </c>
      <c r="C113" s="405">
        <v>1.075</v>
      </c>
      <c r="D113" s="405">
        <v>1.004</v>
      </c>
      <c r="E113" s="405">
        <v>1.0129999999999999</v>
      </c>
      <c r="F113" s="853">
        <v>10</v>
      </c>
      <c r="G113" s="853">
        <v>30</v>
      </c>
      <c r="H113" s="854">
        <v>6</v>
      </c>
      <c r="I113" s="854">
        <v>8.5</v>
      </c>
      <c r="J113" s="853">
        <v>4</v>
      </c>
      <c r="K113" s="853">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2410</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2411</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0" t="s">
        <v>2220</v>
      </c>
      <c r="D1" s="1380"/>
      <c r="E1" s="1380"/>
      <c r="F1" s="1380"/>
      <c r="G1" s="1380"/>
      <c r="H1" s="1380"/>
    </row>
    <row r="3" spans="2:8" ht="24" customHeight="1" x14ac:dyDescent="0.2">
      <c r="B3" s="464" t="s">
        <v>19</v>
      </c>
      <c r="C3" s="1377" t="s">
        <v>2250</v>
      </c>
      <c r="D3" s="1377"/>
      <c r="F3" s="464" t="s">
        <v>19</v>
      </c>
      <c r="G3" s="1378" t="s">
        <v>2250</v>
      </c>
      <c r="H3" s="1379"/>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68" t="s">
        <v>2256</v>
      </c>
      <c r="C24" s="1368"/>
      <c r="D24" s="1368"/>
      <c r="E24" s="1368"/>
      <c r="F24" s="459"/>
    </row>
    <row r="25" spans="2:8" x14ac:dyDescent="0.2">
      <c r="B25" s="26" t="s">
        <v>2253</v>
      </c>
      <c r="C25" s="1386" t="s">
        <v>2252</v>
      </c>
      <c r="D25" s="1387"/>
      <c r="E25" s="1388"/>
      <c r="F25" s="459"/>
    </row>
    <row r="26" spans="2:8" x14ac:dyDescent="0.2">
      <c r="B26" s="26" t="s">
        <v>2254</v>
      </c>
      <c r="C26" s="1386" t="s">
        <v>2255</v>
      </c>
      <c r="D26" s="1387"/>
      <c r="E26" s="1388"/>
      <c r="F26" s="459"/>
    </row>
    <row r="27" spans="2:8" ht="13.5" thickBot="1" x14ac:dyDescent="0.25">
      <c r="E27" s="459"/>
      <c r="F27" s="459"/>
    </row>
    <row r="28" spans="2:8" ht="13.5" customHeight="1" thickTop="1" x14ac:dyDescent="0.2">
      <c r="B28" s="1381" t="s">
        <v>2257</v>
      </c>
      <c r="C28" s="1382"/>
      <c r="D28" s="498" t="s">
        <v>2259</v>
      </c>
      <c r="E28" s="1053" t="s">
        <v>2258</v>
      </c>
      <c r="F28" s="1053"/>
      <c r="G28" s="1053" t="s">
        <v>2193</v>
      </c>
      <c r="H28" s="1054"/>
    </row>
    <row r="29" spans="2:8" x14ac:dyDescent="0.2">
      <c r="B29" s="1383"/>
      <c r="C29" s="958"/>
      <c r="D29" s="489" t="s">
        <v>1859</v>
      </c>
      <c r="E29" s="1389">
        <v>2.0499999999999999E-6</v>
      </c>
      <c r="F29" s="1389"/>
      <c r="G29" s="1389">
        <v>-1.596E-5</v>
      </c>
      <c r="H29" s="1390"/>
    </row>
    <row r="30" spans="2:8" ht="13.5" thickBot="1" x14ac:dyDescent="0.25">
      <c r="B30" s="1384"/>
      <c r="C30" s="1385"/>
      <c r="D30" s="499" t="s">
        <v>2260</v>
      </c>
      <c r="E30" s="1391">
        <v>6.3300000000000004E-6</v>
      </c>
      <c r="F30" s="1391"/>
      <c r="G30" s="1391">
        <v>1.1120000000000001E-4</v>
      </c>
      <c r="H30" s="1392"/>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8" t="s">
        <v>2338</v>
      </c>
      <c r="B2" s="1248"/>
      <c r="C2" s="1248"/>
      <c r="D2" s="1248"/>
    </row>
    <row r="3" spans="1:4" x14ac:dyDescent="0.2">
      <c r="A3" s="672">
        <v>1</v>
      </c>
      <c r="B3" s="688" t="s">
        <v>2342</v>
      </c>
      <c r="C3" s="568">
        <f>CONVERT(A3,B3,D3)</f>
        <v>0.45359237000000002</v>
      </c>
      <c r="D3" s="688" t="s">
        <v>2337</v>
      </c>
    </row>
    <row r="4" spans="1:4" x14ac:dyDescent="0.2">
      <c r="A4" s="672">
        <v>1</v>
      </c>
      <c r="B4" s="688" t="s">
        <v>2343</v>
      </c>
      <c r="C4" s="568">
        <f>CONVERT(A4,B4,D4)</f>
        <v>28.349523125000001</v>
      </c>
      <c r="D4" s="688" t="s">
        <v>1650</v>
      </c>
    </row>
    <row r="5" spans="1:4" x14ac:dyDescent="0.2">
      <c r="A5" s="1248" t="s">
        <v>1097</v>
      </c>
      <c r="B5" s="1248"/>
      <c r="C5" s="1248"/>
      <c r="D5" s="1248"/>
    </row>
    <row r="6" spans="1:4" x14ac:dyDescent="0.2">
      <c r="A6" s="672">
        <v>1</v>
      </c>
      <c r="B6" s="688" t="s">
        <v>2339</v>
      </c>
      <c r="C6" s="568">
        <f>CONVERT(A6,B6,D6)</f>
        <v>0.25</v>
      </c>
      <c r="D6" s="688" t="s">
        <v>2344</v>
      </c>
    </row>
    <row r="7" spans="1:4" x14ac:dyDescent="0.2">
      <c r="A7" s="672">
        <v>1</v>
      </c>
      <c r="B7" s="688" t="s">
        <v>2339</v>
      </c>
      <c r="C7" s="568">
        <f>CONVERT(A7,B7,D7)</f>
        <v>0.94635294599999997</v>
      </c>
      <c r="D7" s="688" t="s">
        <v>412</v>
      </c>
    </row>
    <row r="8" spans="1:4" x14ac:dyDescent="0.2">
      <c r="A8" s="1248" t="s">
        <v>1096</v>
      </c>
      <c r="B8" s="1248"/>
      <c r="C8" s="1248"/>
      <c r="D8" s="1248"/>
    </row>
    <row r="9" spans="1:4" x14ac:dyDescent="0.2">
      <c r="A9" s="672">
        <v>1</v>
      </c>
      <c r="B9" s="688" t="s">
        <v>2340</v>
      </c>
      <c r="C9" s="568">
        <f>CONVERT(A9,B9,D9)</f>
        <v>-17.222222222222221</v>
      </c>
      <c r="D9" s="688" t="s">
        <v>2341</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topLeftCell="O23" zoomScaleNormal="100" workbookViewId="0">
      <selection activeCell="Z41" sqref="Z41"/>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87" t="s">
        <v>607</v>
      </c>
      <c r="C1" s="988"/>
      <c r="D1" s="988"/>
      <c r="E1" s="988"/>
      <c r="F1" s="989"/>
      <c r="G1" s="55"/>
      <c r="I1" s="528" t="s">
        <v>109</v>
      </c>
      <c r="J1" s="968" t="s">
        <v>2390</v>
      </c>
      <c r="K1" s="969"/>
      <c r="L1" s="969"/>
      <c r="M1" s="969"/>
      <c r="N1" s="969"/>
      <c r="O1" s="970"/>
      <c r="Q1" s="981" t="s">
        <v>2226</v>
      </c>
      <c r="R1" s="982"/>
      <c r="S1" s="982"/>
      <c r="T1" s="868" t="str">
        <f>'Brewhouse Setup &amp; Calcs'!C11</f>
        <v>Blichmann BrewEasy, 10 Gal, Electric, 75% Power</v>
      </c>
      <c r="U1" s="883"/>
      <c r="V1" s="883"/>
      <c r="W1" s="883"/>
      <c r="X1" s="883"/>
      <c r="Y1" s="883"/>
      <c r="Z1" s="883"/>
      <c r="AA1" s="883"/>
      <c r="AB1" s="883"/>
      <c r="AC1" s="869"/>
    </row>
    <row r="2" spans="1:51" ht="13.15" customHeight="1" x14ac:dyDescent="0.2">
      <c r="A2" s="518"/>
      <c r="F2" s="55"/>
      <c r="G2" s="55"/>
      <c r="I2" s="528" t="s">
        <v>110</v>
      </c>
      <c r="J2" s="971">
        <v>44793</v>
      </c>
      <c r="K2" s="972"/>
      <c r="L2" s="972"/>
      <c r="M2" s="972"/>
      <c r="N2" s="972"/>
      <c r="O2" s="973"/>
      <c r="Q2" s="981" t="s">
        <v>2227</v>
      </c>
      <c r="R2" s="982"/>
      <c r="S2" s="982"/>
      <c r="T2" s="868" t="str">
        <f>'Brewhouse Setup &amp; Calcs'!C12</f>
        <v>JaDeD Scylla</v>
      </c>
      <c r="U2" s="883"/>
      <c r="V2" s="883"/>
      <c r="W2" s="869"/>
      <c r="X2" s="884" t="s">
        <v>2355</v>
      </c>
      <c r="Y2" s="885"/>
      <c r="Z2" s="868" t="str">
        <f>'Brewhouse Setup &amp; Calcs'!$C$13</f>
        <v>Kegmenter</v>
      </c>
      <c r="AA2" s="883"/>
      <c r="AB2" s="883"/>
      <c r="AC2" s="869"/>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78" t="s">
        <v>1094</v>
      </c>
      <c r="B4" s="983"/>
      <c r="C4" s="983"/>
      <c r="D4" s="983"/>
      <c r="E4" s="983"/>
      <c r="F4" s="979"/>
      <c r="G4" s="342"/>
      <c r="H4" s="879" t="s">
        <v>1670</v>
      </c>
      <c r="I4" s="879"/>
      <c r="J4" s="879"/>
      <c r="K4" s="879"/>
      <c r="L4" s="978" t="s">
        <v>2146</v>
      </c>
      <c r="M4" s="979"/>
      <c r="N4" s="510"/>
      <c r="O4" s="879" t="s">
        <v>1852</v>
      </c>
      <c r="P4" s="879"/>
      <c r="Q4" s="879"/>
      <c r="R4" s="879"/>
      <c r="S4" s="342"/>
      <c r="T4" s="862" t="s">
        <v>2331</v>
      </c>
      <c r="U4" s="863"/>
      <c r="V4" s="863"/>
      <c r="W4" s="863"/>
      <c r="X4" s="863"/>
      <c r="Y4" s="863"/>
      <c r="Z4" s="863"/>
      <c r="AA4" s="863"/>
      <c r="AB4" s="863"/>
      <c r="AC4" s="864"/>
    </row>
    <row r="5" spans="1:51" ht="13.15" customHeight="1" x14ac:dyDescent="0.2">
      <c r="A5" s="956" t="s">
        <v>66</v>
      </c>
      <c r="B5" s="957"/>
      <c r="C5" s="957"/>
      <c r="D5" s="958"/>
      <c r="E5" s="509" t="s">
        <v>124</v>
      </c>
      <c r="F5" s="877" t="s">
        <v>1104</v>
      </c>
      <c r="G5" s="342"/>
      <c r="H5" s="511"/>
      <c r="I5" s="512"/>
      <c r="J5" s="508" t="s">
        <v>1661</v>
      </c>
      <c r="K5" s="508" t="s">
        <v>119</v>
      </c>
      <c r="L5" s="508" t="s">
        <v>2145</v>
      </c>
      <c r="M5" s="508" t="s">
        <v>1117</v>
      </c>
      <c r="N5" s="354"/>
      <c r="O5" s="980" t="s">
        <v>2394</v>
      </c>
      <c r="P5" s="980"/>
      <c r="Q5" s="980"/>
      <c r="R5" s="980"/>
      <c r="S5" s="342"/>
      <c r="T5" s="576" t="s">
        <v>1661</v>
      </c>
      <c r="U5" s="705">
        <f>'Brewhouse Setup &amp; Calcs'!C89</f>
        <v>61.614692599862849</v>
      </c>
      <c r="V5" s="706" t="str">
        <f>'Brewhouse Setup &amp; Calcs'!$C$5</f>
        <v>qt</v>
      </c>
      <c r="W5" s="705">
        <f>'Brewhouse Setup &amp; Calcs'!$C$20</f>
        <v>68</v>
      </c>
      <c r="X5" s="706" t="str">
        <f>'Brewhouse Setup &amp; Calcs'!$C$4</f>
        <v>°F</v>
      </c>
      <c r="Y5" s="576" t="s">
        <v>119</v>
      </c>
      <c r="Z5" s="587">
        <v>61.6</v>
      </c>
      <c r="AA5" s="706" t="str">
        <f>'Brewhouse Setup &amp; Calcs'!$C$5</f>
        <v>qt</v>
      </c>
      <c r="AB5" s="587">
        <v>68</v>
      </c>
      <c r="AC5" s="706" t="str">
        <f>'Brewhouse Setup &amp; Calcs'!$C$4</f>
        <v>°F</v>
      </c>
    </row>
    <row r="6" spans="1:51" ht="13.15" customHeight="1" x14ac:dyDescent="0.2">
      <c r="A6" s="959"/>
      <c r="B6" s="960"/>
      <c r="C6" s="960"/>
      <c r="D6" s="961"/>
      <c r="E6" s="692" t="str">
        <f>'Brewhouse Setup &amp; Calcs'!$C$6</f>
        <v>lb</v>
      </c>
      <c r="F6" s="878"/>
      <c r="G6" s="342"/>
      <c r="H6" s="880" t="s">
        <v>1669</v>
      </c>
      <c r="I6" s="881"/>
      <c r="J6" s="695">
        <f>'Brewhouse Setup &amp; Calcs'!C46</f>
        <v>0.7</v>
      </c>
      <c r="K6" s="695">
        <f>IF(Z26&lt;&gt;"",Z26,IF(Z27&lt;&gt;"",Z27,""))</f>
        <v>0.67475861564835526</v>
      </c>
      <c r="L6" s="974"/>
      <c r="M6" s="975"/>
      <c r="N6" s="470"/>
      <c r="O6" s="984" t="s">
        <v>1853</v>
      </c>
      <c r="P6" s="985"/>
      <c r="Q6" s="998" t="s">
        <v>1850</v>
      </c>
      <c r="R6" s="998" t="s">
        <v>1851</v>
      </c>
      <c r="S6" s="342"/>
      <c r="T6" s="874" t="s">
        <v>2296</v>
      </c>
      <c r="U6" s="875"/>
      <c r="V6" s="875"/>
      <c r="W6" s="875"/>
      <c r="X6" s="875"/>
      <c r="Y6" s="875"/>
      <c r="Z6" s="875"/>
      <c r="AA6" s="875"/>
      <c r="AB6" s="875"/>
      <c r="AC6" s="876"/>
      <c r="AE6" s="866"/>
      <c r="AF6" s="866"/>
      <c r="AG6" s="866"/>
      <c r="AH6" s="866"/>
    </row>
    <row r="7" spans="1:51" ht="13.15" customHeight="1" x14ac:dyDescent="0.2">
      <c r="A7" s="868" t="str">
        <f>IF(ISBLANK('Grain &amp; Sugar Calcs'!B5),"",'Grain &amp; Sugar Calcs'!B5)</f>
        <v>Pilsner Malt: Premium Pilsen Malt (Avangard Malz)</v>
      </c>
      <c r="B7" s="883"/>
      <c r="C7" s="883"/>
      <c r="D7" s="869"/>
      <c r="E7" s="689">
        <f>IF(ISBLANK('Grain &amp; Sugar Calcs'!C5),"",'Grain &amp; Sugar Calcs'!C5)</f>
        <v>10</v>
      </c>
      <c r="F7" s="690">
        <f>IF('Grain &amp; Sugar Calcs'!D5=0,"",'Grain &amp; Sugar Calcs'!D5)</f>
        <v>0.41666666666666669</v>
      </c>
      <c r="G7" s="342"/>
      <c r="H7" s="967" t="s">
        <v>1865</v>
      </c>
      <c r="I7" s="967"/>
      <c r="J7" s="695">
        <f>IF(OR(NOT(ISNUMBER($J$8)),NOT(ISNUMBER($J$10)),'Grain &amp; Sugar Calcs'!$I$17=0),"",(($J$8-1)*1000)/IF('Brewhouse Setup &amp; Calcs'!$C$2="Metric",('Grain &amp; Sugar Calcs'!$I$17/$J$10*4*1.056688),('Grain &amp; Sugar Calcs'!$I$17/$J$10*4)))</f>
        <v>0.64764777841248389</v>
      </c>
      <c r="K7" s="696" t="e">
        <f>IF(NOT(ISNUMBER($K$8)),"",(($K$8-1)*1000*$K$10)/IF('Brewhouse Setup &amp; Calcs'!$C$2="Metric",('Grain &amp; Sugar Calcs'!$I$17/$J$10*4*1.056688)*$J$10,('Grain &amp; Sugar Calcs'!$I$17/$J$10*4)*$J$10))</f>
        <v>#VALUE!</v>
      </c>
      <c r="L7" s="976"/>
      <c r="M7" s="977"/>
      <c r="N7" s="470"/>
      <c r="O7" s="955"/>
      <c r="P7" s="986"/>
      <c r="Q7" s="999"/>
      <c r="R7" s="999"/>
      <c r="S7" s="342"/>
      <c r="T7" s="872" t="s">
        <v>2332</v>
      </c>
      <c r="U7" s="903"/>
      <c r="V7" s="873"/>
      <c r="W7" s="898" t="s">
        <v>2378</v>
      </c>
      <c r="X7" s="899"/>
      <c r="Y7" s="899"/>
      <c r="Z7" s="900"/>
      <c r="AA7" s="569" t="s">
        <v>1792</v>
      </c>
      <c r="AB7" s="872" t="s">
        <v>1659</v>
      </c>
      <c r="AC7" s="873"/>
      <c r="AE7" s="1028" t="s">
        <v>2198</v>
      </c>
      <c r="AF7" s="909"/>
      <c r="AG7" s="909"/>
      <c r="AH7" s="910"/>
      <c r="AL7" s="567"/>
    </row>
    <row r="8" spans="1:51" ht="13.15" customHeight="1" x14ac:dyDescent="0.2">
      <c r="A8" s="857" t="str">
        <f>IF(ISBLANK('Grain &amp; Sugar Calcs'!B6),"",'Grain &amp; Sugar Calcs'!B6)</f>
        <v>Pale Malt: Brewers Malt, 2-row (Briess)</v>
      </c>
      <c r="B8" s="857"/>
      <c r="C8" s="857"/>
      <c r="D8" s="857"/>
      <c r="E8" s="691">
        <f>IF(ISBLANK('Grain &amp; Sugar Calcs'!C6),"",'Grain &amp; Sugar Calcs'!C6)</f>
        <v>5</v>
      </c>
      <c r="F8" s="690">
        <f>IF('Grain &amp; Sugar Calcs'!D6=0,"",'Grain &amp; Sugar Calcs'!D6)</f>
        <v>0.20833333333333334</v>
      </c>
      <c r="G8" s="342"/>
      <c r="H8" s="880" t="s">
        <v>1665</v>
      </c>
      <c r="I8" s="881"/>
      <c r="J8" s="697">
        <f>ROUND('Grain &amp; Sugar Calcs'!L21,3)</f>
        <v>1.054</v>
      </c>
      <c r="K8" s="697">
        <f>IF(AC36="",AC37,AC36)</f>
        <v>1.0515190465976256</v>
      </c>
      <c r="L8" s="698">
        <f>VLOOKUP('Recipe Sheet'!$B$1,'BJCP Guidelines'!$A$2:$K$126,2,FALSE)</f>
        <v>1.054</v>
      </c>
      <c r="M8" s="698">
        <f>VLOOKUP('Recipe Sheet'!$B$1,'BJCP Guidelines'!$A$2:$K$126,3,FALSE)</f>
        <v>1.0569999999999999</v>
      </c>
      <c r="N8" s="470"/>
      <c r="O8" s="905" t="s">
        <v>1675</v>
      </c>
      <c r="P8" s="907"/>
      <c r="Q8" s="586">
        <v>37</v>
      </c>
      <c r="R8" s="707">
        <f>IFERROR(IF('Brewhouse Setup &amp; Calcs'!$C$2="US Customary",'Water-English'!D52,'Water-Metric'!D53),"")</f>
        <v>46.137201408374032</v>
      </c>
      <c r="S8" s="342"/>
      <c r="T8" s="942" t="s">
        <v>2295</v>
      </c>
      <c r="U8" s="541" t="s">
        <v>19</v>
      </c>
      <c r="V8" s="541" t="s">
        <v>2177</v>
      </c>
      <c r="W8" s="901" t="s">
        <v>1661</v>
      </c>
      <c r="X8" s="902"/>
      <c r="Y8" s="901" t="s">
        <v>119</v>
      </c>
      <c r="Z8" s="902"/>
      <c r="AA8" s="566" t="s">
        <v>119</v>
      </c>
      <c r="AB8" s="872"/>
      <c r="AC8" s="873"/>
      <c r="AE8" s="860" t="s">
        <v>2333</v>
      </c>
      <c r="AF8" s="861"/>
      <c r="AG8" s="860" t="s">
        <v>2363</v>
      </c>
      <c r="AH8" s="861"/>
      <c r="AT8" s="353"/>
      <c r="AU8" s="353"/>
    </row>
    <row r="9" spans="1:51" x14ac:dyDescent="0.2">
      <c r="A9" s="857" t="str">
        <f>IF(ISBLANK('Grain &amp; Sugar Calcs'!B7),"",'Grain &amp; Sugar Calcs'!B7)</f>
        <v>Vienna Malt: Vienna Malt (Avangard Malz Premium)</v>
      </c>
      <c r="B9" s="857"/>
      <c r="C9" s="857"/>
      <c r="D9" s="857"/>
      <c r="E9" s="691">
        <f>IF(ISBLANK('Grain &amp; Sugar Calcs'!C7),"",'Grain &amp; Sugar Calcs'!C7)</f>
        <v>9</v>
      </c>
      <c r="F9" s="690">
        <f>IF('Grain &amp; Sugar Calcs'!D7=0,"",'Grain &amp; Sugar Calcs'!D7)</f>
        <v>0.375</v>
      </c>
      <c r="G9" s="342"/>
      <c r="H9" s="880" t="s">
        <v>1666</v>
      </c>
      <c r="I9" s="881"/>
      <c r="J9" s="697">
        <f>ROUND(IF(NOT(ISNUMBER(J12)),"",1+('Grain &amp; Sugar Calcs'!L17*(1-J12)/1000)),3)</f>
        <v>1.0149999999999999</v>
      </c>
      <c r="K9" s="697" t="str">
        <f>IF(AC43="",AC44,AC43)</f>
        <v/>
      </c>
      <c r="L9" s="698">
        <f>VLOOKUP('Recipe Sheet'!$B$1,'BJCP Guidelines'!$A$2:$K$126,4,FALSE)</f>
        <v>1.01</v>
      </c>
      <c r="M9" s="698">
        <f>VLOOKUP('Recipe Sheet'!$B$1,'BJCP Guidelines'!$A$2:$K$126,5,FALSE)</f>
        <v>1.012</v>
      </c>
      <c r="N9" s="470"/>
      <c r="O9" s="905" t="s">
        <v>1676</v>
      </c>
      <c r="P9" s="907"/>
      <c r="Q9" s="586">
        <v>12</v>
      </c>
      <c r="R9" s="707">
        <f>IFERROR(IF('Brewhouse Setup &amp; Calcs'!$C$2="US Customary",'Water-English'!E52,'Water-Metric'!E53),"")</f>
        <v>12</v>
      </c>
      <c r="S9" s="342"/>
      <c r="T9" s="943"/>
      <c r="U9" s="712" t="str">
        <f>'Brewhouse Setup &amp; Calcs'!$C$4</f>
        <v>°F</v>
      </c>
      <c r="V9" s="508" t="s">
        <v>1110</v>
      </c>
      <c r="W9" s="712" t="str">
        <f>'Brewhouse Setup &amp; Calcs'!$C$5</f>
        <v>qt</v>
      </c>
      <c r="X9" s="712" t="str">
        <f>'Brewhouse Setup &amp; Calcs'!$C$4</f>
        <v>°F</v>
      </c>
      <c r="Y9" s="712" t="str">
        <f>'Brewhouse Setup &amp; Calcs'!$C$5</f>
        <v>qt</v>
      </c>
      <c r="Z9" s="712" t="str">
        <f>'Brewhouse Setup &amp; Calcs'!$C$4</f>
        <v>°F</v>
      </c>
      <c r="AA9" s="718" t="str">
        <f>'Brewhouse Setup &amp; Calcs'!$C$4</f>
        <v>°F</v>
      </c>
      <c r="AB9" s="508" t="s">
        <v>1661</v>
      </c>
      <c r="AC9" s="508" t="s">
        <v>119</v>
      </c>
      <c r="AE9" s="712" t="str">
        <f>'Brewhouse Setup &amp; Calcs'!$C$5</f>
        <v>qt</v>
      </c>
      <c r="AF9" s="712" t="str">
        <f>'Brewhouse Setup &amp; Calcs'!$C$4</f>
        <v>°F</v>
      </c>
      <c r="AG9" s="712" t="str">
        <f>'Brewhouse Setup &amp; Calcs'!$C$5</f>
        <v>qt</v>
      </c>
      <c r="AH9" s="712" t="str">
        <f>'Brewhouse Setup &amp; Calcs'!$C$4</f>
        <v>°F</v>
      </c>
      <c r="AS9" s="70"/>
    </row>
    <row r="10" spans="1:51" s="22" customFormat="1" ht="12.75" customHeight="1" x14ac:dyDescent="0.2">
      <c r="A10" s="857" t="str">
        <f>IF(ISBLANK('Grain &amp; Sugar Calcs'!B8),"",'Grain &amp; Sugar Calcs'!B8)</f>
        <v/>
      </c>
      <c r="B10" s="857"/>
      <c r="C10" s="857"/>
      <c r="D10" s="857"/>
      <c r="E10" s="691" t="str">
        <f>IF(ISBLANK('Grain &amp; Sugar Calcs'!C8),"",'Grain &amp; Sugar Calcs'!C8)</f>
        <v/>
      </c>
      <c r="F10" s="690" t="str">
        <f>IF('Grain &amp; Sugar Calcs'!D8=0,"",'Grain &amp; Sugar Calcs'!D8)</f>
        <v/>
      </c>
      <c r="G10" s="342"/>
      <c r="H10" s="880" t="s">
        <v>1668</v>
      </c>
      <c r="I10" s="881"/>
      <c r="J10" s="699">
        <f>J11+'Brewhouse Setup &amp; Calcs'!C55</f>
        <v>43</v>
      </c>
      <c r="K10" s="699" t="str">
        <f>IF(ISBLANK(Z41),"",Z41)</f>
        <v/>
      </c>
      <c r="L10" s="1000"/>
      <c r="M10" s="1001"/>
      <c r="N10" s="470"/>
      <c r="O10" s="905" t="s">
        <v>1677</v>
      </c>
      <c r="P10" s="907"/>
      <c r="Q10" s="586">
        <v>9</v>
      </c>
      <c r="R10" s="707">
        <f>IFERROR(IF('Brewhouse Setup &amp; Calcs'!$C$2="US Customary",'Water-English'!F52,'Water-Metric'!F53),"")</f>
        <v>9</v>
      </c>
      <c r="S10" s="56"/>
      <c r="T10" s="572">
        <v>1</v>
      </c>
      <c r="U10" s="713">
        <f>'Brewhouse Setup &amp; Calcs'!$I26</f>
        <v>122</v>
      </c>
      <c r="V10" s="715">
        <f>'Brewhouse Setup &amp; Calcs'!$J26</f>
        <v>20</v>
      </c>
      <c r="W10" s="716">
        <f>'Brewhouse Setup &amp; Calcs'!$L26</f>
        <v>35.594100945000001</v>
      </c>
      <c r="X10" s="713">
        <f>'Brewhouse Setup &amp; Calcs'!$K26</f>
        <v>128.9</v>
      </c>
      <c r="Y10" s="585">
        <v>35.6</v>
      </c>
      <c r="Z10" s="585">
        <v>122</v>
      </c>
      <c r="AA10" s="585">
        <v>122</v>
      </c>
      <c r="AB10" s="694">
        <f>IFERROR(IF('Brewhouse Setup &amp; Calcs'!$C$2="Metric",'Water-Metric'!$F$33,'Water-English'!$F$32),"")</f>
        <v>5.5447418810924365</v>
      </c>
      <c r="AC10" s="589"/>
      <c r="AE10" s="716">
        <f>IF(ISBLANK(Y10),,Y10+Y10*(U10-Z10)*('Brewhouse Setup &amp; Calcs'!$C$59*AVERAGE(U10,Z10)+'Brewhouse Setup &amp; Calcs'!$E$59))</f>
        <v>35.6</v>
      </c>
      <c r="AF10" s="713">
        <f>IF(ISBLANK(Z10),,U10)</f>
        <v>122</v>
      </c>
      <c r="AG10" s="716">
        <f>IF(AF10=0,"",AE10+AE10*(AH10-AF10)*('Brewhouse Setup &amp; Calcs'!$C$59*AVERAGE(AH10,AF10)+'Brewhouse Setup &amp; Calcs'!$E$59))</f>
        <v>36.060640503999998</v>
      </c>
      <c r="AH10" s="713">
        <f>$Y$18</f>
        <v>168</v>
      </c>
      <c r="AS10" s="70"/>
    </row>
    <row r="11" spans="1:51" x14ac:dyDescent="0.2">
      <c r="A11" s="857" t="str">
        <f>IF(ISBLANK('Grain &amp; Sugar Calcs'!B9),"",'Grain &amp; Sugar Calcs'!B9)</f>
        <v/>
      </c>
      <c r="B11" s="857"/>
      <c r="C11" s="857"/>
      <c r="D11" s="857"/>
      <c r="E11" s="691" t="str">
        <f>IF(ISBLANK('Grain &amp; Sugar Calcs'!C9),"",'Grain &amp; Sugar Calcs'!C9)</f>
        <v/>
      </c>
      <c r="F11" s="690" t="str">
        <f>IF('Grain &amp; Sugar Calcs'!D9=0,"",'Grain &amp; Sugar Calcs'!D9)</f>
        <v/>
      </c>
      <c r="G11" s="342"/>
      <c r="H11" s="882" t="s">
        <v>1667</v>
      </c>
      <c r="I11" s="882"/>
      <c r="J11" s="699">
        <f>'Brewhouse Setup &amp; Calcs'!$C$18</f>
        <v>40</v>
      </c>
      <c r="K11" s="699" t="str">
        <f>IF(ISBLANK(Z45),"",Z45)</f>
        <v/>
      </c>
      <c r="L11" s="1002"/>
      <c r="M11" s="1003"/>
      <c r="N11" s="470"/>
      <c r="O11" s="905" t="s">
        <v>1849</v>
      </c>
      <c r="P11" s="907"/>
      <c r="Q11" s="586">
        <v>16</v>
      </c>
      <c r="R11" s="707">
        <f>IFERROR(IF('Brewhouse Setup &amp; Calcs'!$C$2="US Customary",'Water-English'!G52,'Water-Metric'!G53),"")</f>
        <v>32.17665366007553</v>
      </c>
      <c r="S11" s="342"/>
      <c r="T11" s="572">
        <v>2</v>
      </c>
      <c r="U11" s="707">
        <f>IF(ISBLANK('Brewhouse Setup &amp; Calcs'!$I27),"",'Brewhouse Setup &amp; Calcs'!$I27)</f>
        <v>144</v>
      </c>
      <c r="V11" s="717">
        <f>IF(ISBLANK('Brewhouse Setup &amp; Calcs'!$J27),"",'Brewhouse Setup &amp; Calcs'!$J27)</f>
        <v>30</v>
      </c>
      <c r="W11" s="694" t="str">
        <f>IF('Brewhouse Setup &amp; Calcs'!$L27=0,"",'Brewhouse Setup &amp; Calcs'!$L27)</f>
        <v/>
      </c>
      <c r="X11" s="707" t="str">
        <f>IF(ISBLANK('Brewhouse Setup &amp; Calcs'!$K27),"",'Brewhouse Setup &amp; Calcs'!$K27)</f>
        <v/>
      </c>
      <c r="Y11" s="585"/>
      <c r="Z11" s="585"/>
      <c r="AA11" s="585">
        <v>144</v>
      </c>
      <c r="AB11" s="912"/>
      <c r="AC11" s="913"/>
      <c r="AE11" s="716">
        <f>IF(ISBLANK(Y11),,Y11+Y11*(U11-Z11)*('Brewhouse Setup &amp; Calcs'!$C$59*AVERAGE(U11,Z11)+'Brewhouse Setup &amp; Calcs'!$E$59))</f>
        <v>0</v>
      </c>
      <c r="AF11" s="713">
        <f>IF(ISBLANK(Z11),,U11)</f>
        <v>0</v>
      </c>
      <c r="AG11" s="716" t="str">
        <f>IF(AF11=0,"",AE11+AE11*(AH11-AF11)*('Brewhouse Setup &amp; Calcs'!$C$59*AVERAGE(AH11,AF11)+'Brewhouse Setup &amp; Calcs'!$E$59))</f>
        <v/>
      </c>
      <c r="AH11" s="713">
        <f t="shared" ref="AH11:AH14" si="0">$Y$18</f>
        <v>168</v>
      </c>
      <c r="AY11" s="70"/>
    </row>
    <row r="12" spans="1:51" ht="12.75" customHeight="1" x14ac:dyDescent="0.2">
      <c r="A12" s="857" t="str">
        <f>IF(ISBLANK('Grain &amp; Sugar Calcs'!B10),"",'Grain &amp; Sugar Calcs'!B10)</f>
        <v/>
      </c>
      <c r="B12" s="857"/>
      <c r="C12" s="857"/>
      <c r="D12" s="857"/>
      <c r="E12" s="691" t="str">
        <f>IF(ISBLANK('Grain &amp; Sugar Calcs'!C10),"",'Grain &amp; Sugar Calcs'!C10)</f>
        <v/>
      </c>
      <c r="F12" s="690" t="str">
        <f>IF('Grain &amp; Sugar Calcs'!D10=0,"",'Grain &amp; Sugar Calcs'!D10)</f>
        <v/>
      </c>
      <c r="G12" s="342"/>
      <c r="H12" s="882" t="s">
        <v>1128</v>
      </c>
      <c r="I12" s="882"/>
      <c r="J12" s="696">
        <f>IF(ISBLANK(O28),"",VLOOKUP(O28,yeast_table[[Name &amp; Number]:[Temp. High F]],6,FALSE))</f>
        <v>0.73</v>
      </c>
      <c r="K12" s="696" t="str">
        <f>IF(NOT(ISNUMBER(K9)),"",(K8-K9)/(K8-1))</f>
        <v/>
      </c>
      <c r="L12" s="1004"/>
      <c r="M12" s="1005"/>
      <c r="N12" s="470"/>
      <c r="O12" s="905" t="s">
        <v>1679</v>
      </c>
      <c r="P12" s="907"/>
      <c r="Q12" s="586">
        <v>25</v>
      </c>
      <c r="R12" s="707">
        <f>IFERROR(IF('Brewhouse Setup &amp; Calcs'!$C$2="US Customary",'Water-English'!H52,'Water-Metric'!H53),"")</f>
        <v>25</v>
      </c>
      <c r="S12" s="342"/>
      <c r="T12" s="572">
        <v>3</v>
      </c>
      <c r="U12" s="707">
        <f>IF(ISBLANK('Brewhouse Setup &amp; Calcs'!$I28),"",'Brewhouse Setup &amp; Calcs'!$I28)</f>
        <v>158</v>
      </c>
      <c r="V12" s="717">
        <f>IF(ISBLANK('Brewhouse Setup &amp; Calcs'!$J28),"",'Brewhouse Setup &amp; Calcs'!$J28)</f>
        <v>15</v>
      </c>
      <c r="W12" s="694" t="str">
        <f>IF('Brewhouse Setup &amp; Calcs'!$L28=0,"",'Brewhouse Setup &amp; Calcs'!$L28)</f>
        <v/>
      </c>
      <c r="X12" s="707" t="str">
        <f>IF(ISBLANK('Brewhouse Setup &amp; Calcs'!$K28),"",'Brewhouse Setup &amp; Calcs'!$K28)</f>
        <v/>
      </c>
      <c r="Y12" s="585"/>
      <c r="Z12" s="585"/>
      <c r="AA12" s="585">
        <v>158</v>
      </c>
      <c r="AB12" s="914"/>
      <c r="AC12" s="915"/>
      <c r="AE12" s="716">
        <f>IF(ISBLANK(Y12),,Y12+Y12*(U12-Z12)*('Brewhouse Setup &amp; Calcs'!$C$59*AVERAGE(U12,Z12)+'Brewhouse Setup &amp; Calcs'!$E$59))</f>
        <v>0</v>
      </c>
      <c r="AF12" s="713">
        <f t="shared" ref="AF12:AF14" si="1">IF(ISBLANK(Z12),,U12)</f>
        <v>0</v>
      </c>
      <c r="AG12" s="716" t="str">
        <f>IF(AF12=0,"",AE12+AE12*(AH12-AF12)*('Brewhouse Setup &amp; Calcs'!$C$59*AVERAGE(AH12,AF12)+'Brewhouse Setup &amp; Calcs'!$E$59))</f>
        <v/>
      </c>
      <c r="AH12" s="713">
        <f t="shared" si="0"/>
        <v>168</v>
      </c>
      <c r="AY12" s="70"/>
    </row>
    <row r="13" spans="1:51" ht="13.15" customHeight="1" x14ac:dyDescent="0.2">
      <c r="A13" s="857" t="str">
        <f>IF(ISBLANK('Grain &amp; Sugar Calcs'!B11),"",'Grain &amp; Sugar Calcs'!B11)</f>
        <v/>
      </c>
      <c r="B13" s="857"/>
      <c r="C13" s="857"/>
      <c r="D13" s="857"/>
      <c r="E13" s="691" t="str">
        <f>IF(ISBLANK('Grain &amp; Sugar Calcs'!C11),"",'Grain &amp; Sugar Calcs'!C11)</f>
        <v/>
      </c>
      <c r="F13" s="690" t="str">
        <f>IF('Grain &amp; Sugar Calcs'!D11=0,"",'Grain &amp; Sugar Calcs'!D11)</f>
        <v/>
      </c>
      <c r="G13" s="342"/>
      <c r="H13" s="882" t="s">
        <v>1103</v>
      </c>
      <c r="I13" s="882"/>
      <c r="J13" s="700">
        <f>ROUND('Hop Calcs'!K19,0)</f>
        <v>22</v>
      </c>
      <c r="K13" s="700" t="e">
        <f>ROUND(IF(ISBLANK(Z32),"",'Hop Calcs'!K19*(X32-'Brewhouse Setup &amp; Calcs'!C52)/(Z32-'Brewhouse Setup &amp; Calcs'!C52)),0)</f>
        <v>#VALUE!</v>
      </c>
      <c r="L13" s="700">
        <f>VLOOKUP('Recipe Sheet'!$B$1,'BJCP Guidelines'!$A$2:$K$126,6,FALSE)</f>
        <v>18</v>
      </c>
      <c r="M13" s="700">
        <f>VLOOKUP('Recipe Sheet'!$B$1,'BJCP Guidelines'!$A$2:$K$126,7,FALSE)</f>
        <v>25</v>
      </c>
      <c r="N13" s="470"/>
      <c r="O13" s="905" t="s">
        <v>1854</v>
      </c>
      <c r="P13" s="907"/>
      <c r="Q13" s="586">
        <v>102</v>
      </c>
      <c r="R13" s="355"/>
      <c r="S13" s="342"/>
      <c r="T13" s="572">
        <v>4</v>
      </c>
      <c r="U13" s="707">
        <f>IF(ISBLANK('Brewhouse Setup &amp; Calcs'!$I29),"",'Brewhouse Setup &amp; Calcs'!$I29)</f>
        <v>168</v>
      </c>
      <c r="V13" s="717">
        <f>IF(ISBLANK('Brewhouse Setup &amp; Calcs'!$J29),"",'Brewhouse Setup &amp; Calcs'!$J29)</f>
        <v>10</v>
      </c>
      <c r="W13" s="694" t="str">
        <f>IF('Brewhouse Setup &amp; Calcs'!$L29=0,"",'Brewhouse Setup &amp; Calcs'!$L29)</f>
        <v/>
      </c>
      <c r="X13" s="707" t="str">
        <f>IF(ISBLANK('Brewhouse Setup &amp; Calcs'!$K29),"",'Brewhouse Setup &amp; Calcs'!$K29)</f>
        <v/>
      </c>
      <c r="Y13" s="585"/>
      <c r="Z13" s="585"/>
      <c r="AA13" s="585">
        <v>168</v>
      </c>
      <c r="AB13" s="914"/>
      <c r="AC13" s="915"/>
      <c r="AE13" s="716">
        <f>IF(ISBLANK(Y13),,Y13+Y13*(U13-Z13)*('Brewhouse Setup &amp; Calcs'!$C$59*AVERAGE(U13,Z13)+'Brewhouse Setup &amp; Calcs'!$E$59))</f>
        <v>0</v>
      </c>
      <c r="AF13" s="713">
        <f t="shared" si="1"/>
        <v>0</v>
      </c>
      <c r="AG13" s="716" t="str">
        <f>IF(AF13=0,"",AE13+AE13*(AH13-AF13)*('Brewhouse Setup &amp; Calcs'!$C$59*AVERAGE(AH13,AF13)+'Brewhouse Setup &amp; Calcs'!$E$59))</f>
        <v/>
      </c>
      <c r="AH13" s="713">
        <f t="shared" si="0"/>
        <v>168</v>
      </c>
      <c r="AY13" s="70"/>
    </row>
    <row r="14" spans="1:51" ht="12.75" customHeight="1" x14ac:dyDescent="0.2">
      <c r="A14" s="857" t="str">
        <f>IF(ISBLANK('Grain &amp; Sugar Calcs'!B12),"",'Grain &amp; Sugar Calcs'!B12)</f>
        <v/>
      </c>
      <c r="B14" s="857"/>
      <c r="C14" s="857"/>
      <c r="D14" s="857"/>
      <c r="E14" s="691" t="str">
        <f>IF(ISBLANK('Grain &amp; Sugar Calcs'!C12),"",'Grain &amp; Sugar Calcs'!C12)</f>
        <v/>
      </c>
      <c r="F14" s="690" t="str">
        <f>IF('Grain &amp; Sugar Calcs'!D12=0,"",'Grain &amp; Sugar Calcs'!D12)</f>
        <v/>
      </c>
      <c r="G14" s="342"/>
      <c r="H14" s="882" t="s">
        <v>115</v>
      </c>
      <c r="I14" s="882"/>
      <c r="J14" s="695">
        <f>ROUND(IF(NOT(ISNUMBER(J9)),"",(J8-J9)*(46.0688/44.0098)/J9/0.794),3)</f>
        <v>5.0999999999999997E-2</v>
      </c>
      <c r="K14" s="695" t="str">
        <f>IF(NOT(ISNUMBER(K9)),"",(K8-K9)*(46.0688/44.0098)/K9/0.794)</f>
        <v/>
      </c>
      <c r="L14" s="701">
        <f>IFERROR(VLOOKUP('Recipe Sheet'!$B$1,'BJCP Guidelines'!$A$2:$K$126,8,FALSE)/100,"NA")</f>
        <v>5.7999999999999996E-2</v>
      </c>
      <c r="M14" s="701">
        <f>IFERROR(VLOOKUP('Recipe Sheet'!$B$1,'BJCP Guidelines'!$A$2:$K$126,9,FALSE)/100,"NA")</f>
        <v>6.3E-2</v>
      </c>
      <c r="N14" s="470"/>
      <c r="O14" s="905" t="s">
        <v>1858</v>
      </c>
      <c r="P14" s="907"/>
      <c r="Q14" s="691">
        <f>IFERROR(Q11/Q12,"")</f>
        <v>0.64</v>
      </c>
      <c r="R14" s="691">
        <f>IFERROR(IF('Brewhouse Setup &amp; Calcs'!$C$2="US Customary",'Water-English'!I52,'Water-Metric'!I53),"")</f>
        <v>1.2870661464030213</v>
      </c>
      <c r="S14" s="342"/>
      <c r="T14" s="575">
        <v>5</v>
      </c>
      <c r="U14" s="714" t="str">
        <f>IF(ISBLANK('Brewhouse Setup &amp; Calcs'!$I30),"",'Brewhouse Setup &amp; Calcs'!$I30)</f>
        <v/>
      </c>
      <c r="V14" s="714" t="str">
        <f>IF(ISBLANK('Brewhouse Setup &amp; Calcs'!$J30),"",'Brewhouse Setup &amp; Calcs'!$J30)</f>
        <v/>
      </c>
      <c r="W14" s="708" t="str">
        <f>IF('Brewhouse Setup &amp; Calcs'!$L30=0,"",'Brewhouse Setup &amp; Calcs'!$L30)</f>
        <v/>
      </c>
      <c r="X14" s="714" t="str">
        <f>IF(ISBLANK('Brewhouse Setup &amp; Calcs'!$K30),"",'Brewhouse Setup &amp; Calcs'!$K30)</f>
        <v/>
      </c>
      <c r="Y14" s="588"/>
      <c r="Z14" s="588"/>
      <c r="AA14" s="588"/>
      <c r="AB14" s="916"/>
      <c r="AC14" s="917"/>
      <c r="AE14" s="716">
        <f>IF(ISBLANK(Y14),,Y14+Y14*(U14-Z14)*('Brewhouse Setup &amp; Calcs'!$C$59*AVERAGE(U14,Z14)+'Brewhouse Setup &amp; Calcs'!$E$59))</f>
        <v>0</v>
      </c>
      <c r="AF14" s="713">
        <f t="shared" si="1"/>
        <v>0</v>
      </c>
      <c r="AG14" s="716" t="str">
        <f>IF(AF14=0,"",AE14+AE14*(AH14-AF14)*('Brewhouse Setup &amp; Calcs'!$C$59*AVERAGE(AH14,AF14)+'Brewhouse Setup &amp; Calcs'!$E$59))</f>
        <v/>
      </c>
      <c r="AH14" s="713">
        <f t="shared" si="0"/>
        <v>168</v>
      </c>
    </row>
    <row r="15" spans="1:51" ht="12.75" customHeight="1" x14ac:dyDescent="0.2">
      <c r="A15" s="857" t="str">
        <f>IF(ISBLANK('Grain &amp; Sugar Calcs'!B13),"",'Grain &amp; Sugar Calcs'!B13)</f>
        <v/>
      </c>
      <c r="B15" s="857"/>
      <c r="C15" s="857"/>
      <c r="D15" s="857"/>
      <c r="E15" s="691" t="str">
        <f>IF(ISBLANK('Grain &amp; Sugar Calcs'!C13),"",'Grain &amp; Sugar Calcs'!C13)</f>
        <v/>
      </c>
      <c r="F15" s="690" t="str">
        <f>IF('Grain &amp; Sugar Calcs'!D13=0,"",'Grain &amp; Sugar Calcs'!D13)</f>
        <v/>
      </c>
      <c r="G15" s="342"/>
      <c r="H15" s="882" t="s">
        <v>1236</v>
      </c>
      <c r="I15" s="882"/>
      <c r="J15" s="702">
        <f>ROUND('Grain &amp; Sugar Calcs'!M19,0)</f>
        <v>5</v>
      </c>
      <c r="K15" s="700" t="e">
        <f>ROUND(IF(ISBLANK(Z32),"",'Grain &amp; Sugar Calcs'!M19*(X32-'Brewhouse Setup &amp; Calcs'!C52)/(Z32-'Brewhouse Setup &amp; Calcs'!C52)),0)</f>
        <v>#VALUE!</v>
      </c>
      <c r="L15" s="703">
        <f>VLOOKUP('Recipe Sheet'!$B$1,'BJCP Guidelines'!$A$2:$K$126,10,FALSE)</f>
        <v>4</v>
      </c>
      <c r="M15" s="703">
        <f>VLOOKUP('Recipe Sheet'!$B$1,'BJCP Guidelines'!$A$2:$K$126,11,FALSE)</f>
        <v>7</v>
      </c>
      <c r="N15" s="555"/>
      <c r="O15" s="342"/>
      <c r="P15" s="342"/>
      <c r="Q15" s="354"/>
      <c r="R15" s="354"/>
      <c r="S15" s="342"/>
      <c r="T15" s="937" t="s">
        <v>2346</v>
      </c>
      <c r="U15" s="938"/>
      <c r="V15" s="938"/>
      <c r="W15" s="938"/>
      <c r="X15" s="938"/>
      <c r="Y15" s="938"/>
      <c r="Z15" s="938"/>
      <c r="AA15" s="938"/>
      <c r="AB15" s="938"/>
      <c r="AC15" s="939"/>
      <c r="AD15" s="29"/>
      <c r="AE15" s="1016" t="s">
        <v>2380</v>
      </c>
      <c r="AF15" s="1017"/>
      <c r="AG15" s="716">
        <f>ROUND(SUM(AG10:AG14),1)</f>
        <v>36.1</v>
      </c>
    </row>
    <row r="16" spans="1:51" ht="12.75" customHeight="1" x14ac:dyDescent="0.2">
      <c r="A16" s="857" t="str">
        <f>IF(ISBLANK('Grain &amp; Sugar Calcs'!B14),"",'Grain &amp; Sugar Calcs'!B14)</f>
        <v/>
      </c>
      <c r="B16" s="857"/>
      <c r="C16" s="857"/>
      <c r="D16" s="857"/>
      <c r="E16" s="691" t="str">
        <f>IF(ISBLANK('Grain &amp; Sugar Calcs'!C14),"",'Grain &amp; Sugar Calcs'!C14)</f>
        <v/>
      </c>
      <c r="F16" s="690" t="str">
        <f>IF('Grain &amp; Sugar Calcs'!D14=0,"",'Grain &amp; Sugar Calcs'!D14)</f>
        <v/>
      </c>
      <c r="G16" s="342"/>
      <c r="H16" s="962" t="s">
        <v>2285</v>
      </c>
      <c r="I16" s="963"/>
      <c r="J16" s="964"/>
      <c r="K16" s="704">
        <f>4828*J9*(((0.8114*J9)+(0.1886*J8)-1)+(0.53*((J8-J9)/(1.775-J8))))</f>
        <v>250.03861820003891</v>
      </c>
      <c r="L16" s="553"/>
      <c r="M16" s="554"/>
      <c r="N16" s="556"/>
      <c r="O16" s="979" t="s">
        <v>1848</v>
      </c>
      <c r="P16" s="879"/>
      <c r="Q16" s="879"/>
      <c r="R16" s="879"/>
      <c r="S16" s="342"/>
      <c r="T16" s="940"/>
      <c r="U16" s="941"/>
      <c r="V16" s="941"/>
      <c r="W16" s="941"/>
      <c r="X16" s="929" t="s">
        <v>1661</v>
      </c>
      <c r="Y16" s="930"/>
      <c r="Z16" s="929" t="s">
        <v>119</v>
      </c>
      <c r="AA16" s="930"/>
      <c r="AB16" s="929" t="s">
        <v>2330</v>
      </c>
      <c r="AC16" s="930"/>
    </row>
    <row r="17" spans="1:47" x14ac:dyDescent="0.2">
      <c r="A17" s="470"/>
      <c r="B17" s="470"/>
      <c r="C17" s="470"/>
      <c r="D17" s="470"/>
      <c r="E17" s="470"/>
      <c r="F17" s="470"/>
      <c r="G17" s="470"/>
      <c r="K17" s="383"/>
      <c r="L17" s="470"/>
      <c r="M17" s="470"/>
      <c r="N17" s="556"/>
      <c r="O17" s="994"/>
      <c r="P17" s="995"/>
      <c r="Q17" s="508" t="s">
        <v>1792</v>
      </c>
      <c r="R17" s="508" t="s">
        <v>1793</v>
      </c>
      <c r="S17" s="342"/>
      <c r="T17" s="865"/>
      <c r="U17" s="866"/>
      <c r="V17" s="866"/>
      <c r="W17" s="866"/>
      <c r="X17" s="694" t="str">
        <f>'Brewhouse Setup &amp; Calcs'!$C$5</f>
        <v>qt</v>
      </c>
      <c r="Y17" s="694" t="str">
        <f>'Brewhouse Setup &amp; Calcs'!$C$4</f>
        <v>°F</v>
      </c>
      <c r="Z17" s="694" t="str">
        <f>'Brewhouse Setup &amp; Calcs'!$C$5</f>
        <v>qt</v>
      </c>
      <c r="AA17" s="721" t="str">
        <f>'Brewhouse Setup &amp; Calcs'!$C$4</f>
        <v>°F</v>
      </c>
      <c r="AB17" s="694" t="str">
        <f>'Brewhouse Setup &amp; Calcs'!$C$5</f>
        <v>qt</v>
      </c>
      <c r="AC17" s="694" t="str">
        <f>'Brewhouse Setup &amp; Calcs'!$C$4</f>
        <v>°F</v>
      </c>
    </row>
    <row r="18" spans="1:47" ht="13.15" customHeight="1" x14ac:dyDescent="0.2">
      <c r="A18" s="978" t="s">
        <v>111</v>
      </c>
      <c r="B18" s="983"/>
      <c r="C18" s="983"/>
      <c r="D18" s="983"/>
      <c r="E18" s="983"/>
      <c r="F18" s="983"/>
      <c r="G18" s="983"/>
      <c r="H18" s="983"/>
      <c r="I18" s="983"/>
      <c r="J18" s="983"/>
      <c r="K18" s="983"/>
      <c r="L18" s="546"/>
      <c r="M18" s="547"/>
      <c r="N18" s="556"/>
      <c r="O18" s="906" t="s">
        <v>1731</v>
      </c>
      <c r="P18" s="907"/>
      <c r="Q18" s="694">
        <f>IF('Brewhouse Setup &amp; Calcs'!$C$2="US Customary",'Water-English'!$D$37,'Water-Metric'!$D$38)</f>
        <v>0</v>
      </c>
      <c r="R18" s="694">
        <f>IFERROR(IF('Brewhouse Setup &amp; Calcs'!$C$2="US Customary",'Water-English'!$D$39,'Water-Metric'!$D$40),"")</f>
        <v>0</v>
      </c>
      <c r="S18" s="342"/>
      <c r="T18" s="947" t="str">
        <f>'Brewhouse Setup &amp; Calcs'!$C$44</f>
        <v>No Sparge</v>
      </c>
      <c r="U18" s="944" t="s">
        <v>2334</v>
      </c>
      <c r="V18" s="944"/>
      <c r="W18" s="944"/>
      <c r="X18" s="694">
        <f>'Brewhouse Setup &amp; Calcs'!$N$34</f>
        <v>27.038995667985311</v>
      </c>
      <c r="Y18" s="694">
        <f>IF(AND($T$18="No Sparge",'Brewhouse Setup &amp; Calcs'!$N$38="1 Vessel"),"NA",'Brewhouse Setup &amp; Calcs'!$C$24)</f>
        <v>168</v>
      </c>
      <c r="Z18" s="585"/>
      <c r="AA18" s="590"/>
      <c r="AB18" s="694" t="str">
        <f>IF(OR(ISBLANK(Z18),ISBLANK(AA18)),"",Z18+Z18*(Y18-AA18)*('Brewhouse Setup &amp; Calcs'!$C$59*AVERAGE(Y18,AA18)+'Brewhouse Setup &amp; Calcs'!$E$59))</f>
        <v/>
      </c>
      <c r="AC18" s="694">
        <f>Y18</f>
        <v>168</v>
      </c>
    </row>
    <row r="19" spans="1:47" ht="13.15" customHeight="1" x14ac:dyDescent="0.2">
      <c r="A19" s="956" t="str">
        <f>'Hop Calcs'!E5</f>
        <v>Species</v>
      </c>
      <c r="B19" s="957"/>
      <c r="C19" s="957"/>
      <c r="D19" s="990"/>
      <c r="E19" s="878" t="str">
        <f>'Hop Calcs'!D5</f>
        <v>Type</v>
      </c>
      <c r="F19" s="878" t="str">
        <f>'Hop Calcs'!F5</f>
        <v>Alpha (%)</v>
      </c>
      <c r="G19" s="956" t="str">
        <f>'Hop Calcs'!G5</f>
        <v>Qty</v>
      </c>
      <c r="H19" s="990"/>
      <c r="I19" s="965" t="s">
        <v>1107</v>
      </c>
      <c r="J19" s="957" t="str">
        <f>'Hop Calcs'!C5</f>
        <v>Time (min)</v>
      </c>
      <c r="K19" s="957"/>
      <c r="L19" s="557"/>
      <c r="M19" s="561"/>
      <c r="N19" s="556"/>
      <c r="O19" s="906" t="s">
        <v>1794</v>
      </c>
      <c r="P19" s="907"/>
      <c r="Q19" s="694">
        <f>IF('Brewhouse Setup &amp; Calcs'!$C$2="US Customary",'Water-English'!$E$37,'Water-Metric'!$E$38)</f>
        <v>2</v>
      </c>
      <c r="R19" s="694">
        <f>IFERROR(IF('Brewhouse Setup &amp; Calcs'!$C$2="US Customary",'Water-English'!$E$39,'Water-Metric'!$E$40),"")</f>
        <v>0</v>
      </c>
      <c r="S19" s="342"/>
      <c r="T19" s="948"/>
      <c r="U19" s="1034" t="str">
        <f>IF('Brewhouse Setup &amp; Calcs'!$C$44="Batch Sparge","Add (1st Step)","-")</f>
        <v>-</v>
      </c>
      <c r="V19" s="1034"/>
      <c r="W19" s="103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59"/>
      <c r="B20" s="960"/>
      <c r="C20" s="960"/>
      <c r="D20" s="961"/>
      <c r="E20" s="993"/>
      <c r="F20" s="993"/>
      <c r="G20" s="991" t="str">
        <f>'Brewhouse Setup &amp; Calcs'!C7</f>
        <v>oz</v>
      </c>
      <c r="H20" s="992"/>
      <c r="I20" s="966"/>
      <c r="J20" s="960"/>
      <c r="K20" s="960"/>
      <c r="L20" s="557"/>
      <c r="M20" s="561"/>
      <c r="N20" s="556"/>
      <c r="O20" s="906" t="s">
        <v>1795</v>
      </c>
      <c r="P20" s="907"/>
      <c r="Q20" s="694">
        <f>IF('Brewhouse Setup &amp; Calcs'!$C$2="US Customary",'Water-English'!$F$37,'Water-Metric'!$F$38)</f>
        <v>0</v>
      </c>
      <c r="R20" s="694">
        <f>IFERROR(IF('Brewhouse Setup &amp; Calcs'!$C$2="US Customary",'Water-English'!$F$39,'Water-Metric'!$F$40),"")</f>
        <v>0</v>
      </c>
      <c r="S20" s="342"/>
      <c r="T20" s="948"/>
      <c r="U20" s="1034" t="str">
        <f>IF('Brewhouse Setup &amp; Calcs'!$C$44="Batch Sparge","Drain (1st Step)","-")</f>
        <v>-</v>
      </c>
      <c r="V20" s="1034"/>
      <c r="W20" s="103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857" t="str">
        <f>IF('Hop Calcs'!E7=0,"",'Hop Calcs'!E7)</f>
        <v>Magnum (German)</v>
      </c>
      <c r="B21" s="857"/>
      <c r="C21" s="857"/>
      <c r="D21" s="857"/>
      <c r="E21" s="693" t="str">
        <f>IF('Hop Calcs'!D7=0,"",'Hop Calcs'!D7)</f>
        <v>Pellet</v>
      </c>
      <c r="F21" s="694">
        <f>IF('Hop Calcs'!F7=0,"",'Hop Calcs'!F7)</f>
        <v>12</v>
      </c>
      <c r="G21" s="858">
        <f>IF('Hop Calcs'!G7=0,"",'Hop Calcs'!G7)</f>
        <v>1</v>
      </c>
      <c r="H21" s="859"/>
      <c r="I21" s="694">
        <f>'Hop Calcs'!H7</f>
        <v>12</v>
      </c>
      <c r="J21" s="868">
        <f>IF(ISBLANK('Hop Calcs'!C7),"",IF('Hop Calcs'!C7="Hop Stand",CONCATENATE('Hop Calcs'!C7," (",'Hop Calcs'!B7,")"),'Hop Calcs'!C7))</f>
        <v>60</v>
      </c>
      <c r="K21" s="883"/>
      <c r="L21" s="557"/>
      <c r="M21" s="561"/>
      <c r="N21" s="556"/>
      <c r="O21" s="906" t="s">
        <v>1751</v>
      </c>
      <c r="P21" s="907"/>
      <c r="Q21" s="694">
        <f>IF('Brewhouse Setup &amp; Calcs'!$C$2="US Customary",'Water-English'!$D$44,'Water-Metric'!$D$45)</f>
        <v>0</v>
      </c>
      <c r="R21" s="694">
        <f>IFERROR(IF('Brewhouse Setup &amp; Calcs'!$C$2="US Customary",'Water-English'!$D$46,'Water-Metric'!$D$47),"")</f>
        <v>0</v>
      </c>
      <c r="S21" s="342"/>
      <c r="T21" s="948"/>
      <c r="U21" s="922" t="str">
        <f>IF('Brewhouse Setup &amp; Calcs'!$C$44="Batch Sparge","Add &amp; Drain (2nd Step)",IF('Brewhouse Setup &amp; Calcs'!$C$44="Fly Sparge",CONCATENATE("Time Req (min) @ ",'Brewhouse Setup &amp; Calcs'!C45,'Brewhouse Setup &amp; Calcs'!D45),"-"))</f>
        <v>-</v>
      </c>
      <c r="V21" s="922"/>
      <c r="W21" s="922"/>
      <c r="X21" s="694" t="str">
        <f>IF('Brewhouse Setup &amp; Calcs'!$C$44="Batch Sparge",'Brewhouse Setup &amp; Calcs'!$C$102,IF('Brewhouse Setup &amp; Calcs'!$C$44="Fly Sparge",('Brewhouse Setup &amp; Calcs'!N31+'Brewhouse Setup &amp; Calcs'!N34)/'Brewhouse Setup &amp; Calcs'!$C$45,"-"))</f>
        <v>-</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857" t="str">
        <f>IF('Hop Calcs'!E8=0,"",'Hop Calcs'!E8)</f>
        <v>Hallertauer Mittelfrüh (German)</v>
      </c>
      <c r="B22" s="857"/>
      <c r="C22" s="857"/>
      <c r="D22" s="857"/>
      <c r="E22" s="693" t="str">
        <f>IF('Hop Calcs'!D8=0,"",'Hop Calcs'!D8)</f>
        <v>Pellet</v>
      </c>
      <c r="F22" s="694">
        <f>IF('Hop Calcs'!F8=0,"",'Hop Calcs'!F8)</f>
        <v>4.0999999999999996</v>
      </c>
      <c r="G22" s="858">
        <f>IF('Hop Calcs'!G8=0,"",'Hop Calcs'!G8)</f>
        <v>1</v>
      </c>
      <c r="H22" s="859"/>
      <c r="I22" s="694">
        <f>'Hop Calcs'!H8</f>
        <v>4.0999999999999996</v>
      </c>
      <c r="J22" s="868">
        <f>IF(ISBLANK('Hop Calcs'!C8),"",IF('Hop Calcs'!C8="Hop Stand",CONCATENATE('Hop Calcs'!C8," (",'Hop Calcs'!B8,")"),'Hop Calcs'!C8))</f>
        <v>10</v>
      </c>
      <c r="K22" s="883"/>
      <c r="L22" s="557"/>
      <c r="M22" s="561"/>
      <c r="N22" s="556"/>
      <c r="O22" s="906" t="s">
        <v>1752</v>
      </c>
      <c r="P22" s="907"/>
      <c r="Q22" s="694">
        <f>IF('Brewhouse Setup &amp; Calcs'!$C$2="US Customary",'Water-English'!$E$44,'Water-Metric'!$E$45)</f>
        <v>0</v>
      </c>
      <c r="R22" s="694">
        <f>IFERROR(IF('Brewhouse Setup &amp; Calcs'!$C$2="US Customary",'Water-English'!$E$46,'Water-Metric'!$E$47),"")</f>
        <v>0</v>
      </c>
      <c r="S22" s="342"/>
      <c r="T22" s="948"/>
      <c r="U22" s="906" t="s">
        <v>2335</v>
      </c>
      <c r="V22" s="906"/>
      <c r="W22" s="906"/>
      <c r="X22" s="694">
        <f>'Brewhouse Setup &amp; Calcs'!$C$80</f>
        <v>52.11899566798531</v>
      </c>
      <c r="Y22" s="694">
        <f>'Brewhouse Setup &amp; Calcs'!$C$24</f>
        <v>168</v>
      </c>
      <c r="Z22" s="591">
        <v>50.4</v>
      </c>
      <c r="AA22" s="592">
        <v>191</v>
      </c>
      <c r="AB22" s="694">
        <f>IF(OR(ISBLANK(Z22),ISBLANK(AA22)),"",Z22+Z22*(Y22-AA22)*('Brewhouse Setup &amp; Calcs'!$C$59*AVERAGE(Y22,AA22)+'Brewhouse Setup &amp; Calcs'!$E$59))</f>
        <v>49.991944212</v>
      </c>
      <c r="AC22" s="694">
        <f>Y22</f>
        <v>168</v>
      </c>
      <c r="AE22" s="1015" t="s">
        <v>2377</v>
      </c>
      <c r="AF22" s="1015"/>
      <c r="AG22" s="1015"/>
    </row>
    <row r="23" spans="1:47" ht="13.15" customHeight="1" thickBot="1" x14ac:dyDescent="0.25">
      <c r="A23" s="857" t="str">
        <f>IF('Hop Calcs'!E9=0,"",'Hop Calcs'!E9)</f>
        <v>Hallertauer Mittelfrüh (German)</v>
      </c>
      <c r="B23" s="857"/>
      <c r="C23" s="857"/>
      <c r="D23" s="857"/>
      <c r="E23" s="693" t="str">
        <f>IF('Hop Calcs'!D9=0,"",'Hop Calcs'!D9)</f>
        <v>Pellet</v>
      </c>
      <c r="F23" s="694">
        <f>IF('Hop Calcs'!F9=0,"",'Hop Calcs'!F9)</f>
        <v>4.0999999999999996</v>
      </c>
      <c r="G23" s="858">
        <f>IF('Hop Calcs'!G9=0,"",'Hop Calcs'!G9)</f>
        <v>1</v>
      </c>
      <c r="H23" s="859"/>
      <c r="I23" s="694">
        <f>'Hop Calcs'!H9</f>
        <v>4.0999999999999996</v>
      </c>
      <c r="J23" s="868">
        <f>IF(ISBLANK('Hop Calcs'!C9),"",IF('Hop Calcs'!C9="Hop Stand",CONCATENATE('Hop Calcs'!C9," (",'Hop Calcs'!B9,")"),'Hop Calcs'!C9))</f>
        <v>1</v>
      </c>
      <c r="K23" s="883"/>
      <c r="L23" s="1010" t="s">
        <v>2287</v>
      </c>
      <c r="M23" s="1011"/>
      <c r="N23" s="560"/>
      <c r="O23" s="909" t="s">
        <v>1753</v>
      </c>
      <c r="P23" s="910"/>
      <c r="Q23" s="708">
        <f>IF('Brewhouse Setup &amp; Calcs'!$C$2="US Customary",'Water-English'!$F$44,'Water-Metric'!$F$45)</f>
        <v>0</v>
      </c>
      <c r="R23" s="708">
        <f>IFERROR(IF('Brewhouse Setup &amp; Calcs'!$C$2="US Customary",'Water-English'!$F$46,'Water-Metric'!$F$47),"")</f>
        <v>0</v>
      </c>
      <c r="S23" s="342"/>
      <c r="T23" s="949"/>
      <c r="U23" s="911" t="s">
        <v>2364</v>
      </c>
      <c r="V23" s="911"/>
      <c r="W23" s="861"/>
      <c r="X23" s="719">
        <f>'Brewhouse Setup &amp; Calcs'!C43</f>
        <v>0.38</v>
      </c>
      <c r="Y23" s="720" t="str">
        <f>IF('Brewhouse Setup &amp; Calcs'!$C$2="US Customary","qt/lb","L/kg")</f>
        <v>qt/lb</v>
      </c>
      <c r="Z23" s="719">
        <f>IF(OR(ISBLANK(Z22),ISBLANK(AA22),ISBLANK(Y10),ISBLANK(Z10)),"",(AG15+IF(NOT(ISBLANK(Z18)),AB18,IF(AB19="",0,AB19+AB21))-'Brewhouse Setup &amp; Calcs'!C42-'Brewhouse Setup &amp; Calcs'!C86-'Brewhouse Setup &amp; Calcs'!C87-AB22)/'Grain &amp; Sugar Calcs'!C15)</f>
        <v>-0.65383100883333312</v>
      </c>
      <c r="AA23" s="720" t="str">
        <f>IF('Brewhouse Setup &amp; Calcs'!$C$2="US Customary","qt/lb","L/kg")</f>
        <v>qt/lb</v>
      </c>
      <c r="AB23" s="916"/>
      <c r="AC23" s="917"/>
    </row>
    <row r="24" spans="1:47" ht="13.15" customHeight="1" thickTop="1" x14ac:dyDescent="0.2">
      <c r="A24" s="857" t="str">
        <f>IF('Hop Calcs'!E10=0,"",'Hop Calcs'!E10)</f>
        <v/>
      </c>
      <c r="B24" s="857"/>
      <c r="C24" s="857"/>
      <c r="D24" s="857"/>
      <c r="E24" s="693" t="str">
        <f>IF('Hop Calcs'!D10=0,"",'Hop Calcs'!D10)</f>
        <v/>
      </c>
      <c r="F24" s="694" t="str">
        <f>IF('Hop Calcs'!F10=0,"",'Hop Calcs'!F10)</f>
        <v/>
      </c>
      <c r="G24" s="858" t="str">
        <f>IF('Hop Calcs'!G10=0,"",'Hop Calcs'!G10)</f>
        <v/>
      </c>
      <c r="H24" s="859"/>
      <c r="I24" s="694" t="str">
        <f>'Hop Calcs'!H10</f>
        <v/>
      </c>
      <c r="J24" s="868" t="str">
        <f>IF(ISBLANK('Hop Calcs'!C10),"",IF('Hop Calcs'!C10="Hop Stand",CONCATENATE('Hop Calcs'!C10," (",'Hop Calcs'!B10,")"),'Hop Calcs'!C10))</f>
        <v/>
      </c>
      <c r="K24" s="883"/>
      <c r="L24" s="1010"/>
      <c r="M24" s="1011"/>
      <c r="N24" s="560"/>
      <c r="O24" s="1006" t="s">
        <v>1735</v>
      </c>
      <c r="P24" s="1007"/>
      <c r="Q24" s="709">
        <f>IF('Brewhouse Setup &amp; Calcs'!$C$2="US Customary",'Water-English'!$J$37,'Water-Metric'!$J$38)</f>
        <v>5</v>
      </c>
      <c r="R24" s="549" t="s">
        <v>2297</v>
      </c>
      <c r="S24" s="354"/>
      <c r="T24" s="920" t="s">
        <v>2345</v>
      </c>
      <c r="U24" s="908" t="s">
        <v>2359</v>
      </c>
      <c r="V24" s="870" t="s">
        <v>2294</v>
      </c>
      <c r="W24" s="871"/>
      <c r="X24" s="723">
        <f>'Grain &amp; Sugar Calcs'!$K$19</f>
        <v>1.0481532203726176</v>
      </c>
      <c r="Y24" s="574"/>
      <c r="Z24" s="593">
        <v>1.048</v>
      </c>
      <c r="AA24" s="591">
        <v>0</v>
      </c>
      <c r="AB24" s="694" t="str">
        <f>'Brewhouse Setup &amp; Calcs'!$C$4</f>
        <v>°F</v>
      </c>
      <c r="AC24" s="722">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1.048</v>
      </c>
      <c r="AE24" s="895" t="s">
        <v>2369</v>
      </c>
      <c r="AF24" s="897"/>
      <c r="AG24" s="897"/>
      <c r="AH24" s="897"/>
      <c r="AI24" s="897"/>
      <c r="AJ24" s="896"/>
      <c r="AU24" s="55"/>
    </row>
    <row r="25" spans="1:47" ht="13.15" customHeight="1" x14ac:dyDescent="0.2">
      <c r="A25" s="857" t="str">
        <f>IF('Hop Calcs'!E11=0,"",'Hop Calcs'!E11)</f>
        <v/>
      </c>
      <c r="B25" s="857"/>
      <c r="C25" s="857"/>
      <c r="D25" s="857"/>
      <c r="E25" s="693" t="str">
        <f>IF('Hop Calcs'!D11=0,"",'Hop Calcs'!D11)</f>
        <v/>
      </c>
      <c r="F25" s="694" t="str">
        <f>IF('Hop Calcs'!F11=0,"",'Hop Calcs'!F11)</f>
        <v/>
      </c>
      <c r="G25" s="858" t="str">
        <f>IF('Hop Calcs'!G11=0,"",'Hop Calcs'!G11)</f>
        <v/>
      </c>
      <c r="H25" s="859"/>
      <c r="I25" s="694" t="str">
        <f>'Hop Calcs'!H11</f>
        <v/>
      </c>
      <c r="J25" s="868" t="str">
        <f>IF(ISBLANK('Hop Calcs'!C11),"",IF('Hop Calcs'!C11="Hop Stand",CONCATENATE('Hop Calcs'!C11," (",'Hop Calcs'!B11,")"),'Hop Calcs'!C11))</f>
        <v/>
      </c>
      <c r="K25" s="883"/>
      <c r="L25" s="1010"/>
      <c r="M25" s="1011"/>
      <c r="N25" s="551"/>
      <c r="O25" s="383"/>
      <c r="S25" s="342"/>
      <c r="T25" s="954"/>
      <c r="U25" s="955"/>
      <c r="V25" s="870" t="s">
        <v>2281</v>
      </c>
      <c r="W25" s="871"/>
      <c r="X25" s="708">
        <f>(((182.4601*$X$24-775.6821)*$X$24+1262.7794)*$X$24-669.5622)</f>
        <v>11.948038390192437</v>
      </c>
      <c r="Y25" s="570" t="s">
        <v>121</v>
      </c>
      <c r="Z25" s="588"/>
      <c r="AA25" s="571" t="s">
        <v>121</v>
      </c>
      <c r="AB25" s="577"/>
      <c r="AC25" s="722" t="str">
        <f>IF($Z$25="","",($Z$25/(258.6-(($Z$25/258.2)*227.1)))+1)</f>
        <v/>
      </c>
      <c r="AE25" s="860" t="s">
        <v>2357</v>
      </c>
      <c r="AF25" s="911"/>
      <c r="AG25" s="911"/>
      <c r="AH25" s="861"/>
      <c r="AI25" s="724">
        <f>ROUND(IF(AC24&lt;&gt;"",AC24,IF(AC25&lt;&gt;"",AC25,X24))-X24,3)</f>
        <v>0</v>
      </c>
      <c r="AJ25" s="577"/>
      <c r="AU25" s="55"/>
    </row>
    <row r="26" spans="1:47" ht="13.15" customHeight="1" x14ac:dyDescent="0.2">
      <c r="A26" s="857" t="str">
        <f>IF('Hop Calcs'!E12=0,"",'Hop Calcs'!E12)</f>
        <v/>
      </c>
      <c r="B26" s="857"/>
      <c r="C26" s="857"/>
      <c r="D26" s="857"/>
      <c r="E26" s="693" t="str">
        <f>IF('Hop Calcs'!D12=0,"",'Hop Calcs'!D12)</f>
        <v/>
      </c>
      <c r="F26" s="694" t="str">
        <f>IF('Hop Calcs'!F12=0,"",'Hop Calcs'!F12)</f>
        <v/>
      </c>
      <c r="G26" s="858" t="str">
        <f>IF('Hop Calcs'!G12=0,"",'Hop Calcs'!G12)</f>
        <v/>
      </c>
      <c r="H26" s="859"/>
      <c r="I26" s="694" t="str">
        <f>'Hop Calcs'!H12</f>
        <v/>
      </c>
      <c r="J26" s="868" t="str">
        <f>IF(ISBLANK('Hop Calcs'!C12),"",IF('Hop Calcs'!C12="Hop Stand",CONCATENATE('Hop Calcs'!C12," (",'Hop Calcs'!B12,")"),'Hop Calcs'!C12))</f>
        <v/>
      </c>
      <c r="K26" s="883"/>
      <c r="L26" s="1010"/>
      <c r="M26" s="1011"/>
      <c r="N26" s="560"/>
      <c r="O26" s="983" t="s">
        <v>1109</v>
      </c>
      <c r="P26" s="983"/>
      <c r="Q26" s="983"/>
      <c r="R26" s="979"/>
      <c r="S26" s="342"/>
      <c r="T26" s="954"/>
      <c r="U26" s="931" t="s">
        <v>2347</v>
      </c>
      <c r="V26" s="932"/>
      <c r="W26" s="933"/>
      <c r="X26" s="952">
        <f>'Brewhouse Setup &amp; Calcs'!$C$46</f>
        <v>0.7</v>
      </c>
      <c r="Y26" s="945"/>
      <c r="Z26" s="690">
        <f>IF(OR('Grain &amp; Sugar Calcs'!$K$15=0,NOT(ISNUMBER($AC$24)),NOT(ISNUMBER($Z$22))),"",((($AC$24-1)*1000))/('Grain &amp; Sugar Calcs'!$I$15/IF('Brewhouse Setup &amp; Calcs'!$C$5="Liters",(1.056688*$Z$22/4),($Z$22/4))))</f>
        <v>0.67475861564835526</v>
      </c>
      <c r="AA26" s="950" t="s">
        <v>2294</v>
      </c>
      <c r="AB26" s="950"/>
      <c r="AC26" s="946"/>
      <c r="AE26" s="580" t="s">
        <v>2349</v>
      </c>
      <c r="AF26" s="927" t="s">
        <v>1478</v>
      </c>
      <c r="AG26" s="927"/>
      <c r="AH26" s="928"/>
      <c r="AI26" s="722">
        <f>IF(ISBLANK(AF26),"",VLOOKUP(AF26,'Grain &amp; Sugar List'!$A$2:$H$307,6,FALSE))</f>
        <v>1.0383439999999999</v>
      </c>
      <c r="AJ26" s="573" t="s">
        <v>2356</v>
      </c>
      <c r="AU26" s="55"/>
    </row>
    <row r="27" spans="1:47" ht="13.15" customHeight="1" x14ac:dyDescent="0.2">
      <c r="A27" s="857" t="str">
        <f>IF('Hop Calcs'!E13=0,"",'Hop Calcs'!E13)</f>
        <v/>
      </c>
      <c r="B27" s="857"/>
      <c r="C27" s="857"/>
      <c r="D27" s="857"/>
      <c r="E27" s="693" t="str">
        <f>IF('Hop Calcs'!D13=0,"",'Hop Calcs'!D13)</f>
        <v/>
      </c>
      <c r="F27" s="694" t="str">
        <f>IF('Hop Calcs'!F13=0,"",'Hop Calcs'!F13)</f>
        <v/>
      </c>
      <c r="G27" s="858" t="str">
        <f>IF('Hop Calcs'!G13=0,"",'Hop Calcs'!G13)</f>
        <v/>
      </c>
      <c r="H27" s="859"/>
      <c r="I27" s="694" t="str">
        <f>'Hop Calcs'!H13</f>
        <v/>
      </c>
      <c r="J27" s="868" t="str">
        <f>IF(ISBLANK('Hop Calcs'!C13),"",IF('Hop Calcs'!C13="Hop Stand",CONCATENATE('Hop Calcs'!C13," (",'Hop Calcs'!B13,")"),'Hop Calcs'!C13))</f>
        <v/>
      </c>
      <c r="K27" s="869"/>
      <c r="L27" s="889" t="s">
        <v>2306</v>
      </c>
      <c r="M27" s="890"/>
      <c r="N27" s="559"/>
      <c r="O27" s="1008" t="str">
        <f>IF(ISBLANK(O28),"",VLOOKUP(O28,'Yeast List'!A2:H312,3,FALSE))</f>
        <v>Omega Yeast</v>
      </c>
      <c r="P27" s="1008"/>
      <c r="Q27" s="1008"/>
      <c r="R27" s="1009"/>
      <c r="S27" s="342"/>
      <c r="T27" s="954"/>
      <c r="U27" s="934"/>
      <c r="V27" s="935"/>
      <c r="W27" s="936"/>
      <c r="X27" s="953"/>
      <c r="Y27" s="946"/>
      <c r="Z27" s="852" t="str">
        <f>IF(OR('Grain &amp; Sugar Calcs'!$K$15=0,NOT(ISNUMBER($AC$25)),NOT(ISNUMBER($Z$22))),"",((($AC$25-1)*1000))/('Grain &amp; Sugar Calcs'!$I$15/IF('Brewhouse Setup &amp; Calcs'!$C$5="Liters",(1.056688*$Z$22/4),($Z$22/4))))</f>
        <v/>
      </c>
      <c r="AA27" s="951" t="s">
        <v>2281</v>
      </c>
      <c r="AB27" s="951"/>
      <c r="AC27" s="1027"/>
      <c r="AE27" s="905" t="s">
        <v>2350</v>
      </c>
      <c r="AF27" s="906"/>
      <c r="AG27" s="906"/>
      <c r="AH27" s="907"/>
      <c r="AI27" s="691">
        <f>IF('Brewhouse Setup &amp; Calcs'!C2="US Customary",IF(AI25&lt;0,ABS((AI25*1000)/(((AI26-1)*1000)/(Z22/4))),0),CONVERT(IF(AI25&lt;=0,ABS((AI25*1000)/(((AI26-1)*1000)/(Z22/4))),0),"lbm","kg"))</f>
        <v>0</v>
      </c>
      <c r="AJ27" s="694" t="str">
        <f>'Brewhouse Setup &amp; Calcs'!C6</f>
        <v>lb</v>
      </c>
    </row>
    <row r="28" spans="1:47" ht="13.15" customHeight="1" x14ac:dyDescent="0.2">
      <c r="A28" s="857" t="str">
        <f>IF('Hop Calcs'!E14=0,"",'Hop Calcs'!E14)</f>
        <v/>
      </c>
      <c r="B28" s="857"/>
      <c r="C28" s="857"/>
      <c r="D28" s="857"/>
      <c r="E28" s="693" t="str">
        <f>IF('Hop Calcs'!D14=0,"",'Hop Calcs'!D14)</f>
        <v/>
      </c>
      <c r="F28" s="694" t="str">
        <f>IF('Hop Calcs'!F14=0,"",'Hop Calcs'!F14)</f>
        <v/>
      </c>
      <c r="G28" s="858" t="str">
        <f>IF('Hop Calcs'!G14=0,"",'Hop Calcs'!G14)</f>
        <v/>
      </c>
      <c r="H28" s="859"/>
      <c r="I28" s="694" t="str">
        <f>'Hop Calcs'!H14</f>
        <v/>
      </c>
      <c r="J28" s="868" t="str">
        <f>IF(ISBLANK('Hop Calcs'!C14),"",IF('Hop Calcs'!C14="Hop Stand",CONCATENATE('Hop Calcs'!C14," (",'Hop Calcs'!B14,")"),'Hop Calcs'!C14))</f>
        <v/>
      </c>
      <c r="K28" s="869"/>
      <c r="L28" s="889"/>
      <c r="M28" s="890"/>
      <c r="N28" s="559"/>
      <c r="O28" s="996" t="s">
        <v>2424</v>
      </c>
      <c r="P28" s="996"/>
      <c r="Q28" s="996"/>
      <c r="R28" s="997"/>
      <c r="S28" s="342"/>
      <c r="T28" s="862" t="s">
        <v>2348</v>
      </c>
      <c r="U28" s="863"/>
      <c r="V28" s="863"/>
      <c r="W28" s="863"/>
      <c r="X28" s="863"/>
      <c r="Y28" s="863"/>
      <c r="Z28" s="863"/>
      <c r="AA28" s="863"/>
      <c r="AB28" s="863"/>
      <c r="AC28" s="864"/>
      <c r="AE28" s="905" t="s">
        <v>2358</v>
      </c>
      <c r="AF28" s="906"/>
      <c r="AG28" s="906"/>
      <c r="AH28" s="907"/>
      <c r="AI28" s="691">
        <f>IF('Brewhouse Setup &amp; Calcs'!C2="US Customary",IF(AI25&gt;0,AB22-((X24-1)/(AC24-1))*X22,0),CONVERT(IF(AI25&gt;0,AB22-((X24-1)/(AC24-1))*X22,0),"qt","L"))</f>
        <v>0</v>
      </c>
      <c r="AJ28" s="694" t="str">
        <f>'Brewhouse Setup &amp; Calcs'!$C$5</f>
        <v>qt</v>
      </c>
    </row>
    <row r="29" spans="1:47" ht="13.15" customHeight="1" x14ac:dyDescent="0.2">
      <c r="A29" s="857" t="str">
        <f>IF('Hop Calcs'!E15=0,"",'Hop Calcs'!E15)</f>
        <v/>
      </c>
      <c r="B29" s="857"/>
      <c r="C29" s="857"/>
      <c r="D29" s="857"/>
      <c r="E29" s="693" t="str">
        <f>IF('Hop Calcs'!D15=0,"",'Hop Calcs'!D15)</f>
        <v/>
      </c>
      <c r="F29" s="694" t="str">
        <f>IF('Hop Calcs'!F15=0,"",'Hop Calcs'!F15)</f>
        <v/>
      </c>
      <c r="G29" s="858" t="str">
        <f>IF('Hop Calcs'!G15=0,"",'Hop Calcs'!G15)</f>
        <v/>
      </c>
      <c r="H29" s="859"/>
      <c r="I29" s="694" t="str">
        <f>'Hop Calcs'!H15</f>
        <v/>
      </c>
      <c r="J29" s="868" t="str">
        <f>IF(ISBLANK('Hop Calcs'!C15),"",IF('Hop Calcs'!C15="Hop Stand",CONCATENATE('Hop Calcs'!C15," (",'Hop Calcs'!B15,")"),'Hop Calcs'!C15))</f>
        <v/>
      </c>
      <c r="K29" s="869"/>
      <c r="L29" s="889"/>
      <c r="M29" s="890"/>
      <c r="N29" s="559"/>
      <c r="O29" s="906" t="s">
        <v>1663</v>
      </c>
      <c r="P29" s="906"/>
      <c r="Q29" s="710" t="str">
        <f>CONCATENATE(IF(ISBLANK(O28),"",(IF('Brewhouse Setup &amp; Calcs'!$C$4="°C",ROUND(5/9*(VLOOKUP(O28,'Yeast List'!A2:H312,7,FALSE)-32),0),VLOOKUP(O28,'Yeast List'!A2:H312,7,FALSE)))),"-",IF(ISBLANK(O28),"",(IF('Brewhouse Setup &amp; Calcs'!$C$4="°C",ROUND(5/9*(VLOOKUP(O28,'Yeast List'!A2:H312,8,FALSE)-32),0),VLOOKUP(O28,'Yeast List'!A2:H312,8,FALSE)))))</f>
        <v>48-55</v>
      </c>
      <c r="R29" s="711" t="str">
        <f>'Brewhouse Setup &amp; Calcs'!$C$4</f>
        <v>°F</v>
      </c>
      <c r="S29" s="342"/>
      <c r="T29" s="865"/>
      <c r="U29" s="866"/>
      <c r="V29" s="866"/>
      <c r="W29" s="867"/>
      <c r="X29" s="860" t="s">
        <v>1661</v>
      </c>
      <c r="Y29" s="861"/>
      <c r="Z29" s="860" t="s">
        <v>119</v>
      </c>
      <c r="AA29" s="861"/>
      <c r="AB29" s="860" t="s">
        <v>2330</v>
      </c>
      <c r="AC29" s="861"/>
      <c r="AE29" s="579"/>
    </row>
    <row r="30" spans="1:47" ht="13.15" customHeight="1" x14ac:dyDescent="0.2">
      <c r="A30" s="857" t="str">
        <f>IF('Hop Calcs'!E16=0,"",'Hop Calcs'!E16)</f>
        <v/>
      </c>
      <c r="B30" s="857"/>
      <c r="C30" s="857"/>
      <c r="D30" s="857"/>
      <c r="E30" s="693" t="str">
        <f>IF('Hop Calcs'!D16=0,"",'Hop Calcs'!D16)</f>
        <v/>
      </c>
      <c r="F30" s="694" t="str">
        <f>IF('Hop Calcs'!F16=0,"",'Hop Calcs'!F16)</f>
        <v/>
      </c>
      <c r="G30" s="858" t="str">
        <f>IF('Hop Calcs'!G16=0,"",'Hop Calcs'!G16)</f>
        <v/>
      </c>
      <c r="H30" s="859"/>
      <c r="I30" s="694" t="str">
        <f>'Hop Calcs'!H16</f>
        <v/>
      </c>
      <c r="J30" s="868" t="str">
        <f>IF(ISBLANK('Hop Calcs'!C16),"",IF('Hop Calcs'!C16="Hop Stand",CONCATENATE('Hop Calcs'!C16," (",'Hop Calcs'!B16,")"),'Hop Calcs'!C16))</f>
        <v/>
      </c>
      <c r="K30" s="869"/>
      <c r="L30" s="889"/>
      <c r="M30" s="890"/>
      <c r="N30" s="550"/>
      <c r="O30" s="383"/>
      <c r="S30" s="342"/>
      <c r="T30" s="923" t="s">
        <v>2179</v>
      </c>
      <c r="U30" s="905" t="s">
        <v>2370</v>
      </c>
      <c r="V30" s="906"/>
      <c r="W30" s="907"/>
      <c r="X30" s="694">
        <f>'Brewhouse Setup &amp; Calcs'!$C$80+'Brewhouse Setup &amp; Calcs'!$C$79</f>
        <v>52.956239440134276</v>
      </c>
      <c r="Y30" s="694" t="str">
        <f>'Brewhouse Setup &amp; Calcs'!$C$5</f>
        <v>qt</v>
      </c>
      <c r="Z30" s="585"/>
      <c r="AA30" s="694" t="str">
        <f>'Brewhouse Setup &amp; Calcs'!$C$5</f>
        <v>qt</v>
      </c>
      <c r="AB30" s="912"/>
      <c r="AC30" s="913"/>
      <c r="AE30" s="1014" t="str">
        <f>CONCATENATE("Add ",IF(AI27&gt;0,"Sugar",IF(AI28&gt;0,"Water","Nothing"))," to the Boil")</f>
        <v>Add Nothing to the Boil</v>
      </c>
      <c r="AF30" s="1014"/>
      <c r="AG30" s="1014"/>
      <c r="AH30" s="1014"/>
    </row>
    <row r="31" spans="1:47" ht="13.15" customHeight="1" x14ac:dyDescent="0.2">
      <c r="A31" s="857" t="str">
        <f>IF('Hop Calcs'!E17=0,"",'Hop Calcs'!E17)</f>
        <v/>
      </c>
      <c r="B31" s="857"/>
      <c r="C31" s="857"/>
      <c r="D31" s="857"/>
      <c r="E31" s="693" t="str">
        <f>IF('Hop Calcs'!D17=0,"",'Hop Calcs'!D17)</f>
        <v/>
      </c>
      <c r="F31" s="694" t="str">
        <f>IF('Hop Calcs'!F17=0,"",'Hop Calcs'!F17)</f>
        <v/>
      </c>
      <c r="G31" s="858" t="str">
        <f>IF('Hop Calcs'!G17=0,"",'Hop Calcs'!G17)</f>
        <v/>
      </c>
      <c r="H31" s="859"/>
      <c r="I31" s="694" t="str">
        <f>'Hop Calcs'!H17</f>
        <v/>
      </c>
      <c r="J31" s="868" t="str">
        <f>IF(ISBLANK('Hop Calcs'!C17),"",IF('Hop Calcs'!C17="Hop Stand",CONCATENATE('Hop Calcs'!C17," (",'Hop Calcs'!B17,")"),'Hop Calcs'!C17))</f>
        <v/>
      </c>
      <c r="K31" s="869"/>
      <c r="L31" s="889"/>
      <c r="M31" s="890"/>
      <c r="N31" s="559"/>
      <c r="O31" s="897" t="s">
        <v>1518</v>
      </c>
      <c r="P31" s="897"/>
      <c r="Q31" s="897"/>
      <c r="R31" s="896"/>
      <c r="S31" s="342"/>
      <c r="T31" s="924"/>
      <c r="U31" s="905" t="s">
        <v>2177</v>
      </c>
      <c r="V31" s="906"/>
      <c r="W31" s="907"/>
      <c r="X31" s="707">
        <f>'Brewhouse Setup &amp; Calcs'!$C$28</f>
        <v>75</v>
      </c>
      <c r="Y31" s="691" t="str">
        <f>'Brewhouse Setup &amp; Calcs'!$D$28</f>
        <v>min</v>
      </c>
      <c r="Z31" s="586"/>
      <c r="AA31" s="691" t="str">
        <f>'Brewhouse Setup &amp; Calcs'!$D$28</f>
        <v>min</v>
      </c>
      <c r="AB31" s="914"/>
      <c r="AC31" s="915"/>
    </row>
    <row r="32" spans="1:47" ht="13.15" customHeight="1" x14ac:dyDescent="0.2">
      <c r="A32" s="857" t="str">
        <f>IF('Hop Calcs'!E18=0,"",'Hop Calcs'!E18)</f>
        <v/>
      </c>
      <c r="B32" s="857"/>
      <c r="C32" s="857"/>
      <c r="D32" s="857"/>
      <c r="E32" s="693" t="str">
        <f>IF('Hop Calcs'!D18=0,"",'Hop Calcs'!D18)</f>
        <v/>
      </c>
      <c r="F32" s="694" t="str">
        <f>IF('Hop Calcs'!F18=0,"",'Hop Calcs'!F18)</f>
        <v/>
      </c>
      <c r="G32" s="858" t="str">
        <f>IF('Hop Calcs'!G18=0,"",'Hop Calcs'!G18)</f>
        <v/>
      </c>
      <c r="H32" s="859"/>
      <c r="I32" s="694" t="str">
        <f>'Hop Calcs'!H18</f>
        <v/>
      </c>
      <c r="J32" s="868" t="str">
        <f>IF(ISBLANK('Hop Calcs'!C18),"",IF('Hop Calcs'!C18="Hop Stand",CONCATENATE('Hop Calcs'!C18," (",'Hop Calcs'!B18,")"),'Hop Calcs'!C18))</f>
        <v/>
      </c>
      <c r="K32" s="869"/>
      <c r="L32" s="889"/>
      <c r="M32" s="890"/>
      <c r="N32" s="559"/>
      <c r="O32" s="906" t="s">
        <v>1855</v>
      </c>
      <c r="P32" s="907"/>
      <c r="Q32" s="585">
        <v>2.5</v>
      </c>
      <c r="R32" s="513"/>
      <c r="S32" s="342"/>
      <c r="T32" s="924"/>
      <c r="U32" s="922" t="str">
        <f>CONCATENATE("End Volume",IF('Brewhouse Setup &amp; Calcs'!C51="Immersion"," (w/ IC)",))</f>
        <v>End Volume (w/ IC)</v>
      </c>
      <c r="V32" s="922"/>
      <c r="W32" s="922"/>
      <c r="X32" s="694">
        <f>IF('Brewhouse Setup &amp; Calcs'!$C$51="Immersion",'Brewhouse Setup &amp; Calcs'!$C$76+'Brewhouse Setup &amp; Calcs'!$C$52,'Brewhouse Setup &amp; Calcs'!$C$76)</f>
        <v>48.206239440134276</v>
      </c>
      <c r="Y32" s="694" t="str">
        <f>'Brewhouse Setup &amp; Calcs'!$C$5</f>
        <v>qt</v>
      </c>
      <c r="Z32" s="585"/>
      <c r="AA32" s="694" t="str">
        <f>'Brewhouse Setup &amp; Calcs'!$C$5</f>
        <v>qt</v>
      </c>
      <c r="AB32" s="914"/>
      <c r="AC32" s="915"/>
      <c r="AE32" s="1012" t="s">
        <v>2382</v>
      </c>
      <c r="AF32" s="1012"/>
      <c r="AG32" s="1013"/>
      <c r="AH32" s="585"/>
    </row>
    <row r="33" spans="1:31" ht="13.15" customHeight="1" x14ac:dyDescent="0.2">
      <c r="K33" s="384"/>
      <c r="L33" s="889"/>
      <c r="M33" s="890"/>
      <c r="N33" s="559"/>
      <c r="O33" s="906" t="s">
        <v>1096</v>
      </c>
      <c r="P33" s="907"/>
      <c r="Q33" s="585">
        <v>38</v>
      </c>
      <c r="R33" s="694" t="str">
        <f>'Brewhouse Setup &amp; Calcs'!$C$4</f>
        <v>°F</v>
      </c>
      <c r="S33" s="342"/>
      <c r="T33" s="924"/>
      <c r="U33" s="905" t="s">
        <v>2351</v>
      </c>
      <c r="V33" s="906"/>
      <c r="W33" s="907"/>
      <c r="X33" s="694">
        <f>'Brewhouse Setup &amp; Calcs'!C50</f>
        <v>5.4</v>
      </c>
      <c r="Y33" s="694" t="str">
        <f>'Brewhouse Setup &amp; Calcs'!$D$50</f>
        <v>qt/hr</v>
      </c>
      <c r="Z33" s="699" t="str">
        <f>IF(OR(ISBLANK(Z30),ISBLANK(Z31),ISBLANK(Z32)),"",(Z30-Z32)/Z31*60)</f>
        <v/>
      </c>
      <c r="AA33" s="694" t="str">
        <f>'Brewhouse Setup &amp; Calcs'!$D$50</f>
        <v>qt/hr</v>
      </c>
      <c r="AB33" s="914"/>
      <c r="AC33" s="915"/>
      <c r="AE33" s="19"/>
    </row>
    <row r="34" spans="1:31" ht="13.15" customHeight="1" x14ac:dyDescent="0.2">
      <c r="A34" s="895" t="s">
        <v>114</v>
      </c>
      <c r="B34" s="897"/>
      <c r="C34" s="897"/>
      <c r="D34" s="897"/>
      <c r="E34" s="897"/>
      <c r="F34" s="897"/>
      <c r="G34" s="896"/>
      <c r="H34" s="895" t="s">
        <v>1857</v>
      </c>
      <c r="I34" s="896"/>
      <c r="J34" s="895" t="s">
        <v>1664</v>
      </c>
      <c r="K34" s="896"/>
      <c r="L34" s="889"/>
      <c r="M34" s="890"/>
      <c r="N34" s="559"/>
      <c r="O34" s="906" t="s">
        <v>1856</v>
      </c>
      <c r="P34" s="907"/>
      <c r="Q34" s="694">
        <f>IF(OR(ISBLANK(Q32),ISBLANK(Q33)),"",IF('Brewhouse Setup &amp; Calcs'!$C$2="US Customary",(-16.6999 - 0.0101059*Q33 + 0.00116512*Q33^2 + 0.173354*Q33*Q32 + 4.24267*Q32 - 0.0684226*Q32^2),(-16.6999 - 0.0101059*(9/5*Q33+32) + 0.00116512*(9/5*Q33+32)^2 + 0.173354*(9/5*Q33+32)*Q32 + 4.24267*Q32 - 0.0684226*Q32^2)*6.894757))</f>
        <v>11.246172830000003</v>
      </c>
      <c r="R34" s="694" t="str">
        <f>'Brewhouse Setup &amp; Calcs'!C8</f>
        <v>PSI</v>
      </c>
      <c r="S34" s="342"/>
      <c r="T34" s="920" t="s">
        <v>1116</v>
      </c>
      <c r="U34" s="908" t="s">
        <v>2352</v>
      </c>
      <c r="V34" s="909"/>
      <c r="W34" s="910"/>
      <c r="X34" s="694">
        <f>'Brewhouse Setup &amp; Calcs'!C74</f>
        <v>44.536572200000002</v>
      </c>
      <c r="Y34" s="694" t="str">
        <f>'Brewhouse Setup &amp; Calcs'!$C$5</f>
        <v>qt</v>
      </c>
      <c r="Z34" s="585">
        <v>45</v>
      </c>
      <c r="AA34" s="694" t="str">
        <f>'Brewhouse Setup &amp; Calcs'!$C$5</f>
        <v>qt</v>
      </c>
      <c r="AB34" s="694">
        <f>Z34+Z34*(X35-Z35)*('Brewhouse Setup &amp; Calcs'!$C$59*AVERAGE(X35,Z35)+'Brewhouse Setup &amp; Calcs'!$E$59)</f>
        <v>44.974459799999998</v>
      </c>
      <c r="AC34" s="694" t="str">
        <f>'Brewhouse Setup &amp; Calcs'!$C$5</f>
        <v>qt</v>
      </c>
    </row>
    <row r="35" spans="1:31" ht="13.15" customHeight="1" x14ac:dyDescent="0.2">
      <c r="A35" s="855" t="s">
        <v>2322</v>
      </c>
      <c r="B35" s="888"/>
      <c r="C35" s="888"/>
      <c r="D35" s="888"/>
      <c r="E35" s="888"/>
      <c r="F35" s="888"/>
      <c r="G35" s="856"/>
      <c r="H35" s="855" t="s">
        <v>2417</v>
      </c>
      <c r="I35" s="856"/>
      <c r="J35" s="855" t="s">
        <v>2284</v>
      </c>
      <c r="K35" s="856"/>
      <c r="L35" s="889"/>
      <c r="M35" s="890"/>
      <c r="N35" s="550"/>
      <c r="O35" s="554"/>
      <c r="S35" s="342"/>
      <c r="T35" s="921"/>
      <c r="U35" s="860"/>
      <c r="V35" s="911"/>
      <c r="W35" s="861"/>
      <c r="X35" s="707">
        <f>'Brewhouse Setup &amp; Calcs'!C31</f>
        <v>75</v>
      </c>
      <c r="Y35" s="694" t="str">
        <f>'Brewhouse Setup &amp; Calcs'!$C$4</f>
        <v>°F</v>
      </c>
      <c r="Z35" s="585">
        <v>79</v>
      </c>
      <c r="AA35" s="694" t="str">
        <f>'Brewhouse Setup &amp; Calcs'!$C$4</f>
        <v>°F</v>
      </c>
      <c r="AB35" s="707">
        <f>X35</f>
        <v>75</v>
      </c>
      <c r="AC35" s="694" t="str">
        <f>'Brewhouse Setup &amp; Calcs'!$C$4</f>
        <v>°F</v>
      </c>
    </row>
    <row r="36" spans="1:31" ht="13.15" customHeight="1" x14ac:dyDescent="0.2">
      <c r="A36" s="855" t="s">
        <v>2426</v>
      </c>
      <c r="B36" s="888"/>
      <c r="C36" s="888"/>
      <c r="D36" s="888"/>
      <c r="E36" s="888"/>
      <c r="F36" s="888"/>
      <c r="G36" s="856"/>
      <c r="H36" s="855" t="s">
        <v>2427</v>
      </c>
      <c r="I36" s="856"/>
      <c r="J36" s="855" t="s">
        <v>2328</v>
      </c>
      <c r="K36" s="856"/>
      <c r="L36" s="889"/>
      <c r="M36" s="890"/>
      <c r="N36" s="550"/>
      <c r="S36" s="342"/>
      <c r="T36" s="920" t="s">
        <v>2353</v>
      </c>
      <c r="U36" s="893" t="s">
        <v>2294</v>
      </c>
      <c r="V36" s="870"/>
      <c r="W36" s="871"/>
      <c r="X36" s="723">
        <f>'Grain &amp; Sugar Calcs'!$L$21</f>
        <v>1.0543151209535591</v>
      </c>
      <c r="Y36" s="574"/>
      <c r="Z36" s="594">
        <v>1.052</v>
      </c>
      <c r="AA36" s="591">
        <v>68</v>
      </c>
      <c r="AB36" s="694" t="str">
        <f>'Brewhouse Setup &amp; Calcs'!$C$4</f>
        <v>°F</v>
      </c>
      <c r="AC36" s="722">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1.0515190465976256</v>
      </c>
    </row>
    <row r="37" spans="1:31" ht="12.75" customHeight="1" x14ac:dyDescent="0.2">
      <c r="A37" s="855" t="s">
        <v>2428</v>
      </c>
      <c r="B37" s="888"/>
      <c r="C37" s="888"/>
      <c r="D37" s="888"/>
      <c r="E37" s="888"/>
      <c r="F37" s="888"/>
      <c r="G37" s="856"/>
      <c r="H37" s="855" t="s">
        <v>2429</v>
      </c>
      <c r="I37" s="856"/>
      <c r="J37" s="855" t="s">
        <v>2430</v>
      </c>
      <c r="K37" s="856"/>
      <c r="L37" s="889"/>
      <c r="M37" s="890"/>
      <c r="N37" s="550"/>
      <c r="S37" s="342"/>
      <c r="T37" s="921"/>
      <c r="U37" s="893" t="s">
        <v>2281</v>
      </c>
      <c r="V37" s="870"/>
      <c r="W37" s="871"/>
      <c r="X37" s="694">
        <f>(((182.4601*$X$36-775.6821)*$X$36+1262.7794)*$X$36-669.5622)</f>
        <v>13.407425177608275</v>
      </c>
      <c r="Y37" s="578"/>
      <c r="Z37" s="585"/>
      <c r="AA37" s="570" t="s">
        <v>121</v>
      </c>
      <c r="AB37" s="577"/>
      <c r="AC37" s="722" t="str">
        <f>IF($Z$37="","",($Z$37/(258.6-(($Z$37/258.2)*227.1)))+1)</f>
        <v/>
      </c>
    </row>
    <row r="38" spans="1:31" ht="13.15" customHeight="1" x14ac:dyDescent="0.2">
      <c r="A38" s="855"/>
      <c r="B38" s="888"/>
      <c r="C38" s="888"/>
      <c r="D38" s="888"/>
      <c r="E38" s="888"/>
      <c r="F38" s="888"/>
      <c r="G38" s="856"/>
      <c r="H38" s="855"/>
      <c r="I38" s="856"/>
      <c r="J38" s="855"/>
      <c r="K38" s="856"/>
      <c r="L38" s="889"/>
      <c r="M38" s="890"/>
      <c r="N38" s="550"/>
      <c r="S38" s="470"/>
      <c r="T38" s="862" t="s">
        <v>2336</v>
      </c>
      <c r="U38" s="863"/>
      <c r="V38" s="863"/>
      <c r="W38" s="863"/>
      <c r="X38" s="863"/>
      <c r="Y38" s="863"/>
      <c r="Z38" s="863"/>
      <c r="AA38" s="863"/>
      <c r="AB38" s="863"/>
      <c r="AC38" s="864"/>
    </row>
    <row r="39" spans="1:31" ht="13.15" customHeight="1" x14ac:dyDescent="0.2">
      <c r="A39" s="855"/>
      <c r="B39" s="888"/>
      <c r="C39" s="888"/>
      <c r="D39" s="888"/>
      <c r="E39" s="888"/>
      <c r="F39" s="888"/>
      <c r="G39" s="856"/>
      <c r="H39" s="855"/>
      <c r="I39" s="856"/>
      <c r="J39" s="855"/>
      <c r="K39" s="856"/>
      <c r="L39" s="889"/>
      <c r="M39" s="890"/>
      <c r="N39" s="550"/>
      <c r="S39" s="470"/>
      <c r="T39" s="940"/>
      <c r="U39" s="941"/>
      <c r="V39" s="941"/>
      <c r="W39" s="941"/>
      <c r="X39" s="904" t="s">
        <v>1661</v>
      </c>
      <c r="Y39" s="904"/>
      <c r="Z39" s="904" t="s">
        <v>119</v>
      </c>
      <c r="AA39" s="904"/>
      <c r="AB39" s="860" t="s">
        <v>2330</v>
      </c>
      <c r="AC39" s="861"/>
    </row>
    <row r="40" spans="1:31" ht="13.15" customHeight="1" x14ac:dyDescent="0.2">
      <c r="A40" s="886"/>
      <c r="B40" s="894"/>
      <c r="C40" s="894"/>
      <c r="D40" s="894"/>
      <c r="E40" s="894"/>
      <c r="F40" s="894"/>
      <c r="G40" s="887"/>
      <c r="H40" s="886"/>
      <c r="I40" s="887"/>
      <c r="J40" s="886"/>
      <c r="K40" s="887"/>
      <c r="L40" s="891"/>
      <c r="M40" s="892"/>
      <c r="N40" s="558"/>
      <c r="O40" s="380"/>
      <c r="S40" s="514"/>
      <c r="T40" s="865"/>
      <c r="U40" s="866"/>
      <c r="V40" s="866"/>
      <c r="W40" s="866"/>
      <c r="X40" s="694" t="str">
        <f>'Brewhouse Setup &amp; Calcs'!$C$5</f>
        <v>qt</v>
      </c>
      <c r="Y40" s="694" t="str">
        <f>'Brewhouse Setup &amp; Calcs'!$C$4</f>
        <v>°F</v>
      </c>
      <c r="Z40" s="694" t="str">
        <f>'Brewhouse Setup &amp; Calcs'!$C$5</f>
        <v>qt</v>
      </c>
      <c r="AA40" s="694" t="str">
        <f>'Brewhouse Setup &amp; Calcs'!$C$4</f>
        <v>°F</v>
      </c>
      <c r="AB40" s="912"/>
      <c r="AC40" s="913"/>
    </row>
    <row r="41" spans="1:31" ht="13.15" customHeight="1" x14ac:dyDescent="0.2">
      <c r="A41" s="1018" t="s">
        <v>2431</v>
      </c>
      <c r="B41" s="1019"/>
      <c r="C41" s="1019"/>
      <c r="D41" s="1019"/>
      <c r="E41" s="1019"/>
      <c r="F41" s="1019"/>
      <c r="G41" s="1019"/>
      <c r="H41" s="1019"/>
      <c r="I41" s="1019"/>
      <c r="J41" s="1019"/>
      <c r="K41" s="1019"/>
      <c r="L41" s="1019"/>
      <c r="M41" s="1019"/>
      <c r="N41" s="1019"/>
      <c r="O41" s="1019"/>
      <c r="P41" s="1019"/>
      <c r="Q41" s="1019"/>
      <c r="R41" s="1020"/>
      <c r="S41" s="514"/>
      <c r="T41" s="1029" t="s">
        <v>2371</v>
      </c>
      <c r="U41" s="1030"/>
      <c r="V41" s="1030"/>
      <c r="W41" s="1031"/>
      <c r="X41" s="694">
        <f>$J$11+'Brewhouse Setup &amp; Calcs'!$C$55</f>
        <v>43</v>
      </c>
      <c r="Y41" s="694">
        <f>'Brewhouse Setup &amp; Calcs'!$C$31</f>
        <v>75</v>
      </c>
      <c r="Z41" s="585"/>
      <c r="AA41" s="591"/>
      <c r="AB41" s="914"/>
      <c r="AC41" s="915"/>
    </row>
    <row r="42" spans="1:31" ht="12.75" customHeight="1" x14ac:dyDescent="0.2">
      <c r="A42" s="1021"/>
      <c r="B42" s="1022"/>
      <c r="C42" s="1022"/>
      <c r="D42" s="1022"/>
      <c r="E42" s="1022"/>
      <c r="F42" s="1022"/>
      <c r="G42" s="1022"/>
      <c r="H42" s="1022"/>
      <c r="I42" s="1022"/>
      <c r="J42" s="1022"/>
      <c r="K42" s="1022"/>
      <c r="L42" s="1022"/>
      <c r="M42" s="1022"/>
      <c r="N42" s="1022"/>
      <c r="O42" s="1022"/>
      <c r="P42" s="1022"/>
      <c r="Q42" s="1022"/>
      <c r="R42" s="1023"/>
      <c r="S42" s="514"/>
      <c r="T42" s="1032" t="s">
        <v>2372</v>
      </c>
      <c r="U42" s="944"/>
      <c r="V42" s="944"/>
      <c r="W42" s="1033"/>
      <c r="X42" s="925"/>
      <c r="Y42" s="926"/>
      <c r="Z42" s="585"/>
      <c r="AA42" s="591"/>
      <c r="AB42" s="916"/>
      <c r="AC42" s="917"/>
    </row>
    <row r="43" spans="1:31" ht="13.15" customHeight="1" x14ac:dyDescent="0.2">
      <c r="A43" s="1021"/>
      <c r="B43" s="1022"/>
      <c r="C43" s="1022"/>
      <c r="D43" s="1022"/>
      <c r="E43" s="1022"/>
      <c r="F43" s="1022"/>
      <c r="G43" s="1022"/>
      <c r="H43" s="1022"/>
      <c r="I43" s="1022"/>
      <c r="J43" s="1022"/>
      <c r="K43" s="1022"/>
      <c r="L43" s="1022"/>
      <c r="M43" s="1022"/>
      <c r="N43" s="1022"/>
      <c r="O43" s="1022"/>
      <c r="P43" s="1022"/>
      <c r="Q43" s="1022"/>
      <c r="R43" s="1023"/>
      <c r="S43" s="514"/>
      <c r="T43" s="920" t="s">
        <v>2354</v>
      </c>
      <c r="U43" s="870" t="s">
        <v>2294</v>
      </c>
      <c r="V43" s="870"/>
      <c r="W43" s="871"/>
      <c r="X43" s="724">
        <f>IF(NOT(ISNUMBER($J$12)),"",1+('Grain &amp; Sugar Calcs'!$L$17*(1-$J$12)/1000))</f>
        <v>1.014665082657461</v>
      </c>
      <c r="Y43" s="577"/>
      <c r="Z43" s="595"/>
      <c r="AA43" s="591"/>
      <c r="AB43" s="694" t="str">
        <f>'Brewhouse Setup &amp; Calcs'!$C$4</f>
        <v>°F</v>
      </c>
      <c r="AC43" s="722"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1021"/>
      <c r="B44" s="1022"/>
      <c r="C44" s="1022"/>
      <c r="D44" s="1022"/>
      <c r="E44" s="1022"/>
      <c r="F44" s="1022"/>
      <c r="G44" s="1022"/>
      <c r="H44" s="1022"/>
      <c r="I44" s="1022"/>
      <c r="J44" s="1022"/>
      <c r="K44" s="1022"/>
      <c r="L44" s="1022"/>
      <c r="M44" s="1022"/>
      <c r="N44" s="1022"/>
      <c r="O44" s="1022"/>
      <c r="P44" s="1022"/>
      <c r="Q44" s="1022"/>
      <c r="R44" s="1023"/>
      <c r="S44" s="514"/>
      <c r="T44" s="921"/>
      <c r="U44" s="870" t="s">
        <v>2281</v>
      </c>
      <c r="V44" s="870"/>
      <c r="W44" s="871"/>
      <c r="X44" s="694">
        <f>IF(NOT(ISNUMBER($J$12)),"",(((182.4601*$X$43-775.6821)*$X$43+1262.7794)*$X$43-669.5622))</f>
        <v>3.7419332206804938</v>
      </c>
      <c r="Y44" s="571" t="s">
        <v>121</v>
      </c>
      <c r="Z44" s="588"/>
      <c r="AA44" s="570" t="s">
        <v>121</v>
      </c>
      <c r="AB44" s="577"/>
      <c r="AC44" s="722"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1021"/>
      <c r="B45" s="1022"/>
      <c r="C45" s="1022"/>
      <c r="D45" s="1022"/>
      <c r="E45" s="1022"/>
      <c r="F45" s="1022"/>
      <c r="G45" s="1022"/>
      <c r="H45" s="1022"/>
      <c r="I45" s="1022"/>
      <c r="J45" s="1022"/>
      <c r="K45" s="1022"/>
      <c r="L45" s="1022"/>
      <c r="M45" s="1022"/>
      <c r="N45" s="1022"/>
      <c r="O45" s="1022"/>
      <c r="P45" s="1022"/>
      <c r="Q45" s="1022"/>
      <c r="R45" s="1023"/>
      <c r="S45" s="470"/>
      <c r="T45" s="905" t="s">
        <v>2264</v>
      </c>
      <c r="U45" s="906"/>
      <c r="V45" s="906"/>
      <c r="W45" s="907"/>
      <c r="X45" s="694">
        <f>'Brewhouse Setup &amp; Calcs'!$C$18</f>
        <v>40</v>
      </c>
      <c r="Y45" s="694" t="str">
        <f>'Brewhouse Setup &amp; Calcs'!$C$5</f>
        <v>qt</v>
      </c>
      <c r="Z45" s="585"/>
      <c r="AA45" s="694" t="str">
        <f>'Brewhouse Setup &amp; Calcs'!$C$5</f>
        <v>qt</v>
      </c>
      <c r="AB45" s="918"/>
      <c r="AC45" s="919"/>
    </row>
    <row r="46" spans="1:31" ht="12.75" customHeight="1" x14ac:dyDescent="0.2">
      <c r="A46" s="1021"/>
      <c r="B46" s="1022"/>
      <c r="C46" s="1022"/>
      <c r="D46" s="1022"/>
      <c r="E46" s="1022"/>
      <c r="F46" s="1022"/>
      <c r="G46" s="1022"/>
      <c r="H46" s="1022"/>
      <c r="I46" s="1022"/>
      <c r="J46" s="1022"/>
      <c r="K46" s="1022"/>
      <c r="L46" s="1022"/>
      <c r="M46" s="1022"/>
      <c r="N46" s="1022"/>
      <c r="O46" s="1022"/>
      <c r="P46" s="1022"/>
      <c r="Q46" s="1022"/>
      <c r="R46" s="1023"/>
      <c r="S46" s="470"/>
    </row>
    <row r="47" spans="1:31" x14ac:dyDescent="0.2">
      <c r="A47" s="1021"/>
      <c r="B47" s="1022"/>
      <c r="C47" s="1022"/>
      <c r="D47" s="1022"/>
      <c r="E47" s="1022"/>
      <c r="F47" s="1022"/>
      <c r="G47" s="1022"/>
      <c r="H47" s="1022"/>
      <c r="I47" s="1022"/>
      <c r="J47" s="1022"/>
      <c r="K47" s="1022"/>
      <c r="L47" s="1022"/>
      <c r="M47" s="1022"/>
      <c r="N47" s="1022"/>
      <c r="O47" s="1022"/>
      <c r="P47" s="1022"/>
      <c r="Q47" s="1022"/>
      <c r="R47" s="1023"/>
      <c r="S47" s="470"/>
    </row>
    <row r="48" spans="1:31" ht="12.75" customHeight="1" x14ac:dyDescent="0.2">
      <c r="A48" s="1021"/>
      <c r="B48" s="1022"/>
      <c r="C48" s="1022"/>
      <c r="D48" s="1022"/>
      <c r="E48" s="1022"/>
      <c r="F48" s="1022"/>
      <c r="G48" s="1022"/>
      <c r="H48" s="1022"/>
      <c r="I48" s="1022"/>
      <c r="J48" s="1022"/>
      <c r="K48" s="1022"/>
      <c r="L48" s="1022"/>
      <c r="M48" s="1022"/>
      <c r="N48" s="1022"/>
      <c r="O48" s="1022"/>
      <c r="P48" s="1022"/>
      <c r="Q48" s="1022"/>
      <c r="R48" s="1023"/>
      <c r="S48" s="470"/>
    </row>
    <row r="49" spans="1:48" x14ac:dyDescent="0.2">
      <c r="A49" s="1021"/>
      <c r="B49" s="1022"/>
      <c r="C49" s="1022"/>
      <c r="D49" s="1022"/>
      <c r="E49" s="1022"/>
      <c r="F49" s="1022"/>
      <c r="G49" s="1022"/>
      <c r="H49" s="1022"/>
      <c r="I49" s="1022"/>
      <c r="J49" s="1022"/>
      <c r="K49" s="1022"/>
      <c r="L49" s="1022"/>
      <c r="M49" s="1022"/>
      <c r="N49" s="1022"/>
      <c r="O49" s="1022"/>
      <c r="P49" s="1022"/>
      <c r="Q49" s="1022"/>
      <c r="R49" s="1023"/>
    </row>
    <row r="50" spans="1:48" ht="12.75" customHeight="1" x14ac:dyDescent="0.2">
      <c r="A50" s="1021"/>
      <c r="B50" s="1022"/>
      <c r="C50" s="1022"/>
      <c r="D50" s="1022"/>
      <c r="E50" s="1022"/>
      <c r="F50" s="1022"/>
      <c r="G50" s="1022"/>
      <c r="H50" s="1022"/>
      <c r="I50" s="1022"/>
      <c r="J50" s="1022"/>
      <c r="K50" s="1022"/>
      <c r="L50" s="1022"/>
      <c r="M50" s="1022"/>
      <c r="N50" s="1022"/>
      <c r="O50" s="1022"/>
      <c r="P50" s="1022"/>
      <c r="Q50" s="1022"/>
      <c r="R50" s="1023"/>
      <c r="AV50" s="27"/>
    </row>
    <row r="51" spans="1:48" x14ac:dyDescent="0.2">
      <c r="A51" s="1024"/>
      <c r="B51" s="1025"/>
      <c r="C51" s="1025"/>
      <c r="D51" s="1025"/>
      <c r="E51" s="1025"/>
      <c r="F51" s="1025"/>
      <c r="G51" s="1025"/>
      <c r="H51" s="1025"/>
      <c r="I51" s="1025"/>
      <c r="J51" s="1025"/>
      <c r="K51" s="1025"/>
      <c r="L51" s="1025"/>
      <c r="M51" s="1025"/>
      <c r="N51" s="1025"/>
      <c r="O51" s="1025"/>
      <c r="P51" s="1025"/>
      <c r="Q51" s="1025"/>
      <c r="R51" s="1026"/>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09">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s>
  <phoneticPr fontId="49" type="noConversion"/>
  <conditionalFormatting sqref="J8 K8">
    <cfRule type="expression" dxfId="110" priority="72">
      <formula>OR($J$8&lt;$L$8,$J$8&gt;$M$8)</formula>
    </cfRule>
  </conditionalFormatting>
  <conditionalFormatting sqref="J9 K9">
    <cfRule type="expression" dxfId="109" priority="71">
      <formula>OR($J$9&lt;$L$9,$J$9&gt;$M$9)</formula>
    </cfRule>
  </conditionalFormatting>
  <conditionalFormatting sqref="J13 K13">
    <cfRule type="expression" dxfId="108" priority="70">
      <formula>OR($J$13&lt;$L$13,$J$13&gt;$M$13)</formula>
    </cfRule>
  </conditionalFormatting>
  <conditionalFormatting sqref="J14 K14">
    <cfRule type="expression" dxfId="107" priority="69">
      <formula>OR($J$14&lt;$L$14,$J$14&gt;$M$14)</formula>
    </cfRule>
  </conditionalFormatting>
  <conditionalFormatting sqref="J15 K15">
    <cfRule type="expression" dxfId="106" priority="68">
      <formula>OR($J$15&lt;$L$15,$J$15&gt;$M$15)</formula>
    </cfRule>
  </conditionalFormatting>
  <conditionalFormatting sqref="T18">
    <cfRule type="expression" dxfId="105" priority="265">
      <formula>#REF!="Extract"</formula>
    </cfRule>
    <cfRule type="expression" dxfId="104" priority="266">
      <formula>#REF!="BIAB"</formula>
    </cfRule>
  </conditionalFormatting>
  <conditionalFormatting sqref="Z19:AA21">
    <cfRule type="expression" dxfId="103" priority="268">
      <formula>OR($T$18="No Sparge",$T$18="Fly Sparge",$T$18="NA")</formula>
    </cfRule>
  </conditionalFormatting>
  <conditionalFormatting sqref="AI27">
    <cfRule type="expression" dxfId="102" priority="19">
      <formula>$AI$27&gt;0</formula>
    </cfRule>
  </conditionalFormatting>
  <conditionalFormatting sqref="AI28">
    <cfRule type="expression" dxfId="101" priority="18">
      <formula>$AI$28&gt;0</formula>
    </cfRule>
  </conditionalFormatting>
  <conditionalFormatting sqref="Z26">
    <cfRule type="expression" dxfId="100" priority="35">
      <formula>$Z$26&lt;&gt;""</formula>
    </cfRule>
  </conditionalFormatting>
  <conditionalFormatting sqref="AC25">
    <cfRule type="expression" dxfId="99" priority="32">
      <formula>AND(($AC$24=""),($AC$25&lt;&gt;""))</formula>
    </cfRule>
  </conditionalFormatting>
  <conditionalFormatting sqref="Z27">
    <cfRule type="expression" dxfId="98" priority="31">
      <formula>AND($AC$24="",$Z$27&lt;&gt;"")</formula>
    </cfRule>
  </conditionalFormatting>
  <conditionalFormatting sqref="K8">
    <cfRule type="expression" dxfId="97" priority="14">
      <formula>OR($J$8&lt;$L$8,$J$8&gt;$M$8)</formula>
    </cfRule>
  </conditionalFormatting>
  <conditionalFormatting sqref="AC24">
    <cfRule type="expression" dxfId="96" priority="269">
      <formula>$AC$24&lt;&gt;""</formula>
    </cfRule>
  </conditionalFormatting>
  <conditionalFormatting sqref="AC37">
    <cfRule type="expression" dxfId="95" priority="272">
      <formula>AND($AC$36="",$AC$37&lt;&gt;"")</formula>
    </cfRule>
  </conditionalFormatting>
  <conditionalFormatting sqref="AC36">
    <cfRule type="expression" dxfId="94" priority="13">
      <formula>$AC$36&lt;&gt;""</formula>
    </cfRule>
  </conditionalFormatting>
  <conditionalFormatting sqref="AC43">
    <cfRule type="expression" dxfId="93" priority="12">
      <formula>$AC$43&lt;&gt;""</formula>
    </cfRule>
  </conditionalFormatting>
  <conditionalFormatting sqref="AC44">
    <cfRule type="expression" dxfId="92" priority="11">
      <formula>AND($AC$43="",$AC$44&lt;&gt;"")</formula>
    </cfRule>
  </conditionalFormatting>
  <conditionalFormatting sqref="Y11:Z11">
    <cfRule type="expression" dxfId="91" priority="10">
      <formula>$W$11=""</formula>
    </cfRule>
  </conditionalFormatting>
  <conditionalFormatting sqref="Y12:Z12">
    <cfRule type="expression" dxfId="90" priority="9">
      <formula>$W$12=""</formula>
    </cfRule>
  </conditionalFormatting>
  <conditionalFormatting sqref="Y13:Z13">
    <cfRule type="expression" dxfId="89" priority="8">
      <formula>$W$13=""</formula>
    </cfRule>
  </conditionalFormatting>
  <conditionalFormatting sqref="Y14:Z14">
    <cfRule type="expression" dxfId="88" priority="7">
      <formula>$W$14=""</formula>
    </cfRule>
  </conditionalFormatting>
  <conditionalFormatting sqref="AA11">
    <cfRule type="expression" dxfId="87" priority="6">
      <formula>$U$11=""</formula>
    </cfRule>
  </conditionalFormatting>
  <conditionalFormatting sqref="AA12">
    <cfRule type="expression" dxfId="86" priority="5">
      <formula>$U$12=""</formula>
    </cfRule>
  </conditionalFormatting>
  <conditionalFormatting sqref="AA13">
    <cfRule type="expression" dxfId="85" priority="4">
      <formula>$U$13=""</formula>
    </cfRule>
  </conditionalFormatting>
  <conditionalFormatting sqref="AA14">
    <cfRule type="expression" dxfId="84" priority="3">
      <formula>$U$14=""</formula>
    </cfRule>
  </conditionalFormatting>
  <conditionalFormatting sqref="Z21">
    <cfRule type="expression" dxfId="83"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List'!$A$2:$A$312</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3" t="s">
        <v>13</v>
      </c>
      <c r="D1" s="1353"/>
      <c r="E1" s="1353"/>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42" t="s">
        <v>1559</v>
      </c>
      <c r="B11" s="1242"/>
      <c r="C11" s="1242"/>
      <c r="D11" s="1242"/>
      <c r="E11" s="1242"/>
      <c r="F11" s="1242"/>
      <c r="G11" s="1242"/>
      <c r="H11" s="1242"/>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zoomScaleNormal="100" workbookViewId="0">
      <selection activeCell="C20" sqref="C20"/>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072" t="s">
        <v>2143</v>
      </c>
      <c r="L1" s="1073"/>
      <c r="M1" s="1073"/>
      <c r="N1" s="1074"/>
    </row>
    <row r="2" spans="1:14" ht="13.5" thickBot="1" x14ac:dyDescent="0.25">
      <c r="B2" s="536" t="s">
        <v>2187</v>
      </c>
      <c r="C2" s="1129" t="s">
        <v>1859</v>
      </c>
      <c r="D2" s="1130"/>
      <c r="E2"/>
      <c r="K2" s="616"/>
      <c r="L2" s="1075" t="s">
        <v>2311</v>
      </c>
      <c r="M2" s="1075"/>
      <c r="N2" s="1076"/>
    </row>
    <row r="3" spans="1:14" ht="13.5" thickTop="1" x14ac:dyDescent="0.2">
      <c r="B3" s="534" t="s">
        <v>113</v>
      </c>
      <c r="C3" s="531" t="s">
        <v>101</v>
      </c>
      <c r="D3"/>
      <c r="E3"/>
      <c r="K3" s="529"/>
      <c r="L3" s="1075" t="s">
        <v>2312</v>
      </c>
      <c r="M3" s="1075"/>
      <c r="N3" s="1076"/>
    </row>
    <row r="4" spans="1:14" x14ac:dyDescent="0.2">
      <c r="B4" s="532" t="s">
        <v>1096</v>
      </c>
      <c r="C4" s="725" t="str">
        <f>IF($C$2="US Customary","°F", IF($C$2="Metric","°C",))</f>
        <v>°F</v>
      </c>
      <c r="F4" s="1089" t="s">
        <v>2315</v>
      </c>
      <c r="G4" s="1090"/>
      <c r="H4" s="1091"/>
      <c r="I4" s="19"/>
      <c r="K4" s="530"/>
      <c r="L4" s="1075" t="s">
        <v>2313</v>
      </c>
      <c r="M4" s="1075"/>
      <c r="N4" s="1076"/>
    </row>
    <row r="5" spans="1:14" x14ac:dyDescent="0.2">
      <c r="B5" s="532" t="s">
        <v>1097</v>
      </c>
      <c r="C5" s="726" t="str">
        <f>IF($C$2="US Customary","qt", IF($C$2="Metric","Liters",))</f>
        <v>qt</v>
      </c>
      <c r="F5" s="1041" t="s">
        <v>2314</v>
      </c>
      <c r="G5" s="1042"/>
      <c r="H5" s="1043"/>
      <c r="I5" s="46"/>
      <c r="K5" s="728"/>
      <c r="L5" s="1075" t="s">
        <v>2241</v>
      </c>
      <c r="M5" s="1075"/>
      <c r="N5" s="1076"/>
    </row>
    <row r="6" spans="1:14" x14ac:dyDescent="0.2">
      <c r="B6" s="532" t="s">
        <v>1098</v>
      </c>
      <c r="C6" s="726" t="str">
        <f>IF($C$2="US Customary","lb", IF($C$2="Metric","kg",))</f>
        <v>lb</v>
      </c>
      <c r="K6" s="538"/>
      <c r="L6" s="1075" t="s">
        <v>2289</v>
      </c>
      <c r="M6" s="1075"/>
      <c r="N6" s="1076"/>
    </row>
    <row r="7" spans="1:14" x14ac:dyDescent="0.2">
      <c r="B7" s="532" t="s">
        <v>1099</v>
      </c>
      <c r="C7" s="726" t="str">
        <f>IF($C$2="US Customary","oz", IF($C$2="Metric","grams",))</f>
        <v>oz</v>
      </c>
      <c r="K7" s="539"/>
      <c r="L7" s="1075" t="s">
        <v>2290</v>
      </c>
      <c r="M7" s="1075"/>
      <c r="N7" s="1076"/>
    </row>
    <row r="8" spans="1:14" ht="13.5" thickBot="1" x14ac:dyDescent="0.25">
      <c r="B8" s="533" t="s">
        <v>1519</v>
      </c>
      <c r="C8" s="727" t="str">
        <f>IF($C$2="US Customary","PSI", IF($C$2="Metric","kPa",))</f>
        <v>PSI</v>
      </c>
      <c r="K8" s="537"/>
      <c r="L8" s="1077" t="s">
        <v>2288</v>
      </c>
      <c r="M8" s="1077"/>
      <c r="N8" s="1078"/>
    </row>
    <row r="9" spans="1:14" ht="14.25" thickTop="1" thickBot="1" x14ac:dyDescent="0.25">
      <c r="B9" s="28"/>
      <c r="C9"/>
    </row>
    <row r="10" spans="1:14" ht="14.25" thickTop="1" thickBot="1" x14ac:dyDescent="0.25">
      <c r="A10" s="1140" t="s">
        <v>2232</v>
      </c>
      <c r="B10" s="1141"/>
      <c r="C10" s="1141"/>
      <c r="D10" s="1141"/>
      <c r="E10" s="1141"/>
      <c r="F10" s="1141"/>
      <c r="G10" s="1141"/>
      <c r="H10" s="1141"/>
      <c r="I10" s="1142"/>
    </row>
    <row r="11" spans="1:14" ht="14.25" thickTop="1" thickBot="1" x14ac:dyDescent="0.25">
      <c r="A11" s="1131" t="s">
        <v>2226</v>
      </c>
      <c r="B11" s="1132"/>
      <c r="C11" s="1143" t="s">
        <v>2237</v>
      </c>
      <c r="D11" s="1144"/>
      <c r="E11" s="1144"/>
      <c r="F11" s="1144"/>
      <c r="G11" s="1144"/>
      <c r="H11" s="1144"/>
      <c r="I11" s="1145"/>
      <c r="K11" s="1052" t="s">
        <v>1221</v>
      </c>
      <c r="L11" s="1053"/>
      <c r="M11" s="1054"/>
    </row>
    <row r="12" spans="1:14" ht="13.5" thickBot="1" x14ac:dyDescent="0.25">
      <c r="A12" s="1135" t="s">
        <v>2227</v>
      </c>
      <c r="B12" s="1136"/>
      <c r="C12" s="1146" t="s">
        <v>2163</v>
      </c>
      <c r="D12" s="1147"/>
      <c r="E12" s="1147"/>
      <c r="F12" s="1147"/>
      <c r="G12" s="1147"/>
      <c r="H12" s="1147"/>
      <c r="I12" s="1148"/>
      <c r="K12" s="1055" t="s">
        <v>1222</v>
      </c>
      <c r="L12" s="1056"/>
      <c r="M12" s="515" t="str">
        <f>IF(AND($C$90&lt;=$C$40*$C$41,$N$31&lt;$O$24),"PASS","FAIL")</f>
        <v>PASS</v>
      </c>
    </row>
    <row r="13" spans="1:14" ht="13.5" thickBot="1" x14ac:dyDescent="0.25">
      <c r="A13" s="1135" t="s">
        <v>2228</v>
      </c>
      <c r="B13" s="1136"/>
      <c r="C13" s="1149" t="s">
        <v>2395</v>
      </c>
      <c r="D13" s="1150"/>
      <c r="E13" s="1150"/>
      <c r="F13" s="1150"/>
      <c r="G13" s="1150"/>
      <c r="H13" s="1150"/>
      <c r="I13" s="1151"/>
      <c r="K13" s="1055" t="s">
        <v>1223</v>
      </c>
      <c r="L13" s="1056"/>
      <c r="M13" s="515" t="str">
        <f>IF(C78&lt;=(C47*C48),"PASS","FAIL")</f>
        <v>PASS</v>
      </c>
    </row>
    <row r="14" spans="1:14" ht="13.5" thickBot="1" x14ac:dyDescent="0.25">
      <c r="A14" s="1133" t="s">
        <v>2229</v>
      </c>
      <c r="B14" s="1134"/>
      <c r="C14" s="1152" t="s">
        <v>2387</v>
      </c>
      <c r="D14" s="1153"/>
      <c r="E14" s="1153"/>
      <c r="F14" s="1153"/>
      <c r="G14" s="1153"/>
      <c r="H14" s="1153"/>
      <c r="I14" s="1154"/>
      <c r="K14" s="1050" t="s">
        <v>2168</v>
      </c>
      <c r="L14" s="1051"/>
      <c r="M14" s="516" t="str">
        <f>IF(C70&lt;=(C53*C54),"PASS","FAIL")</f>
        <v>PASS</v>
      </c>
    </row>
    <row r="15" spans="1:14" ht="14.25" thickTop="1" thickBot="1" x14ac:dyDescent="0.25">
      <c r="A15" s="4"/>
      <c r="B15" s="4"/>
      <c r="C15"/>
    </row>
    <row r="16" spans="1:14" ht="13.5" thickTop="1" x14ac:dyDescent="0.2">
      <c r="A16" s="1137" t="s">
        <v>1095</v>
      </c>
      <c r="B16" s="1138"/>
      <c r="C16" s="1138"/>
      <c r="D16" s="1138"/>
      <c r="E16" s="1138"/>
      <c r="F16" s="1139"/>
    </row>
    <row r="17" spans="1:16" ht="13.5" thickBot="1" x14ac:dyDescent="0.25">
      <c r="A17" s="1124" t="s">
        <v>1224</v>
      </c>
      <c r="B17" s="1125"/>
      <c r="C17" s="451" t="s">
        <v>101</v>
      </c>
      <c r="D17" s="451" t="s">
        <v>100</v>
      </c>
      <c r="E17" s="451" t="s">
        <v>101</v>
      </c>
      <c r="F17" s="452" t="s">
        <v>100</v>
      </c>
    </row>
    <row r="18" spans="1:16" ht="14.25" thickTop="1" thickBot="1" x14ac:dyDescent="0.25">
      <c r="A18" s="1155" t="s">
        <v>2175</v>
      </c>
      <c r="B18" s="1156"/>
      <c r="C18" s="596">
        <v>40</v>
      </c>
      <c r="D18" s="729" t="str">
        <f>$C$5</f>
        <v>qt</v>
      </c>
      <c r="E18" s="735">
        <f>IF($C$2="US Customary",C18/4,"")</f>
        <v>10</v>
      </c>
      <c r="F18" s="734" t="str">
        <f>IF($C$2="US Customary","US Gal","")</f>
        <v>US Gal</v>
      </c>
    </row>
    <row r="19" spans="1:16" ht="13.5" thickTop="1" x14ac:dyDescent="0.2">
      <c r="A19" s="1126" t="s">
        <v>2205</v>
      </c>
      <c r="B19" s="455" t="s">
        <v>2201</v>
      </c>
      <c r="C19" s="597">
        <v>68</v>
      </c>
      <c r="D19" s="730" t="str">
        <f>'Brewhouse Setup &amp; Calcs'!$C$4</f>
        <v>°F</v>
      </c>
      <c r="E19" s="1062"/>
      <c r="F19" s="1063"/>
    </row>
    <row r="20" spans="1:16" x14ac:dyDescent="0.2">
      <c r="A20" s="1127"/>
      <c r="B20" s="457" t="s">
        <v>2206</v>
      </c>
      <c r="C20" s="598">
        <v>68</v>
      </c>
      <c r="D20" s="731" t="str">
        <f>'Brewhouse Setup &amp; Calcs'!$C$4</f>
        <v>°F</v>
      </c>
      <c r="E20" s="1064"/>
      <c r="F20" s="1065"/>
    </row>
    <row r="21" spans="1:16" x14ac:dyDescent="0.2">
      <c r="A21" s="1127"/>
      <c r="B21" s="457" t="s">
        <v>2178</v>
      </c>
      <c r="C21" s="599">
        <v>210.5</v>
      </c>
      <c r="D21" s="731" t="str">
        <f>$C$4</f>
        <v>°F</v>
      </c>
      <c r="E21" s="1064"/>
      <c r="F21" s="1065"/>
      <c r="I21" s="1061" t="s">
        <v>2373</v>
      </c>
      <c r="J21" s="1061"/>
      <c r="K21" s="1061"/>
      <c r="L21" s="1061"/>
      <c r="M21" s="1061"/>
      <c r="N21" s="1061"/>
      <c r="O21" s="1061"/>
    </row>
    <row r="22" spans="1:16" ht="13.5" thickBot="1" x14ac:dyDescent="0.25">
      <c r="A22" s="1127"/>
      <c r="B22" s="468" t="s">
        <v>2176</v>
      </c>
      <c r="C22" s="600">
        <v>70</v>
      </c>
      <c r="D22" s="732" t="str">
        <f>'Brewhouse Setup &amp; Calcs'!$C$4</f>
        <v>°F</v>
      </c>
      <c r="E22" s="1066"/>
      <c r="F22" s="1067"/>
    </row>
    <row r="23" spans="1:16" ht="14.25" thickTop="1" thickBot="1" x14ac:dyDescent="0.25">
      <c r="A23" s="1126" t="s">
        <v>1792</v>
      </c>
      <c r="B23" s="584" t="s">
        <v>2368</v>
      </c>
      <c r="C23" s="601">
        <v>1.5</v>
      </c>
      <c r="D23" s="730" t="str">
        <f>IF($C$2="Metric","L/kg","qt/lb")</f>
        <v>qt/lb</v>
      </c>
      <c r="E23" s="737">
        <f>IF($C$2="US Customary",C23/4,"")</f>
        <v>0.375</v>
      </c>
      <c r="F23" s="736" t="str">
        <f>IF($C$2="US Customary","USGal/lb","")</f>
        <v>USGal/lb</v>
      </c>
      <c r="G23" s="544"/>
      <c r="H23" s="1048" t="s">
        <v>2296</v>
      </c>
      <c r="I23" s="1048"/>
      <c r="J23" s="1048"/>
      <c r="K23" s="1048"/>
      <c r="L23" s="1049"/>
      <c r="M23" s="1037" t="s">
        <v>2379</v>
      </c>
      <c r="N23" s="1038"/>
      <c r="O23" s="562" t="s">
        <v>2282</v>
      </c>
      <c r="P23" s="1035" t="s">
        <v>2318</v>
      </c>
    </row>
    <row r="24" spans="1:16" ht="13.5" thickTop="1" x14ac:dyDescent="0.2">
      <c r="A24" s="1127"/>
      <c r="B24" s="457" t="s">
        <v>2240</v>
      </c>
      <c r="C24" s="738">
        <f>I31</f>
        <v>168</v>
      </c>
      <c r="D24" s="733" t="str">
        <f>'Brewhouse Setup &amp; Calcs'!$C$4</f>
        <v>°F</v>
      </c>
      <c r="E24" s="1079"/>
      <c r="F24" s="1080"/>
      <c r="H24" s="479" t="s">
        <v>2224</v>
      </c>
      <c r="I24" s="451" t="s">
        <v>2225</v>
      </c>
      <c r="J24" s="451" t="s">
        <v>2177</v>
      </c>
      <c r="K24" s="1094" t="s">
        <v>2245</v>
      </c>
      <c r="L24" s="1095"/>
      <c r="M24" s="1039"/>
      <c r="N24" s="1040"/>
      <c r="O24" s="754">
        <f>C40*C41-C83</f>
        <v>46.5</v>
      </c>
      <c r="P24" s="1036"/>
    </row>
    <row r="25" spans="1:16" ht="13.5" thickBot="1" x14ac:dyDescent="0.25">
      <c r="A25" s="1127"/>
      <c r="B25" s="469" t="s">
        <v>2177</v>
      </c>
      <c r="C25" s="739">
        <f>J31</f>
        <v>75</v>
      </c>
      <c r="D25" s="732" t="s">
        <v>1110</v>
      </c>
      <c r="E25" s="1064"/>
      <c r="F25" s="1065"/>
      <c r="H25" s="744" t="str">
        <f>$C$4</f>
        <v>°F</v>
      </c>
      <c r="I25" s="745" t="str">
        <f>$C$4</f>
        <v>°F</v>
      </c>
      <c r="J25" s="443" t="s">
        <v>1110</v>
      </c>
      <c r="K25" s="746" t="str">
        <f>$C$4</f>
        <v>°F</v>
      </c>
      <c r="L25" s="747" t="str">
        <f>$C$5</f>
        <v>qt</v>
      </c>
      <c r="M25" s="748" t="str">
        <f>$C$4</f>
        <v>°F</v>
      </c>
      <c r="N25" s="749" t="str">
        <f>$C$5</f>
        <v>qt</v>
      </c>
      <c r="O25" s="755" t="str">
        <f>$C$5</f>
        <v>qt</v>
      </c>
      <c r="P25" s="1036"/>
    </row>
    <row r="26" spans="1:16" ht="14.25" thickTop="1" thickBot="1" x14ac:dyDescent="0.25">
      <c r="A26" s="1127"/>
      <c r="B26" s="469" t="s">
        <v>2212</v>
      </c>
      <c r="C26" s="1157" t="s">
        <v>2213</v>
      </c>
      <c r="D26" s="1130"/>
      <c r="E26" s="1081"/>
      <c r="F26" s="1065"/>
      <c r="H26" s="517">
        <f>C22</f>
        <v>70</v>
      </c>
      <c r="I26" s="615">
        <v>122</v>
      </c>
      <c r="J26" s="615">
        <v>20</v>
      </c>
      <c r="K26" s="750">
        <f>IF(OR(ISBLANK(I26),ISBLANK(J26)),0,ROUND(IF($C$2="US Customary",0.2,0.41)/(IF(AND($C$44="No Sparge",$N$38="1 Vessel"),$C$88/$C$82,$C$23))*(I26-H26)+I26,1))</f>
        <v>128.9</v>
      </c>
      <c r="L26" s="751">
        <f>N26+N26*(K26-M26)*($C$59*AVERAGE(K26,M26)+$E$59)</f>
        <v>35.594100945000001</v>
      </c>
      <c r="M26" s="752">
        <f>$I$31</f>
        <v>168</v>
      </c>
      <c r="N26" s="753">
        <f>IF(OR(ISBLANK(I26),ISBLANK(J26)),0,IF(AND($C$44="No Sparge",VLOOKUP($C$11,'Equipment Profiles'!$A$6:$O$25,9,FALSE)="1 Vessel"),$C$88,$C$23*$C$82))</f>
        <v>36</v>
      </c>
      <c r="O26" s="563">
        <f>$O$24-N26</f>
        <v>10.5</v>
      </c>
      <c r="P26" s="762">
        <f>L26/$C$82</f>
        <v>1.483087539375</v>
      </c>
    </row>
    <row r="27" spans="1:16" ht="13.5" thickBot="1" x14ac:dyDescent="0.25">
      <c r="A27" s="1128"/>
      <c r="B27" s="542" t="s">
        <v>2214</v>
      </c>
      <c r="C27" s="543">
        <f>VLOOKUP($C$11,'Equipment Profiles'!$A$6:$G$25,IF($C$26="OFF",6,7),FALSE)</f>
        <v>0.8</v>
      </c>
      <c r="D27" s="740" t="str">
        <f>IF($C$2="Metric","L/hr","qt/hr")</f>
        <v>qt/hr</v>
      </c>
      <c r="E27" s="1066"/>
      <c r="F27" s="1067"/>
      <c r="H27" s="606"/>
      <c r="I27" s="607">
        <v>144</v>
      </c>
      <c r="J27" s="607">
        <v>30</v>
      </c>
      <c r="K27" s="608"/>
      <c r="L27" s="756">
        <f>IF(OR(ISBLANK(H27),ISBLANK(I27),ISBLANK(J27),ISBLANK(K27)),,(I27-H27)*(IF($C$2="US Customary",0.2,0.41)*$C$82+L26)/(K27-I27))</f>
        <v>0</v>
      </c>
      <c r="M27" s="752">
        <f t="shared" ref="M27:M30" si="0">$I$31</f>
        <v>168</v>
      </c>
      <c r="N27" s="753">
        <f t="shared" ref="N27:N30" si="1">L27+L27*(I27-K27)*($C$59*AVERAGE(I27,L27)+$E$59)</f>
        <v>0</v>
      </c>
      <c r="O27" s="563">
        <f>$O$24-SUM(N26:N27)</f>
        <v>10.5</v>
      </c>
      <c r="P27" s="762">
        <f>SUM($L$26:L27)/$C$82</f>
        <v>1.483087539375</v>
      </c>
    </row>
    <row r="28" spans="1:16" ht="13.5" thickTop="1" x14ac:dyDescent="0.2">
      <c r="A28" s="1120" t="s">
        <v>2179</v>
      </c>
      <c r="B28" s="455" t="s">
        <v>2177</v>
      </c>
      <c r="C28" s="602">
        <v>75</v>
      </c>
      <c r="D28" s="730" t="s">
        <v>1110</v>
      </c>
      <c r="E28" s="1107"/>
      <c r="F28" s="1108"/>
      <c r="H28" s="606"/>
      <c r="I28" s="607">
        <v>158</v>
      </c>
      <c r="J28" s="607">
        <v>15</v>
      </c>
      <c r="K28" s="608"/>
      <c r="L28" s="756">
        <f>IF(OR(ISBLANK(H28),ISBLANK(I28),ISBLANK(J28),ISBLANK(K28)),,(I28-H28)*(IF($C$2="US Customary",0.2,0.41)*$C$82+L27)/(K28-I28))</f>
        <v>0</v>
      </c>
      <c r="M28" s="752">
        <f t="shared" si="0"/>
        <v>168</v>
      </c>
      <c r="N28" s="753">
        <f t="shared" si="1"/>
        <v>0</v>
      </c>
      <c r="O28" s="563">
        <f>$O$24-SUM(N26:N28)</f>
        <v>10.5</v>
      </c>
      <c r="P28" s="762">
        <f>SUM($L$26:L28)/$C$82</f>
        <v>1.483087539375</v>
      </c>
    </row>
    <row r="29" spans="1:16" ht="13.5" thickBot="1" x14ac:dyDescent="0.25">
      <c r="A29" s="1069"/>
      <c r="B29" s="468" t="s">
        <v>1660</v>
      </c>
      <c r="C29" s="603">
        <v>0.3</v>
      </c>
      <c r="D29" s="732" t="str">
        <f>IF($C$2="Metric","L/g","qt/oz")</f>
        <v>qt/oz</v>
      </c>
      <c r="E29" s="741">
        <f>IF($C$2="US Customary",C29/4*16,"")</f>
        <v>1.2</v>
      </c>
      <c r="F29" s="742" t="str">
        <f>IF($C$2="US Customary","USGal/lb","")</f>
        <v>USGal/lb</v>
      </c>
      <c r="H29" s="609"/>
      <c r="I29" s="610">
        <v>168</v>
      </c>
      <c r="J29" s="610">
        <v>10</v>
      </c>
      <c r="K29" s="611"/>
      <c r="L29" s="756">
        <f>IF(OR(ISBLANK(H29),ISBLANK(I29),ISBLANK(J29),ISBLANK(K29)),,(I29-H29)*(IF($C$2="US Customary",0.2,0.41)*$C$82+L28)/(K29-I29))</f>
        <v>0</v>
      </c>
      <c r="M29" s="752">
        <f t="shared" si="0"/>
        <v>168</v>
      </c>
      <c r="N29" s="753">
        <f t="shared" si="1"/>
        <v>0</v>
      </c>
      <c r="O29" s="563">
        <f>$O$24-SUM(N26:N29)</f>
        <v>10.5</v>
      </c>
      <c r="P29" s="762">
        <f>SUM($L$26:L29)/$C$82</f>
        <v>1.483087539375</v>
      </c>
    </row>
    <row r="30" spans="1:16" ht="14.25" customHeight="1" thickTop="1" thickBot="1" x14ac:dyDescent="0.25">
      <c r="A30" s="1120" t="s">
        <v>2199</v>
      </c>
      <c r="B30" s="482" t="s">
        <v>2207</v>
      </c>
      <c r="C30" s="1118" t="s">
        <v>2316</v>
      </c>
      <c r="D30" s="1119"/>
      <c r="E30" s="1057"/>
      <c r="F30" s="1058"/>
      <c r="H30" s="612"/>
      <c r="I30" s="613"/>
      <c r="J30" s="613"/>
      <c r="K30" s="614"/>
      <c r="L30" s="757">
        <f>IF(OR(ISBLANK(H30),ISBLANK(I30),ISBLANK(J30),ISBLANK(K30)),,(I30-H30)*(IF($C$2="US Customary",0.2,0.41)*$C$82+L29)/(K30-I30))</f>
        <v>0</v>
      </c>
      <c r="M30" s="758">
        <f t="shared" si="0"/>
        <v>168</v>
      </c>
      <c r="N30" s="759">
        <f t="shared" si="1"/>
        <v>0</v>
      </c>
      <c r="O30" s="564">
        <f>$O$24-SUM(N26:N30)</f>
        <v>10.5</v>
      </c>
      <c r="P30" s="763">
        <f>SUM($L$26:L30)/$C$82</f>
        <v>1.483087539375</v>
      </c>
    </row>
    <row r="31" spans="1:16" ht="14.25" thickTop="1" thickBot="1" x14ac:dyDescent="0.25">
      <c r="A31" s="1121"/>
      <c r="B31" s="456" t="s">
        <v>2208</v>
      </c>
      <c r="C31" s="604">
        <v>75</v>
      </c>
      <c r="D31" s="743" t="str">
        <f>$C$4</f>
        <v>°F</v>
      </c>
      <c r="E31" s="1059"/>
      <c r="F31" s="1060"/>
      <c r="I31" s="764">
        <f>MAX(I26:I30)</f>
        <v>168</v>
      </c>
      <c r="J31" s="765">
        <f>SUM(J26:J30)</f>
        <v>75</v>
      </c>
      <c r="L31" s="23"/>
      <c r="N31" s="760">
        <f>ROUND(SUM(N26:N30),1)</f>
        <v>36</v>
      </c>
    </row>
    <row r="32" spans="1:16" ht="14.25" thickTop="1" thickBot="1" x14ac:dyDescent="0.25">
      <c r="A32" s="178"/>
      <c r="B32" s="178"/>
      <c r="C32" s="472"/>
      <c r="D32" s="178"/>
      <c r="E32" s="470"/>
      <c r="F32" s="470"/>
      <c r="N32" s="1044" t="s">
        <v>2198</v>
      </c>
    </row>
    <row r="33" spans="1:14" ht="14.25" thickTop="1" thickBot="1" x14ac:dyDescent="0.25">
      <c r="A33" s="1113" t="s">
        <v>2230</v>
      </c>
      <c r="B33" s="1114"/>
      <c r="C33" s="1114"/>
      <c r="D33" s="1115"/>
      <c r="E33" s="470"/>
      <c r="F33" s="470"/>
      <c r="N33" s="1045"/>
    </row>
    <row r="34" spans="1:14" x14ac:dyDescent="0.2">
      <c r="A34" s="1127" t="s">
        <v>1658</v>
      </c>
      <c r="B34" s="473" t="s">
        <v>2184</v>
      </c>
      <c r="C34" s="540">
        <f>IF(ISBLANK($C$14),"",VLOOKUP($C$14,'Equipment Profiles'!AA6:AC25,2,FALSE))</f>
        <v>0</v>
      </c>
      <c r="D34" s="766" t="str">
        <f>$C$4</f>
        <v>°F</v>
      </c>
      <c r="E34" s="470"/>
      <c r="F34" s="470"/>
      <c r="N34" s="761">
        <f>$C$88-$N$31</f>
        <v>27.038995667985311</v>
      </c>
    </row>
    <row r="35" spans="1:14" ht="13.5" thickBot="1" x14ac:dyDescent="0.25">
      <c r="A35" s="1127"/>
      <c r="B35" s="468" t="s">
        <v>2185</v>
      </c>
      <c r="C35" s="474">
        <f>IF(ISBLANK($C$14),"",VLOOKUP($C$14,'Equipment Profiles'!AA6:AC25,3,FALSE))</f>
        <v>0</v>
      </c>
      <c r="D35" s="475"/>
      <c r="E35" s="470"/>
      <c r="F35" s="470"/>
      <c r="N35" s="1046" t="s">
        <v>1692</v>
      </c>
    </row>
    <row r="36" spans="1:14" ht="14.25" thickTop="1" thickBot="1" x14ac:dyDescent="0.25">
      <c r="A36" s="1109" t="s">
        <v>2197</v>
      </c>
      <c r="B36" s="1110"/>
      <c r="C36" s="605">
        <v>1.04</v>
      </c>
      <c r="D36" s="476"/>
      <c r="E36" s="470"/>
      <c r="F36" s="470"/>
      <c r="N36" s="1047"/>
    </row>
    <row r="37" spans="1:14" ht="14.25" thickTop="1" thickBot="1" x14ac:dyDescent="0.25">
      <c r="E37" s="470"/>
      <c r="F37" s="470"/>
      <c r="N37" s="23"/>
    </row>
    <row r="38" spans="1:14" ht="13.5" thickTop="1" x14ac:dyDescent="0.2">
      <c r="A38" s="1137" t="s">
        <v>1225</v>
      </c>
      <c r="B38" s="1138"/>
      <c r="C38" s="1138"/>
      <c r="D38" s="1138"/>
      <c r="E38" s="1138"/>
      <c r="F38" s="1139"/>
    </row>
    <row r="39" spans="1:14" ht="13.5" thickBot="1" x14ac:dyDescent="0.25">
      <c r="A39" s="1124" t="s">
        <v>1224</v>
      </c>
      <c r="B39" s="1125"/>
      <c r="C39" s="443" t="s">
        <v>101</v>
      </c>
      <c r="D39" s="443" t="s">
        <v>100</v>
      </c>
      <c r="E39" s="443" t="s">
        <v>101</v>
      </c>
      <c r="F39" s="453" t="s">
        <v>100</v>
      </c>
    </row>
    <row r="40" spans="1:14" ht="13.5" thickTop="1" x14ac:dyDescent="0.2">
      <c r="A40" s="1116" t="s">
        <v>2183</v>
      </c>
      <c r="B40" s="450" t="s">
        <v>2174</v>
      </c>
      <c r="C40" s="441">
        <f>IF(ISBLANK($C$11),"",VLOOKUP($C$11,'Equipment Profiles'!A6:O25,2,FALSE))</f>
        <v>60</v>
      </c>
      <c r="D40" s="767" t="str">
        <f>$C$5</f>
        <v>qt</v>
      </c>
      <c r="E40" s="770">
        <f>IF($C$2="US Customary",C40/4,"")</f>
        <v>15</v>
      </c>
      <c r="F40" s="771" t="str">
        <f>IF($C$2="US Customary","US Gal","")</f>
        <v>US Gal</v>
      </c>
    </row>
    <row r="41" spans="1:14" ht="12.75" customHeight="1" x14ac:dyDescent="0.2">
      <c r="A41" s="1117"/>
      <c r="B41" s="450" t="s">
        <v>2156</v>
      </c>
      <c r="C41" s="436">
        <f>IF(ISBLANK($C$11),"",VLOOKUP($C$11,'Equipment Profiles'!A6:O25,3,FALSE))</f>
        <v>0.9</v>
      </c>
      <c r="D41" s="768" t="s">
        <v>102</v>
      </c>
      <c r="E41" s="1178"/>
      <c r="F41" s="1179"/>
    </row>
    <row r="42" spans="1:14" x14ac:dyDescent="0.2">
      <c r="A42" s="1117"/>
      <c r="B42" s="50" t="s">
        <v>2169</v>
      </c>
      <c r="C42" s="437">
        <f>IF(ISBLANK($C$11),"",VLOOKUP($C$11,'Equipment Profiles'!A6:O25,4,FALSE))</f>
        <v>0.5</v>
      </c>
      <c r="D42" s="768" t="str">
        <f t="shared" ref="D42:D55" si="2">$C$5</f>
        <v>qt</v>
      </c>
      <c r="E42" s="773">
        <f>IF($C$2="US Customary",C42/4,"")</f>
        <v>0.125</v>
      </c>
      <c r="F42" s="772" t="str">
        <f>IF($C$2="US Customary","US Gal","")</f>
        <v>US Gal</v>
      </c>
    </row>
    <row r="43" spans="1:14" x14ac:dyDescent="0.2">
      <c r="A43" s="1117"/>
      <c r="B43" s="50" t="s">
        <v>1671</v>
      </c>
      <c r="C43" s="442">
        <f>IF(ISBLANK($C$11),"",VLOOKUP($C$11,'Equipment Profiles'!A6:O25,5,FALSE))</f>
        <v>0.38</v>
      </c>
      <c r="D43" s="769" t="str">
        <f>IF($C$2="Metric","L/kg","qt/lb")</f>
        <v>qt/lb</v>
      </c>
      <c r="E43" s="773">
        <f>IF($C$2="US Customary",C43/4,"")</f>
        <v>9.5000000000000001E-2</v>
      </c>
      <c r="F43" s="772" t="str">
        <f>IF($C$2="US Customary","USGal/lb","")</f>
        <v>USGal/lb</v>
      </c>
    </row>
    <row r="44" spans="1:14" x14ac:dyDescent="0.2">
      <c r="A44" s="1117"/>
      <c r="B44" s="450" t="s">
        <v>1860</v>
      </c>
      <c r="C44" s="1122" t="str">
        <f>IF(ISBLANK($C$11),"",VLOOKUP($C$11,'Equipment Profiles'!A6:O25,10,FALSE))</f>
        <v>No Sparge</v>
      </c>
      <c r="D44" s="1123"/>
      <c r="E44" s="1186"/>
      <c r="F44" s="1187"/>
    </row>
    <row r="45" spans="1:14" ht="12.6" customHeight="1" x14ac:dyDescent="0.2">
      <c r="A45" s="1117"/>
      <c r="B45" s="448" t="str">
        <f>IF(C44="Fly Sparge","Fly Sparge Flow Rate","-")</f>
        <v>-</v>
      </c>
      <c r="C45" s="447">
        <f>IF(ISBLANK($C$11),"",VLOOKUP($C$11,'Equipment Profiles'!A6:O25,11,FALSE))</f>
        <v>0</v>
      </c>
      <c r="D45" s="774" t="str">
        <f>CONCATENATE($C$5,"/min")</f>
        <v>qt/min</v>
      </c>
      <c r="E45" s="1188"/>
      <c r="F45" s="1189"/>
    </row>
    <row r="46" spans="1:14" ht="12.6" customHeight="1" thickBot="1" x14ac:dyDescent="0.25">
      <c r="A46" s="1117"/>
      <c r="B46" s="466" t="s">
        <v>96</v>
      </c>
      <c r="C46" s="444">
        <f>IF(ISBLANK($C$11),"",VLOOKUP($C$11,'Equipment Profiles'!A6:O25,8,FALSE))</f>
        <v>0.7</v>
      </c>
      <c r="D46" s="775" t="s">
        <v>102</v>
      </c>
      <c r="E46" s="1190"/>
      <c r="F46" s="1191"/>
    </row>
    <row r="47" spans="1:14" ht="13.5" thickTop="1" x14ac:dyDescent="0.2">
      <c r="A47" s="1126" t="s">
        <v>1223</v>
      </c>
      <c r="B47" s="494" t="s">
        <v>2174</v>
      </c>
      <c r="C47" s="495">
        <f>IF(ISBLANK($C$11),"",VLOOKUP($C$11,'Equipment Profiles'!A6:O25,12,FALSE))</f>
        <v>80</v>
      </c>
      <c r="D47" s="776" t="str">
        <f>$C$5</f>
        <v>qt</v>
      </c>
      <c r="E47" s="776">
        <f>IF($C$2="US Customary",C47/4,"")</f>
        <v>20</v>
      </c>
      <c r="F47" s="777" t="str">
        <f>IF($C$2="US Customary","US Gal","")</f>
        <v>US Gal</v>
      </c>
    </row>
    <row r="48" spans="1:14" x14ac:dyDescent="0.2">
      <c r="A48" s="1127"/>
      <c r="B48" s="50" t="s">
        <v>2156</v>
      </c>
      <c r="C48" s="436">
        <f>IF(ISBLANK($C$11),"",VLOOKUP($C$11,'Equipment Profiles'!A6:O25,13,FALSE))</f>
        <v>0.85</v>
      </c>
      <c r="D48" s="768" t="s">
        <v>102</v>
      </c>
      <c r="E48" s="1178"/>
      <c r="F48" s="1179"/>
    </row>
    <row r="49" spans="1:10" x14ac:dyDescent="0.2">
      <c r="A49" s="1127"/>
      <c r="B49" s="50" t="s">
        <v>2169</v>
      </c>
      <c r="C49" s="446">
        <f>IF(ISBLANK($C$11),"",VLOOKUP($C$11,'Equipment Profiles'!A6:O25,14,FALSE))</f>
        <v>1.5</v>
      </c>
      <c r="D49" s="774" t="str">
        <f t="shared" si="2"/>
        <v>qt</v>
      </c>
      <c r="E49" s="773">
        <f>IF($C$2="US Customary",C49/4,"")</f>
        <v>0.375</v>
      </c>
      <c r="F49" s="772" t="str">
        <f>IF($C$2="US Customary","US Gal","")</f>
        <v>US Gal</v>
      </c>
    </row>
    <row r="50" spans="1:10" ht="13.5" thickBot="1" x14ac:dyDescent="0.25">
      <c r="A50" s="1128"/>
      <c r="B50" s="471" t="s">
        <v>1983</v>
      </c>
      <c r="C50" s="493">
        <f>IF(ISBLANK($C$11),"",VLOOKUP($C$11,'Equipment Profiles'!A6:O25,15,FALSE))</f>
        <v>5.4</v>
      </c>
      <c r="D50" s="775" t="str">
        <f>IF($C$2="Metric","L/hr","qt/hr")</f>
        <v>qt/hr</v>
      </c>
      <c r="E50" s="1180"/>
      <c r="F50" s="1181"/>
    </row>
    <row r="51" spans="1:10" ht="13.5" thickTop="1" x14ac:dyDescent="0.2">
      <c r="A51" s="1176" t="s">
        <v>2160</v>
      </c>
      <c r="B51" s="449" t="s">
        <v>66</v>
      </c>
      <c r="C51" s="1184" t="str">
        <f>IF(ISBLANK($C$12),"",VLOOKUP($C$12,'Equipment Profiles'!R6:T25,2,FALSE))</f>
        <v>Immersion</v>
      </c>
      <c r="D51" s="1185"/>
      <c r="E51" s="1182"/>
      <c r="F51" s="1183"/>
    </row>
    <row r="52" spans="1:10" ht="13.5" thickBot="1" x14ac:dyDescent="0.25">
      <c r="A52" s="1128"/>
      <c r="B52" s="454" t="s">
        <v>2164</v>
      </c>
      <c r="C52" s="502">
        <f>IF(ISBLANK($C$12),"",VLOOKUP($C$12,'Equipment Profiles'!R6:T25,3,FALSE))</f>
        <v>2</v>
      </c>
      <c r="D52" s="778" t="str">
        <f>IF($C$51="Immersion",$C$5,"")</f>
        <v>qt</v>
      </c>
      <c r="E52" s="779">
        <f>IF(AND($C$2="US Customary",C51="Immersion"),C52/4,"")</f>
        <v>0.5</v>
      </c>
      <c r="F52" s="780" t="str">
        <f>IF(AND($C$2="US Customary",C51="Immersion"),"US Gal","")</f>
        <v>US Gal</v>
      </c>
    </row>
    <row r="53" spans="1:10" ht="13.5" thickTop="1" x14ac:dyDescent="0.2">
      <c r="A53" s="1176" t="s">
        <v>2168</v>
      </c>
      <c r="B53" s="448" t="s">
        <v>2174</v>
      </c>
      <c r="C53" s="501">
        <f>IF(ISBLANK($C$13),"",VLOOKUP($C$13,'Equipment Profiles'!V5:Y24,2,FALSE))</f>
        <v>52.8</v>
      </c>
      <c r="D53" s="781" t="str">
        <f t="shared" si="2"/>
        <v>qt</v>
      </c>
      <c r="E53" s="782">
        <f>IF($C$2="US Customary",C53/4,"")</f>
        <v>13.2</v>
      </c>
      <c r="F53" s="783" t="str">
        <f>IF($C$2="US Customary","US Gal","")</f>
        <v>US Gal</v>
      </c>
    </row>
    <row r="54" spans="1:10" x14ac:dyDescent="0.2">
      <c r="A54" s="1127"/>
      <c r="B54" s="448" t="s">
        <v>2156</v>
      </c>
      <c r="C54" s="445">
        <f>IF(ISBLANK($C$13),"",VLOOKUP($C$13,'Equipment Profiles'!V5:Y24,3,FALSE))</f>
        <v>0.85</v>
      </c>
      <c r="D54" s="769" t="s">
        <v>102</v>
      </c>
      <c r="E54" s="1178"/>
      <c r="F54" s="1179"/>
    </row>
    <row r="55" spans="1:10" ht="13.5" thickBot="1" x14ac:dyDescent="0.25">
      <c r="A55" s="1177"/>
      <c r="B55" s="477" t="s">
        <v>2169</v>
      </c>
      <c r="C55" s="478">
        <f>IF(ISBLANK($C$13),"",VLOOKUP($C$13,'Equipment Profiles'!V6:Y25,4,FALSE))</f>
        <v>3</v>
      </c>
      <c r="D55" s="784" t="str">
        <f t="shared" si="2"/>
        <v>qt</v>
      </c>
      <c r="E55" s="785">
        <f>IF($C$2="US Customary",C55/4,"")</f>
        <v>0.75</v>
      </c>
      <c r="F55" s="786" t="str">
        <f>IF($C$2="US Customary","US Gal","")</f>
        <v>US Gal</v>
      </c>
    </row>
    <row r="56" spans="1:10" ht="14.25" thickTop="1" thickBot="1" x14ac:dyDescent="0.25"/>
    <row r="57" spans="1:10" ht="14.25" thickTop="1" thickBot="1" x14ac:dyDescent="0.25">
      <c r="A57" s="1171" t="s">
        <v>2261</v>
      </c>
      <c r="B57" s="1172"/>
      <c r="C57" s="1172"/>
      <c r="D57" s="1172"/>
      <c r="E57" s="1172"/>
      <c r="F57" s="1173"/>
    </row>
    <row r="58" spans="1:10" ht="13.5" thickTop="1" x14ac:dyDescent="0.2">
      <c r="A58" s="1174" t="s">
        <v>2262</v>
      </c>
      <c r="B58" s="500" t="s">
        <v>100</v>
      </c>
      <c r="C58" s="1105" t="s">
        <v>2258</v>
      </c>
      <c r="D58" s="1105"/>
      <c r="E58" s="1105" t="s">
        <v>2193</v>
      </c>
      <c r="F58" s="1106"/>
    </row>
    <row r="59" spans="1:10" ht="12.75" customHeight="1" thickBot="1" x14ac:dyDescent="0.25">
      <c r="A59" s="1175"/>
      <c r="B59" s="787" t="str">
        <f>C2</f>
        <v>US Customary</v>
      </c>
      <c r="C59" s="1163">
        <f>IF($B$59="US Customary",'Thermal Vol Exp Coef'!$E$29,'Thermal Vol Exp Coef'!$E$30)</f>
        <v>2.0499999999999999E-6</v>
      </c>
      <c r="D59" s="1163"/>
      <c r="E59" s="1163">
        <f>IF($B$59="US Customary",'Thermal Vol Exp Coef'!$G$29,'Thermal Vol Exp Coef'!$G$30)</f>
        <v>-1.596E-5</v>
      </c>
      <c r="F59" s="1170"/>
    </row>
    <row r="60" spans="1:10" ht="12.75" customHeight="1" thickTop="1" thickBot="1" x14ac:dyDescent="0.25"/>
    <row r="61" spans="1:10" ht="13.5" thickTop="1" x14ac:dyDescent="0.2">
      <c r="A61" s="1167" t="s">
        <v>2231</v>
      </c>
      <c r="B61" s="1168"/>
      <c r="C61" s="1168"/>
      <c r="D61" s="1168"/>
      <c r="E61" s="1168"/>
      <c r="F61" s="1169"/>
      <c r="J61"/>
    </row>
    <row r="62" spans="1:10" ht="13.5" thickBot="1" x14ac:dyDescent="0.25">
      <c r="A62" s="1102" t="s">
        <v>113</v>
      </c>
      <c r="B62" s="1103"/>
      <c r="C62" s="504" t="s">
        <v>101</v>
      </c>
      <c r="D62" s="504" t="s">
        <v>100</v>
      </c>
      <c r="E62" s="504" t="s">
        <v>101</v>
      </c>
      <c r="F62" s="505" t="s">
        <v>100</v>
      </c>
      <c r="J62"/>
    </row>
    <row r="63" spans="1:10" ht="13.5" thickTop="1" x14ac:dyDescent="0.2">
      <c r="A63" s="1096" t="s">
        <v>2263</v>
      </c>
      <c r="B63" s="1097"/>
      <c r="C63" s="1097"/>
      <c r="D63" s="1097"/>
      <c r="E63" s="1097"/>
      <c r="F63" s="1098"/>
      <c r="J63"/>
    </row>
    <row r="64" spans="1:10" x14ac:dyDescent="0.2">
      <c r="A64" s="810" t="str">
        <f>CONCATENATE("@ ",$C$19," ",$C$4)</f>
        <v>@ 68 °F</v>
      </c>
      <c r="B64" s="473" t="s">
        <v>2264</v>
      </c>
      <c r="C64" s="788">
        <f>$C$18</f>
        <v>40</v>
      </c>
      <c r="D64" s="789" t="str">
        <f t="shared" ref="D64:D79" si="3">$C$5</f>
        <v>qt</v>
      </c>
      <c r="E64" s="790">
        <f t="shared" ref="E64" si="4">IF($C$2="US Customary",C64/4,"")</f>
        <v>10</v>
      </c>
      <c r="F64" s="766" t="str">
        <f t="shared" ref="F64:F80" si="5">IF($C$2="US Customary","US Gal","")</f>
        <v>US Gal</v>
      </c>
      <c r="J64"/>
    </row>
    <row r="65" spans="1:10" x14ac:dyDescent="0.2">
      <c r="A65" s="811" t="str">
        <f>CONCATENATE($C$31," to ",$C$19," ",$C$4)</f>
        <v>75 to 68 °F</v>
      </c>
      <c r="B65" s="503" t="s">
        <v>2209</v>
      </c>
      <c r="C65" s="791">
        <f>C64*(C31-C19)*($C$59*AVERAGE($C$31,$C$19)+$E$59)</f>
        <v>3.6572199999999999E-2</v>
      </c>
      <c r="D65" s="792" t="str">
        <f t="shared" si="3"/>
        <v>qt</v>
      </c>
      <c r="E65" s="793">
        <f t="shared" ref="E65" si="6">IF($C$2="US Customary",C65/4,"")</f>
        <v>9.1430499999999998E-3</v>
      </c>
      <c r="F65" s="794" t="str">
        <f t="shared" si="5"/>
        <v>US Gal</v>
      </c>
      <c r="J65"/>
    </row>
    <row r="66" spans="1:10" ht="13.5" thickBot="1" x14ac:dyDescent="0.25">
      <c r="A66" s="812" t="str">
        <f>CONCATENATE("@ ",C31," ",C4)</f>
        <v>@ 75 °F</v>
      </c>
      <c r="B66" s="496" t="s">
        <v>2265</v>
      </c>
      <c r="C66" s="795">
        <f>C64+C65</f>
        <v>40.036572200000002</v>
      </c>
      <c r="D66" s="796" t="str">
        <f t="shared" si="3"/>
        <v>qt</v>
      </c>
      <c r="E66" s="797">
        <f t="shared" ref="E66" si="7">IF($C$2="US Customary",C66/4,"")</f>
        <v>10.00914305</v>
      </c>
      <c r="F66" s="798" t="str">
        <f t="shared" si="5"/>
        <v>US Gal</v>
      </c>
      <c r="J66"/>
    </row>
    <row r="67" spans="1:10" ht="13.5" thickTop="1" x14ac:dyDescent="0.2">
      <c r="A67" s="1096" t="s">
        <v>2168</v>
      </c>
      <c r="B67" s="1097"/>
      <c r="C67" s="1097"/>
      <c r="D67" s="1097"/>
      <c r="E67" s="1097"/>
      <c r="F67" s="1098"/>
      <c r="J67"/>
    </row>
    <row r="68" spans="1:10" x14ac:dyDescent="0.2">
      <c r="A68" s="1164" t="str">
        <f>CONCATENATE("@ ",C31," ",C4)</f>
        <v>@ 75 °F</v>
      </c>
      <c r="B68" s="457" t="s">
        <v>2200</v>
      </c>
      <c r="C68" s="788">
        <f>$C$55</f>
        <v>3</v>
      </c>
      <c r="D68" s="789" t="str">
        <f t="shared" si="3"/>
        <v>qt</v>
      </c>
      <c r="E68" s="790">
        <f t="shared" ref="E68" si="8">IF($C$2="US Customary",C68/4,"")</f>
        <v>0.75</v>
      </c>
      <c r="F68" s="766" t="str">
        <f t="shared" si="5"/>
        <v>US Gal</v>
      </c>
      <c r="J68"/>
    </row>
    <row r="69" spans="1:10" x14ac:dyDescent="0.2">
      <c r="A69" s="1165"/>
      <c r="B69" s="457" t="s">
        <v>2367</v>
      </c>
      <c r="C69" s="799">
        <f>$C$29*'Hop Calcs'!G20</f>
        <v>0</v>
      </c>
      <c r="D69" s="789" t="str">
        <f t="shared" si="3"/>
        <v>qt</v>
      </c>
      <c r="E69" s="790">
        <f t="shared" ref="E69" si="9">IF($C$2="US Customary",C69/4,"")</f>
        <v>0</v>
      </c>
      <c r="F69" s="766" t="str">
        <f t="shared" si="5"/>
        <v>US Gal</v>
      </c>
      <c r="J69"/>
    </row>
    <row r="70" spans="1:10" ht="13.5" thickBot="1" x14ac:dyDescent="0.25">
      <c r="A70" s="1166"/>
      <c r="B70" s="457" t="s">
        <v>1097</v>
      </c>
      <c r="C70" s="800">
        <f>C66+C68</f>
        <v>43.036572200000002</v>
      </c>
      <c r="D70" s="800" t="str">
        <f t="shared" si="3"/>
        <v>qt</v>
      </c>
      <c r="E70" s="800">
        <f>IF($C$2="US Customary",C70/4,"")</f>
        <v>10.75914305</v>
      </c>
      <c r="F70" s="801" t="str">
        <f t="shared" si="5"/>
        <v>US Gal</v>
      </c>
      <c r="J70"/>
    </row>
    <row r="71" spans="1:10" ht="13.5" thickTop="1" x14ac:dyDescent="0.2">
      <c r="A71" s="1096" t="s">
        <v>1223</v>
      </c>
      <c r="B71" s="1097"/>
      <c r="C71" s="1097"/>
      <c r="D71" s="1097"/>
      <c r="E71" s="1097"/>
      <c r="F71" s="1098"/>
      <c r="J71"/>
    </row>
    <row r="72" spans="1:10" x14ac:dyDescent="0.2">
      <c r="A72" s="1164" t="str">
        <f>CONCATENATE("@ ",C31," ",C4)</f>
        <v>@ 75 °F</v>
      </c>
      <c r="B72" s="469" t="s">
        <v>2202</v>
      </c>
      <c r="C72" s="802">
        <f>$C$29*'Hop Calcs'!G21</f>
        <v>0.89999999999999991</v>
      </c>
      <c r="D72" s="803" t="str">
        <f t="shared" si="3"/>
        <v>qt</v>
      </c>
      <c r="E72" s="737">
        <f>IF($C$2="US Customary",C72/4,"")</f>
        <v>0.22499999999999998</v>
      </c>
      <c r="F72" s="804" t="str">
        <f t="shared" si="5"/>
        <v>US Gal</v>
      </c>
      <c r="J72"/>
    </row>
    <row r="73" spans="1:10" ht="12.75" customHeight="1" x14ac:dyDescent="0.2">
      <c r="A73" s="1165"/>
      <c r="B73" s="469" t="s">
        <v>2200</v>
      </c>
      <c r="C73" s="802">
        <f>IF($C$30="Removed",$C$49,IF($C$49-$C$72&lt;0,0,$C$49-$C$72))</f>
        <v>0.60000000000000009</v>
      </c>
      <c r="D73" s="803" t="str">
        <f t="shared" ref="D73:D80" si="10">$C$5</f>
        <v>qt</v>
      </c>
      <c r="E73" s="737">
        <f t="shared" ref="E73" si="11">IF($C$2="US Customary",C73/4,"")</f>
        <v>0.15000000000000002</v>
      </c>
      <c r="F73" s="804" t="str">
        <f t="shared" si="5"/>
        <v>US Gal</v>
      </c>
      <c r="J73"/>
    </row>
    <row r="74" spans="1:10" x14ac:dyDescent="0.2">
      <c r="A74" s="1166"/>
      <c r="B74" s="469" t="s">
        <v>2203</v>
      </c>
      <c r="C74" s="802">
        <f>C70+C72+C73</f>
        <v>44.536572200000002</v>
      </c>
      <c r="D74" s="803" t="str">
        <f t="shared" si="10"/>
        <v>qt</v>
      </c>
      <c r="E74" s="737">
        <f t="shared" ref="E74" si="12">IF($C$2="US Customary",C74/4,"")</f>
        <v>11.13414305</v>
      </c>
      <c r="F74" s="804" t="str">
        <f t="shared" si="5"/>
        <v>US Gal</v>
      </c>
      <c r="J74"/>
    </row>
    <row r="75" spans="1:10" x14ac:dyDescent="0.2">
      <c r="A75" s="813" t="str">
        <f>CONCATENATE(C21," to ",C31," ",,C4)</f>
        <v>210.5 to 75 °F</v>
      </c>
      <c r="B75" s="457" t="s">
        <v>2209</v>
      </c>
      <c r="C75" s="802">
        <f>$C$74*($C$21-$C$31)*($C$59*AVERAGE($C$21,$C$31)+$E$59)</f>
        <v>1.6696672401342754</v>
      </c>
      <c r="D75" s="803" t="str">
        <f t="shared" si="10"/>
        <v>qt</v>
      </c>
      <c r="E75" s="737">
        <f t="shared" ref="E75:E79" si="13">IF($C$2="US Customary",C75/4,"")</f>
        <v>0.41741681003356884</v>
      </c>
      <c r="F75" s="804" t="str">
        <f t="shared" si="5"/>
        <v>US Gal</v>
      </c>
      <c r="J75"/>
    </row>
    <row r="76" spans="1:10" x14ac:dyDescent="0.2">
      <c r="A76" s="1164" t="str">
        <f>CONCATENATE("@ ",C21," ",C4)</f>
        <v>@ 210.5 °F</v>
      </c>
      <c r="B76" s="469" t="s">
        <v>2203</v>
      </c>
      <c r="C76" s="802">
        <f>$C$74+$C$75</f>
        <v>46.206239440134276</v>
      </c>
      <c r="D76" s="803" t="str">
        <f t="shared" si="10"/>
        <v>qt</v>
      </c>
      <c r="E76" s="737">
        <f t="shared" si="13"/>
        <v>11.551559860033569</v>
      </c>
      <c r="F76" s="804" t="str">
        <f t="shared" si="5"/>
        <v>US Gal</v>
      </c>
      <c r="J76"/>
    </row>
    <row r="77" spans="1:10" x14ac:dyDescent="0.2">
      <c r="A77" s="1165"/>
      <c r="B77" s="469" t="s">
        <v>2211</v>
      </c>
      <c r="C77" s="805">
        <f>$C$28/60*$C$50</f>
        <v>6.75</v>
      </c>
      <c r="D77" s="803" t="str">
        <f t="shared" si="3"/>
        <v>qt</v>
      </c>
      <c r="E77" s="737">
        <f t="shared" si="13"/>
        <v>1.6875</v>
      </c>
      <c r="F77" s="804" t="str">
        <f t="shared" si="5"/>
        <v>US Gal</v>
      </c>
      <c r="J77"/>
    </row>
    <row r="78" spans="1:10" x14ac:dyDescent="0.2">
      <c r="A78" s="1166"/>
      <c r="B78" s="469" t="s">
        <v>2147</v>
      </c>
      <c r="C78" s="805">
        <f>$C$76+$C$77</f>
        <v>52.956239440134276</v>
      </c>
      <c r="D78" s="803" t="str">
        <f t="shared" si="3"/>
        <v>qt</v>
      </c>
      <c r="E78" s="737">
        <f t="shared" si="13"/>
        <v>13.239059860033569</v>
      </c>
      <c r="F78" s="804" t="str">
        <f t="shared" si="5"/>
        <v>US Gal</v>
      </c>
      <c r="J78"/>
    </row>
    <row r="79" spans="1:10" x14ac:dyDescent="0.2">
      <c r="A79" s="814" t="str">
        <f>CONCATENATE($C$24," to ",$C$21," ",$C$4)</f>
        <v>168 to 210.5 °F</v>
      </c>
      <c r="B79" s="469" t="s">
        <v>2210</v>
      </c>
      <c r="C79" s="806">
        <f>$C$78*($C$21-$C$24)*($C$59*AVERAGE($C$21,$C$24)+$E$59)</f>
        <v>0.83724377214896328</v>
      </c>
      <c r="D79" s="803" t="str">
        <f t="shared" si="3"/>
        <v>qt</v>
      </c>
      <c r="E79" s="737">
        <f t="shared" si="13"/>
        <v>0.20931094303724082</v>
      </c>
      <c r="F79" s="804" t="str">
        <f t="shared" si="5"/>
        <v>US Gal</v>
      </c>
      <c r="J79"/>
    </row>
    <row r="80" spans="1:10" ht="13.5" thickBot="1" x14ac:dyDescent="0.25">
      <c r="A80" s="1092" t="str">
        <f>CONCATENATE("Pre-Boil Volume @ ",C24," ",C4)</f>
        <v>Pre-Boil Volume @ 168 °F</v>
      </c>
      <c r="B80" s="1093"/>
      <c r="C80" s="800">
        <f>$C$78-$C$79</f>
        <v>52.11899566798531</v>
      </c>
      <c r="D80" s="807" t="str">
        <f t="shared" si="10"/>
        <v>qt</v>
      </c>
      <c r="E80" s="808">
        <f t="shared" ref="E80" si="14">IF($C$2="US Customary",C80/4,"")</f>
        <v>13.029748916996327</v>
      </c>
      <c r="F80" s="809" t="str">
        <f t="shared" si="5"/>
        <v>US Gal</v>
      </c>
      <c r="J80"/>
    </row>
    <row r="81" spans="1:13" ht="13.5" thickTop="1" x14ac:dyDescent="0.2">
      <c r="A81" s="1096" t="s">
        <v>1560</v>
      </c>
      <c r="B81" s="1097"/>
      <c r="C81" s="1097"/>
      <c r="D81" s="1097"/>
      <c r="E81" s="1097"/>
      <c r="F81" s="1098"/>
      <c r="J81"/>
    </row>
    <row r="82" spans="1:13" x14ac:dyDescent="0.2">
      <c r="A82" s="1068" t="s">
        <v>2267</v>
      </c>
      <c r="B82" s="457" t="s">
        <v>123</v>
      </c>
      <c r="C82" s="815">
        <f>'Grain &amp; Sugar Calcs'!$C$15</f>
        <v>24</v>
      </c>
      <c r="D82" s="732" t="str">
        <f>'Grain &amp; Sugar Calcs'!C4</f>
        <v>lb</v>
      </c>
      <c r="E82" s="1111"/>
      <c r="F82" s="1112"/>
      <c r="J82"/>
      <c r="M82" s="19"/>
    </row>
    <row r="83" spans="1:13" x14ac:dyDescent="0.2">
      <c r="A83" s="1101"/>
      <c r="B83" s="457" t="s">
        <v>2266</v>
      </c>
      <c r="C83" s="802">
        <f>IF($D$83="qt",0.3125*$C$82,IF($D$83="Liters",0.652*$C$82,""))</f>
        <v>7.5</v>
      </c>
      <c r="D83" s="731" t="str">
        <f>'Brewhouse Setup &amp; Calcs'!$C$5</f>
        <v>qt</v>
      </c>
      <c r="E83" s="737">
        <f>IF($C$2="US Customary",C83/4,"")</f>
        <v>1.875</v>
      </c>
      <c r="F83" s="804" t="str">
        <f>IF($C$2="US Customary","US Gal","")</f>
        <v>US Gal</v>
      </c>
      <c r="J83"/>
    </row>
    <row r="84" spans="1:13" ht="12.75" customHeight="1" x14ac:dyDescent="0.2">
      <c r="A84" s="1158" t="str">
        <f>CONCATENATE("@ ",$C$24," ",$C$4)</f>
        <v>@ 168 °F</v>
      </c>
      <c r="B84" s="457" t="s">
        <v>2215</v>
      </c>
      <c r="C84" s="816">
        <f>$C$43*$C$82</f>
        <v>9.120000000000001</v>
      </c>
      <c r="D84" s="733" t="str">
        <f>'Brewhouse Setup &amp; Calcs'!$C$5</f>
        <v>qt</v>
      </c>
      <c r="E84" s="790">
        <f>IF($C$2="US Customary",C84/4,"")</f>
        <v>2.2800000000000002</v>
      </c>
      <c r="F84" s="766" t="str">
        <f>IF($C$2="US Customary","US Gal","")</f>
        <v>US Gal</v>
      </c>
      <c r="J84"/>
    </row>
    <row r="85" spans="1:13" x14ac:dyDescent="0.2">
      <c r="A85" s="1159"/>
      <c r="B85" s="457" t="s">
        <v>2216</v>
      </c>
      <c r="C85" s="817">
        <f>$C$42</f>
        <v>0.5</v>
      </c>
      <c r="D85" s="733" t="str">
        <f>'Brewhouse Setup &amp; Calcs'!$C$5</f>
        <v>qt</v>
      </c>
      <c r="E85" s="790">
        <f>IF($C$2="US Customary",C85/4,"")</f>
        <v>0.125</v>
      </c>
      <c r="F85" s="766" t="str">
        <f>IF($C$2="US Customary","US Gal","")</f>
        <v>US Gal</v>
      </c>
      <c r="J85"/>
    </row>
    <row r="86" spans="1:13" x14ac:dyDescent="0.2">
      <c r="A86" s="1159"/>
      <c r="B86" s="469" t="s">
        <v>103</v>
      </c>
      <c r="C86" s="802">
        <f>IF($C$26="OFF",$C$27,"0")</f>
        <v>0.8</v>
      </c>
      <c r="D86" s="731" t="str">
        <f>'Brewhouse Setup &amp; Calcs'!$C$5</f>
        <v>qt</v>
      </c>
      <c r="E86" s="737">
        <f t="shared" ref="E86" si="15">IF($C$2="US Customary",C86/4,"")</f>
        <v>0.2</v>
      </c>
      <c r="F86" s="804" t="str">
        <f t="shared" ref="F86:F91" si="16">IF($C$2="US Customary","US Gal","")</f>
        <v>US Gal</v>
      </c>
      <c r="I86" s="19"/>
      <c r="J86"/>
    </row>
    <row r="87" spans="1:13" ht="13.5" thickBot="1" x14ac:dyDescent="0.25">
      <c r="A87" s="1159"/>
      <c r="B87" s="581" t="s">
        <v>2360</v>
      </c>
      <c r="C87" s="818">
        <f>VLOOKUP(C11,'Equipment Profiles'!A6:P25,16,FALSE)</f>
        <v>0.5</v>
      </c>
      <c r="D87" s="731" t="str">
        <f>'Brewhouse Setup &amp; Calcs'!$C$5</f>
        <v>qt</v>
      </c>
      <c r="E87" s="737">
        <f t="shared" ref="E87" si="17">IF($C$2="US Customary",C87/4,"")</f>
        <v>0.125</v>
      </c>
      <c r="F87" s="804" t="str">
        <f t="shared" si="16"/>
        <v>US Gal</v>
      </c>
      <c r="I87" s="19"/>
      <c r="J87"/>
    </row>
    <row r="88" spans="1:13" ht="13.5" thickBot="1" x14ac:dyDescent="0.25">
      <c r="A88" s="1160"/>
      <c r="B88" s="545" t="s">
        <v>2271</v>
      </c>
      <c r="C88" s="819">
        <f>$C$80+SUM(C84:C87)</f>
        <v>63.038995667985311</v>
      </c>
      <c r="D88" s="820" t="str">
        <f>'Brewhouse Setup &amp; Calcs'!$C$5</f>
        <v>qt</v>
      </c>
      <c r="E88" s="737">
        <f t="shared" ref="E88" si="18">IF($C$2="US Customary",C88/4,"")</f>
        <v>15.759748916996328</v>
      </c>
      <c r="F88" s="804" t="str">
        <f t="shared" si="16"/>
        <v>US Gal</v>
      </c>
      <c r="J88"/>
    </row>
    <row r="89" spans="1:13" ht="13.5" thickBot="1" x14ac:dyDescent="0.25">
      <c r="A89" s="1161" t="str">
        <f>CONCATENATE("Total Water Req'd @ ",$C$20," ",$C$4)</f>
        <v>Total Water Req'd @ 68 °F</v>
      </c>
      <c r="B89" s="1162"/>
      <c r="C89" s="821">
        <f>$C$88-$C$88*($C$24-$C$20)*($C$59*AVERAGE($C$24,$C$20)+$E$59)</f>
        <v>61.614692599862849</v>
      </c>
      <c r="D89" s="820" t="str">
        <f>'Brewhouse Setup &amp; Calcs'!$C$5</f>
        <v>qt</v>
      </c>
      <c r="E89" s="737">
        <f t="shared" ref="E89" si="19">IF($C$2="US Customary",C89/4,"")</f>
        <v>15.403673149965712</v>
      </c>
      <c r="F89" s="804" t="str">
        <f t="shared" si="16"/>
        <v>US Gal</v>
      </c>
      <c r="J89"/>
    </row>
    <row r="90" spans="1:13" x14ac:dyDescent="0.2">
      <c r="A90" s="506" t="s">
        <v>2275</v>
      </c>
      <c r="B90" s="457" t="s">
        <v>2276</v>
      </c>
      <c r="C90" s="788">
        <f>(N31+$C$83)</f>
        <v>43.5</v>
      </c>
      <c r="D90" s="731" t="str">
        <f>'Brewhouse Setup &amp; Calcs'!$C$5</f>
        <v>qt</v>
      </c>
      <c r="E90" s="737">
        <f>IF($C$2="US Customary",C90/4,"")</f>
        <v>10.875</v>
      </c>
      <c r="F90" s="804" t="str">
        <f>IF($C$2="US Customary","US Gal","")</f>
        <v>US Gal</v>
      </c>
      <c r="J90"/>
    </row>
    <row r="91" spans="1:13" ht="13.5" thickBot="1" x14ac:dyDescent="0.25">
      <c r="A91" s="507" t="s">
        <v>2274</v>
      </c>
      <c r="B91" s="457" t="s">
        <v>2277</v>
      </c>
      <c r="C91" s="802">
        <f>$C$90-$C$86</f>
        <v>42.7</v>
      </c>
      <c r="D91" s="820" t="str">
        <f>'Brewhouse Setup &amp; Calcs'!$C$5</f>
        <v>qt</v>
      </c>
      <c r="E91" s="737">
        <f>IF($C$2="US Customary",C91/4,"")</f>
        <v>10.675000000000001</v>
      </c>
      <c r="F91" s="804" t="str">
        <f t="shared" si="16"/>
        <v>US Gal</v>
      </c>
      <c r="J91"/>
    </row>
    <row r="92" spans="1:13" ht="12.75" customHeight="1" thickTop="1" x14ac:dyDescent="0.2">
      <c r="A92" s="1096" t="s">
        <v>1561</v>
      </c>
      <c r="B92" s="1097"/>
      <c r="C92" s="1097"/>
      <c r="D92" s="1097"/>
      <c r="E92" s="1097"/>
      <c r="F92" s="1098"/>
      <c r="J92"/>
    </row>
    <row r="93" spans="1:13" ht="12.75" customHeight="1" x14ac:dyDescent="0.2">
      <c r="A93" s="1086" t="str">
        <f>CONCATENATE("Collectible Wort in Mash @ ",$C$24," ",$C$4)</f>
        <v>Collectible Wort in Mash @ 168 °F</v>
      </c>
      <c r="B93" s="1087"/>
      <c r="C93" s="817">
        <f>N31-$C$84-$C$85-$C$86</f>
        <v>25.58</v>
      </c>
      <c r="D93" s="731" t="str">
        <f>'Brewhouse Setup &amp; Calcs'!$C$5</f>
        <v>qt</v>
      </c>
      <c r="E93" s="737">
        <f>IF($C$2="US Customary",C93/4,"")</f>
        <v>6.3949999999999996</v>
      </c>
      <c r="F93" s="804" t="str">
        <f>IF($C$2="US Customary","US Gal","")</f>
        <v>US Gal</v>
      </c>
      <c r="J93"/>
    </row>
    <row r="94" spans="1:13" x14ac:dyDescent="0.2">
      <c r="A94" s="813" t="str">
        <f>CONCATENATE($C$24," ",$C$4)</f>
        <v>168 °F</v>
      </c>
      <c r="B94" s="457" t="s">
        <v>2221</v>
      </c>
      <c r="C94" s="802">
        <f>$C$88-N31</f>
        <v>27.038995667985311</v>
      </c>
      <c r="D94" s="731" t="str">
        <f>'Brewhouse Setup &amp; Calcs'!$C$5</f>
        <v>qt</v>
      </c>
      <c r="E94" s="737">
        <f>IF($C$2="US Customary",C94/4,"")</f>
        <v>6.7597489169963278</v>
      </c>
      <c r="F94" s="804" t="str">
        <f>IF($C$2="US Customary","US Gal","")</f>
        <v>US Gal</v>
      </c>
      <c r="J94"/>
    </row>
    <row r="95" spans="1:13" x14ac:dyDescent="0.2">
      <c r="A95" s="1099" t="s">
        <v>2278</v>
      </c>
      <c r="B95" s="457" t="s">
        <v>2309</v>
      </c>
      <c r="C95" s="788">
        <f>$C$40*$C$41-$C$91</f>
        <v>11.299999999999997</v>
      </c>
      <c r="D95" s="733" t="str">
        <f>'Brewhouse Setup &amp; Calcs'!$C$5</f>
        <v>qt</v>
      </c>
      <c r="E95" s="737">
        <f>IF($C$2="US Customary",C95/4,"")</f>
        <v>2.8249999999999993</v>
      </c>
      <c r="F95" s="804" t="str">
        <f>IF($C$2="US Customary","US Gal","")</f>
        <v>US Gal</v>
      </c>
      <c r="J95"/>
    </row>
    <row r="96" spans="1:13" x14ac:dyDescent="0.2">
      <c r="A96" s="1100"/>
      <c r="B96" s="457" t="s">
        <v>2310</v>
      </c>
      <c r="C96" s="788">
        <f>$C$40*$C$41-$C$83-$C$84-$C$85-$C$86</f>
        <v>36.08</v>
      </c>
      <c r="D96" s="733" t="str">
        <f>'Brewhouse Setup &amp; Calcs'!$C$5</f>
        <v>qt</v>
      </c>
      <c r="E96" s="737">
        <f>IF($C$2="US Customary",C96/4,"")</f>
        <v>9.02</v>
      </c>
      <c r="F96" s="804" t="str">
        <f>IF($C$2="US Customary","US Gal","")</f>
        <v>US Gal</v>
      </c>
      <c r="J96"/>
    </row>
    <row r="97" spans="1:10" x14ac:dyDescent="0.2">
      <c r="A97" s="1070" t="s">
        <v>2279</v>
      </c>
      <c r="B97" s="1071"/>
      <c r="C97" s="802">
        <f>$C$80/$C$96</f>
        <v>1.4445397912412781</v>
      </c>
      <c r="D97" s="1079"/>
      <c r="E97" s="1082"/>
      <c r="F97" s="1080"/>
      <c r="J97"/>
    </row>
    <row r="98" spans="1:10" x14ac:dyDescent="0.2">
      <c r="A98" s="1088" t="s">
        <v>108</v>
      </c>
      <c r="B98" s="1071"/>
      <c r="C98" s="802">
        <f>ROUNDUP($C$97,0)</f>
        <v>2</v>
      </c>
      <c r="D98" s="1083"/>
      <c r="E98" s="1084"/>
      <c r="F98" s="1085"/>
      <c r="J98"/>
    </row>
    <row r="99" spans="1:10" x14ac:dyDescent="0.2">
      <c r="A99" s="1070" t="s">
        <v>1220</v>
      </c>
      <c r="B99" s="1104"/>
      <c r="C99" s="802">
        <f>C80/C98</f>
        <v>26.059497833992655</v>
      </c>
      <c r="D99" s="731" t="str">
        <f>'Brewhouse Setup &amp; Calcs'!$C$5</f>
        <v>qt</v>
      </c>
      <c r="E99" s="737">
        <f>IF($C$2="US Customary",C99/4,"")</f>
        <v>6.5148744584981637</v>
      </c>
      <c r="F99" s="804" t="str">
        <f t="shared" ref="F99:F103" si="20">IF($C$2="US Customary","US Gal","")</f>
        <v>US Gal</v>
      </c>
      <c r="J99"/>
    </row>
    <row r="100" spans="1:10" x14ac:dyDescent="0.2">
      <c r="A100" s="1068" t="s">
        <v>2268</v>
      </c>
      <c r="B100" s="457" t="s">
        <v>2280</v>
      </c>
      <c r="C100" s="802">
        <f>IF($C$99&gt;=$C$93,$C$99-$C$93,0)</f>
        <v>0.47949783399265655</v>
      </c>
      <c r="D100" s="731" t="str">
        <f>'Brewhouse Setup &amp; Calcs'!$C$5</f>
        <v>qt</v>
      </c>
      <c r="E100" s="737">
        <f>IF($C$2="US Customary",C100/4,"")</f>
        <v>0.11987445849816414</v>
      </c>
      <c r="F100" s="804" t="str">
        <f t="shared" si="20"/>
        <v>US Gal</v>
      </c>
      <c r="J100"/>
    </row>
    <row r="101" spans="1:10" x14ac:dyDescent="0.2">
      <c r="A101" s="1069"/>
      <c r="B101" s="457" t="s">
        <v>2269</v>
      </c>
      <c r="C101" s="817">
        <f>$C$93+$C$100</f>
        <v>26.059497833992655</v>
      </c>
      <c r="D101" s="731" t="str">
        <f>'Brewhouse Setup &amp; Calcs'!$C$5</f>
        <v>qt</v>
      </c>
      <c r="E101" s="737">
        <f>IF($C$2="US Customary",C101/4,"")</f>
        <v>6.5148744584981637</v>
      </c>
      <c r="F101" s="804" t="str">
        <f t="shared" si="20"/>
        <v>US Gal</v>
      </c>
      <c r="J101"/>
    </row>
    <row r="102" spans="1:10" x14ac:dyDescent="0.2">
      <c r="A102" s="1069"/>
      <c r="B102" s="468" t="s">
        <v>2270</v>
      </c>
      <c r="C102" s="806">
        <f>IF($C$98=2,$C$80-$C$101,0)</f>
        <v>26.059497833992655</v>
      </c>
      <c r="D102" s="732" t="str">
        <f>'Brewhouse Setup &amp; Calcs'!$C$5</f>
        <v>qt</v>
      </c>
      <c r="E102" s="741">
        <f>IF($C$2="US Customary",C102/4,"")</f>
        <v>6.5148744584981637</v>
      </c>
      <c r="F102" s="742" t="str">
        <f t="shared" si="20"/>
        <v>US Gal</v>
      </c>
      <c r="J102"/>
    </row>
    <row r="103" spans="1:10" ht="13.5" thickBot="1" x14ac:dyDescent="0.25">
      <c r="A103" s="1092" t="str">
        <f>CONCATENATE("Pre-Boil Volume @ ",C24," ",C4)</f>
        <v>Pre-Boil Volume @ 168 °F</v>
      </c>
      <c r="B103" s="1093"/>
      <c r="C103" s="822">
        <f>$C$101+$C$102</f>
        <v>52.11899566798531</v>
      </c>
      <c r="D103" s="787" t="str">
        <f>'Brewhouse Setup &amp; Calcs'!$C$5</f>
        <v>qt</v>
      </c>
      <c r="E103" s="808">
        <f t="shared" ref="E103" si="21">IF($C$2="US Customary",C103/4,"")</f>
        <v>13.029748916996327</v>
      </c>
      <c r="F103" s="809"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E44:F46"/>
    <mergeCell ref="E41:F41"/>
    <mergeCell ref="A38:F38"/>
    <mergeCell ref="A39:B39"/>
    <mergeCell ref="A34:A35"/>
    <mergeCell ref="A57:F57"/>
    <mergeCell ref="A58:A59"/>
    <mergeCell ref="A53:A55"/>
    <mergeCell ref="E48:F48"/>
    <mergeCell ref="E50:F50"/>
    <mergeCell ref="E51:F51"/>
    <mergeCell ref="A51:A52"/>
    <mergeCell ref="C51:D51"/>
    <mergeCell ref="A47:A50"/>
    <mergeCell ref="E54:F54"/>
    <mergeCell ref="A84:A88"/>
    <mergeCell ref="A89:B89"/>
    <mergeCell ref="C58:D58"/>
    <mergeCell ref="C59:D59"/>
    <mergeCell ref="A72:A74"/>
    <mergeCell ref="A76:A78"/>
    <mergeCell ref="A68:A70"/>
    <mergeCell ref="A61:F61"/>
    <mergeCell ref="E59:F59"/>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33:D33"/>
    <mergeCell ref="A40:A46"/>
    <mergeCell ref="C30:D30"/>
    <mergeCell ref="A30:A31"/>
    <mergeCell ref="A28:A29"/>
    <mergeCell ref="C44:D4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P23:P25"/>
    <mergeCell ref="M23:N24"/>
    <mergeCell ref="F5:H5"/>
    <mergeCell ref="N32:N33"/>
    <mergeCell ref="N35:N36"/>
    <mergeCell ref="H23:L23"/>
    <mergeCell ref="K14:L14"/>
    <mergeCell ref="K11:M11"/>
    <mergeCell ref="K12:L12"/>
    <mergeCell ref="E30:F31"/>
    <mergeCell ref="I21:O21"/>
    <mergeCell ref="E19:F22"/>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X16" sqref="X16"/>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192" t="s">
        <v>2182</v>
      </c>
      <c r="B1" s="1193"/>
      <c r="C1" s="1193"/>
      <c r="D1" s="1193"/>
      <c r="E1" s="1193"/>
      <c r="F1" s="1193"/>
      <c r="G1" s="1193"/>
      <c r="H1" s="1193"/>
      <c r="I1" s="1193"/>
      <c r="J1" s="1193"/>
      <c r="K1" s="1193"/>
      <c r="L1" s="1193"/>
      <c r="M1" s="1193"/>
      <c r="N1" s="1193"/>
      <c r="O1" s="1193"/>
      <c r="P1" s="1194"/>
      <c r="R1" s="1192" t="s">
        <v>2181</v>
      </c>
      <c r="S1" s="1193"/>
      <c r="T1" s="1194"/>
      <c r="V1" s="1192" t="s">
        <v>2180</v>
      </c>
      <c r="W1" s="1193"/>
      <c r="X1" s="1193"/>
      <c r="Y1" s="1194"/>
      <c r="AA1" s="1192" t="s">
        <v>2191</v>
      </c>
      <c r="AB1" s="1193"/>
      <c r="AC1" s="1194"/>
    </row>
    <row r="2" spans="1:29" ht="12.75" customHeight="1" x14ac:dyDescent="0.2">
      <c r="A2" s="1195" t="s">
        <v>2161</v>
      </c>
      <c r="B2" s="1206" t="s">
        <v>2158</v>
      </c>
      <c r="C2" s="1207"/>
      <c r="D2" s="1207"/>
      <c r="E2" s="1207"/>
      <c r="F2" s="1207"/>
      <c r="G2" s="1207"/>
      <c r="H2" s="1207"/>
      <c r="I2" s="1207"/>
      <c r="J2" s="1207"/>
      <c r="K2" s="1224"/>
      <c r="L2" s="1206" t="s">
        <v>2167</v>
      </c>
      <c r="M2" s="1207"/>
      <c r="N2" s="1207"/>
      <c r="O2" s="1208"/>
      <c r="P2" s="582" t="s">
        <v>2361</v>
      </c>
      <c r="R2" s="1198" t="s">
        <v>2247</v>
      </c>
      <c r="S2" s="1201" t="s">
        <v>66</v>
      </c>
      <c r="T2" s="1219" t="s">
        <v>2246</v>
      </c>
      <c r="V2" s="1198" t="s">
        <v>2249</v>
      </c>
      <c r="W2" s="1221" t="s">
        <v>2174</v>
      </c>
      <c r="X2" s="1221" t="s">
        <v>2156</v>
      </c>
      <c r="Y2" s="1219" t="s">
        <v>2169</v>
      </c>
      <c r="AA2" s="1198" t="s">
        <v>2192</v>
      </c>
      <c r="AB2" s="1221" t="s">
        <v>1648</v>
      </c>
      <c r="AC2" s="1219" t="s">
        <v>2193</v>
      </c>
    </row>
    <row r="3" spans="1:29" ht="46.5" customHeight="1" x14ac:dyDescent="0.2">
      <c r="A3" s="1196"/>
      <c r="B3" s="1215" t="s">
        <v>2174</v>
      </c>
      <c r="C3" s="1214" t="s">
        <v>2156</v>
      </c>
      <c r="D3" s="1213" t="s">
        <v>2169</v>
      </c>
      <c r="E3" s="1212" t="s">
        <v>1671</v>
      </c>
      <c r="F3" s="1209" t="s">
        <v>2239</v>
      </c>
      <c r="G3" s="1210"/>
      <c r="H3" s="1211" t="s">
        <v>96</v>
      </c>
      <c r="I3" s="1222" t="s">
        <v>2291</v>
      </c>
      <c r="J3" s="1204" t="s">
        <v>1860</v>
      </c>
      <c r="K3" s="1216" t="s">
        <v>2157</v>
      </c>
      <c r="L3" s="1217" t="s">
        <v>2174</v>
      </c>
      <c r="M3" s="1225" t="s">
        <v>2156</v>
      </c>
      <c r="N3" s="1213" t="s">
        <v>2169</v>
      </c>
      <c r="O3" s="1218" t="s">
        <v>2159</v>
      </c>
      <c r="P3" s="1226" t="s">
        <v>2362</v>
      </c>
      <c r="R3" s="1199"/>
      <c r="S3" s="1202"/>
      <c r="T3" s="1218"/>
      <c r="V3" s="1199"/>
      <c r="W3" s="1213"/>
      <c r="X3" s="1213"/>
      <c r="Y3" s="1218"/>
      <c r="AA3" s="1199"/>
      <c r="AB3" s="1213"/>
      <c r="AC3" s="1218"/>
    </row>
    <row r="4" spans="1:29" x14ac:dyDescent="0.2">
      <c r="A4" s="1196"/>
      <c r="B4" s="1215"/>
      <c r="C4" s="1214"/>
      <c r="D4" s="1213"/>
      <c r="E4" s="1212"/>
      <c r="F4" s="467" t="s">
        <v>2213</v>
      </c>
      <c r="G4" s="467" t="s">
        <v>2233</v>
      </c>
      <c r="H4" s="1211"/>
      <c r="I4" s="1222"/>
      <c r="J4" s="1204"/>
      <c r="K4" s="1216"/>
      <c r="L4" s="1217"/>
      <c r="M4" s="1225"/>
      <c r="N4" s="1213"/>
      <c r="O4" s="1218"/>
      <c r="P4" s="1226"/>
      <c r="R4" s="1199"/>
      <c r="S4" s="1202"/>
      <c r="T4" s="1218"/>
      <c r="V4" s="1199"/>
      <c r="W4" s="1213"/>
      <c r="X4" s="1213"/>
      <c r="Y4" s="1218"/>
      <c r="AA4" s="1199"/>
      <c r="AB4" s="1213"/>
      <c r="AC4" s="1218"/>
    </row>
    <row r="5" spans="1:29" ht="13.5" thickBot="1" x14ac:dyDescent="0.25">
      <c r="A5" s="1197"/>
      <c r="B5" s="823" t="str">
        <f>'Brewhouse Setup &amp; Calcs'!D40</f>
        <v>qt</v>
      </c>
      <c r="C5" s="480" t="s">
        <v>102</v>
      </c>
      <c r="D5" s="824" t="str">
        <f>'Brewhouse Setup &amp; Calcs'!D42</f>
        <v>qt</v>
      </c>
      <c r="E5" s="824" t="str">
        <f>'Brewhouse Setup &amp; Calcs'!D43</f>
        <v>qt/lb</v>
      </c>
      <c r="F5" s="824" t="str">
        <f>'Brewhouse Setup &amp; Calcs'!$D$27</f>
        <v>qt/hr</v>
      </c>
      <c r="G5" s="824" t="str">
        <f>'Brewhouse Setup &amp; Calcs'!$D$27</f>
        <v>qt/hr</v>
      </c>
      <c r="H5" s="481" t="s">
        <v>102</v>
      </c>
      <c r="I5" s="1223"/>
      <c r="J5" s="1205"/>
      <c r="K5" s="825" t="str">
        <f>'Brewhouse Setup &amp; Calcs'!D45</f>
        <v>qt/min</v>
      </c>
      <c r="L5" s="826" t="str">
        <f>'Brewhouse Setup &amp; Calcs'!D47</f>
        <v>qt</v>
      </c>
      <c r="M5" s="481" t="s">
        <v>102</v>
      </c>
      <c r="N5" s="824" t="str">
        <f>'Brewhouse Setup &amp; Calcs'!D49</f>
        <v>qt</v>
      </c>
      <c r="O5" s="827" t="str">
        <f>'Brewhouse Setup &amp; Calcs'!D50</f>
        <v>qt/hr</v>
      </c>
      <c r="P5" s="828" t="str">
        <f>'Brewhouse Setup &amp; Calcs'!D47</f>
        <v>qt</v>
      </c>
      <c r="R5" s="1200"/>
      <c r="S5" s="1203"/>
      <c r="T5" s="827" t="str">
        <f>'Brewhouse Setup &amp; Calcs'!D52</f>
        <v>qt</v>
      </c>
      <c r="V5" s="1200"/>
      <c r="W5" s="824" t="str">
        <f>'Brewhouse Setup &amp; Calcs'!D55</f>
        <v>qt</v>
      </c>
      <c r="X5" s="443" t="s">
        <v>102</v>
      </c>
      <c r="Y5" s="827" t="str">
        <f>'Brewhouse Setup &amp; Calcs'!D55</f>
        <v>qt</v>
      </c>
      <c r="AA5" s="1200"/>
      <c r="AB5" s="824" t="str">
        <f>'Brewhouse Setup &amp; Calcs'!D34</f>
        <v>°F</v>
      </c>
      <c r="AC5" s="1220"/>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2381</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2387</v>
      </c>
      <c r="AB9" s="667"/>
      <c r="AC9" s="668">
        <v>0</v>
      </c>
    </row>
    <row r="10" spans="1:29" x14ac:dyDescent="0.2">
      <c r="A10" s="624" t="s">
        <v>2237</v>
      </c>
      <c r="B10" s="625">
        <v>60</v>
      </c>
      <c r="C10" s="626">
        <v>0.9</v>
      </c>
      <c r="D10" s="598">
        <v>0.5</v>
      </c>
      <c r="E10" s="621">
        <v>0.38</v>
      </c>
      <c r="F10" s="620">
        <v>0.8</v>
      </c>
      <c r="G10" s="620">
        <v>0</v>
      </c>
      <c r="H10" s="623">
        <v>0.7</v>
      </c>
      <c r="I10" s="491" t="s">
        <v>2293</v>
      </c>
      <c r="J10" s="491" t="s">
        <v>2234</v>
      </c>
      <c r="K10" s="643"/>
      <c r="L10" s="625">
        <v>80</v>
      </c>
      <c r="M10" s="628">
        <v>0.85</v>
      </c>
      <c r="N10" s="646">
        <v>1.5</v>
      </c>
      <c r="O10" s="643">
        <v>5.4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5.4</v>
      </c>
      <c r="P11" s="645"/>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2329</v>
      </c>
      <c r="B13" s="625">
        <v>60</v>
      </c>
      <c r="C13" s="626">
        <v>0.9</v>
      </c>
      <c r="D13" s="598">
        <v>0.5</v>
      </c>
      <c r="E13" s="621">
        <v>0.4</v>
      </c>
      <c r="F13" s="620">
        <v>0.8</v>
      </c>
      <c r="G13" s="620">
        <v>0</v>
      </c>
      <c r="H13" s="623">
        <v>0.6</v>
      </c>
      <c r="I13" s="491" t="s">
        <v>2293</v>
      </c>
      <c r="J13" s="491" t="s">
        <v>2234</v>
      </c>
      <c r="K13" s="643"/>
      <c r="L13" s="625">
        <v>80</v>
      </c>
      <c r="M13" s="628">
        <v>0.85</v>
      </c>
      <c r="N13" s="646">
        <v>1.5</v>
      </c>
      <c r="O13" s="643">
        <v>5.4</v>
      </c>
      <c r="P13" s="645">
        <v>0.5</v>
      </c>
      <c r="R13" s="653" t="s">
        <v>2248</v>
      </c>
      <c r="S13" s="491" t="s">
        <v>2152</v>
      </c>
      <c r="T13" s="656">
        <v>2</v>
      </c>
      <c r="V13" s="653" t="s">
        <v>2323</v>
      </c>
      <c r="W13" s="662">
        <v>37</v>
      </c>
      <c r="X13" s="660">
        <v>0.85</v>
      </c>
      <c r="Y13" s="656">
        <v>3</v>
      </c>
      <c r="AA13" s="653"/>
      <c r="AB13" s="667"/>
      <c r="AC13" s="668"/>
    </row>
    <row r="14" spans="1:29" x14ac:dyDescent="0.2">
      <c r="A14" s="624" t="s">
        <v>2392</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2393</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2374</v>
      </c>
      <c r="S15" s="491" t="s">
        <v>2165</v>
      </c>
      <c r="T15" s="656">
        <v>0</v>
      </c>
      <c r="V15" s="653" t="s">
        <v>2327</v>
      </c>
      <c r="W15" s="662">
        <v>65</v>
      </c>
      <c r="X15" s="660">
        <v>0.85</v>
      </c>
      <c r="Y15" s="656">
        <v>5</v>
      </c>
      <c r="AA15" s="653"/>
      <c r="AB15" s="667"/>
      <c r="AC15" s="668"/>
    </row>
    <row r="16" spans="1:29" x14ac:dyDescent="0.2">
      <c r="A16" s="624"/>
      <c r="B16" s="625"/>
      <c r="C16" s="626"/>
      <c r="D16" s="598"/>
      <c r="E16" s="627"/>
      <c r="F16" s="598"/>
      <c r="G16" s="598"/>
      <c r="H16" s="628"/>
      <c r="I16" s="491"/>
      <c r="J16" s="491"/>
      <c r="K16" s="643"/>
      <c r="L16" s="625"/>
      <c r="M16" s="628"/>
      <c r="N16" s="598"/>
      <c r="O16" s="643"/>
      <c r="P16" s="645"/>
      <c r="R16" s="653" t="s">
        <v>2375</v>
      </c>
      <c r="S16" s="491" t="s">
        <v>2376</v>
      </c>
      <c r="T16" s="656">
        <v>0</v>
      </c>
      <c r="V16" s="653" t="s">
        <v>2388</v>
      </c>
      <c r="W16" s="662">
        <v>20</v>
      </c>
      <c r="X16" s="660">
        <v>0.85</v>
      </c>
      <c r="Y16" s="656">
        <v>0.5</v>
      </c>
      <c r="AA16" s="653"/>
      <c r="AB16" s="667"/>
      <c r="AC16" s="668"/>
    </row>
    <row r="17" spans="1:29" x14ac:dyDescent="0.2">
      <c r="A17" s="624"/>
      <c r="B17" s="625"/>
      <c r="C17" s="626"/>
      <c r="D17" s="598"/>
      <c r="E17" s="627"/>
      <c r="F17" s="598"/>
      <c r="G17" s="598"/>
      <c r="H17" s="628"/>
      <c r="I17" s="491"/>
      <c r="J17" s="491"/>
      <c r="K17" s="643"/>
      <c r="L17" s="625"/>
      <c r="M17" s="628"/>
      <c r="N17" s="598"/>
      <c r="O17" s="643"/>
      <c r="P17" s="645"/>
      <c r="R17" s="653" t="s">
        <v>2389</v>
      </c>
      <c r="S17" s="491"/>
      <c r="T17" s="656">
        <v>0</v>
      </c>
      <c r="V17" s="653" t="s">
        <v>2395</v>
      </c>
      <c r="W17" s="662">
        <v>52.8</v>
      </c>
      <c r="X17" s="660">
        <v>0.85</v>
      </c>
      <c r="Y17" s="656">
        <v>3</v>
      </c>
      <c r="AA17" s="653"/>
      <c r="AB17" s="667"/>
      <c r="AC17" s="668"/>
    </row>
    <row r="18" spans="1:29" x14ac:dyDescent="0.2">
      <c r="A18" s="624"/>
      <c r="B18" s="625"/>
      <c r="C18" s="626"/>
      <c r="D18" s="598"/>
      <c r="E18" s="627"/>
      <c r="F18" s="598"/>
      <c r="G18" s="598"/>
      <c r="H18" s="628"/>
      <c r="I18" s="491"/>
      <c r="J18" s="491"/>
      <c r="K18" s="643"/>
      <c r="L18" s="625"/>
      <c r="M18" s="628"/>
      <c r="N18" s="598"/>
      <c r="O18" s="643"/>
      <c r="P18" s="645"/>
      <c r="R18" s="653" t="s">
        <v>2391</v>
      </c>
      <c r="S18" s="491" t="s">
        <v>2152</v>
      </c>
      <c r="T18" s="656">
        <v>0.75</v>
      </c>
      <c r="V18" s="653"/>
      <c r="W18" s="662"/>
      <c r="X18" s="660"/>
      <c r="Y18" s="656"/>
      <c r="AA18" s="653"/>
      <c r="AB18" s="667"/>
      <c r="AC18" s="668"/>
    </row>
    <row r="19" spans="1:29" x14ac:dyDescent="0.2">
      <c r="A19" s="624"/>
      <c r="B19" s="625"/>
      <c r="C19" s="626"/>
      <c r="D19" s="598"/>
      <c r="E19" s="627"/>
      <c r="F19" s="598"/>
      <c r="G19" s="598"/>
      <c r="H19" s="628"/>
      <c r="I19" s="491"/>
      <c r="J19" s="491"/>
      <c r="K19" s="643"/>
      <c r="L19" s="625"/>
      <c r="M19" s="628"/>
      <c r="N19" s="598"/>
      <c r="O19" s="643"/>
      <c r="P19" s="645"/>
      <c r="R19" s="653"/>
      <c r="S19" s="491"/>
      <c r="T19" s="656"/>
      <c r="V19" s="653"/>
      <c r="W19" s="662"/>
      <c r="X19" s="660"/>
      <c r="Y19" s="656"/>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c r="S20" s="491"/>
      <c r="T20" s="656"/>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I3:I5"/>
    <mergeCell ref="B2:K2"/>
    <mergeCell ref="T2:T4"/>
    <mergeCell ref="M3:M4"/>
    <mergeCell ref="P3:P4"/>
    <mergeCell ref="AA1:AC1"/>
    <mergeCell ref="AA2:AA5"/>
    <mergeCell ref="AC2:AC5"/>
    <mergeCell ref="R1:T1"/>
    <mergeCell ref="V1:Y1"/>
    <mergeCell ref="V2:V5"/>
    <mergeCell ref="W2:W4"/>
    <mergeCell ref="X2:X4"/>
    <mergeCell ref="Y2:Y4"/>
    <mergeCell ref="AB2:AB4"/>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topLeftCell="B1" zoomScale="110" zoomScaleNormal="110" workbookViewId="0">
      <selection activeCell="C7" sqref="C7"/>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41" t="s">
        <v>116</v>
      </c>
      <c r="C2" s="1242"/>
      <c r="D2" s="1242"/>
      <c r="E2" s="1242"/>
      <c r="F2" s="1242"/>
      <c r="G2" s="1242"/>
      <c r="H2" s="1242"/>
      <c r="I2" s="1242"/>
      <c r="J2" s="1242"/>
      <c r="K2" s="1242"/>
      <c r="L2" s="1242"/>
      <c r="M2" s="1242"/>
      <c r="N2" s="1242"/>
    </row>
    <row r="3" spans="2:15" s="22" customFormat="1" ht="26.45" customHeight="1" x14ac:dyDescent="0.2">
      <c r="B3" s="1239" t="s">
        <v>701</v>
      </c>
      <c r="C3" s="30" t="s">
        <v>123</v>
      </c>
      <c r="D3" s="1243" t="s">
        <v>95</v>
      </c>
      <c r="E3" s="1239" t="s">
        <v>66</v>
      </c>
      <c r="F3" s="30" t="s">
        <v>2009</v>
      </c>
      <c r="G3" s="1239" t="s">
        <v>703</v>
      </c>
      <c r="H3" s="30" t="s">
        <v>1117</v>
      </c>
      <c r="I3" s="1239" t="s">
        <v>1106</v>
      </c>
      <c r="J3" s="1239" t="s">
        <v>97</v>
      </c>
      <c r="K3" s="1239" t="s">
        <v>1115</v>
      </c>
      <c r="L3" s="1239" t="s">
        <v>1116</v>
      </c>
      <c r="M3" s="30" t="s">
        <v>1866</v>
      </c>
      <c r="N3"/>
      <c r="O3"/>
    </row>
    <row r="4" spans="2:15" s="22" customFormat="1" x14ac:dyDescent="0.2">
      <c r="B4" s="1240"/>
      <c r="C4" s="834" t="str">
        <f>'Brewhouse Setup &amp; Calcs'!$C$6</f>
        <v>lb</v>
      </c>
      <c r="D4" s="1244"/>
      <c r="E4" s="1240"/>
      <c r="F4" s="31" t="s">
        <v>2014</v>
      </c>
      <c r="G4" s="1240"/>
      <c r="H4" s="31" t="s">
        <v>1105</v>
      </c>
      <c r="I4" s="1240"/>
      <c r="J4" s="1240"/>
      <c r="K4" s="1240"/>
      <c r="L4" s="1240"/>
      <c r="M4" s="47"/>
      <c r="N4"/>
      <c r="O4"/>
    </row>
    <row r="5" spans="2:15" x14ac:dyDescent="0.2">
      <c r="B5" s="671" t="s">
        <v>1631</v>
      </c>
      <c r="C5" s="672">
        <v>10</v>
      </c>
      <c r="D5" s="829">
        <f t="shared" ref="D5:D14" si="0">IF(ISBLANK(C5),"",C5/$C$17)</f>
        <v>0.41666666666666669</v>
      </c>
      <c r="E5" s="769" t="str">
        <f>IF(ISBLANK(B5),"",VLOOKUP(B5,'Grain &amp; Sugar List'!$A$2:$H$307,3,FALSE))</f>
        <v>Grain</v>
      </c>
      <c r="F5" s="830">
        <f>IF(ISBLANK(B5),"",VLOOKUP(B5,'Grain &amp; Sugar List'!$A$2:$H$307,8,FALSE)*IF('Brewhouse Setup &amp; Calcs'!$C$2="US Customary",C5,C5*2.204623))</f>
        <v>674.28571428571433</v>
      </c>
      <c r="G5" s="831">
        <f>IF(ISBLANK(B5),"",VLOOKUP(B5,'Grain &amp; Sugar List'!$A$2:$H$307,6,FALSE))</f>
        <v>1.03743334</v>
      </c>
      <c r="H5" s="768">
        <f t="shared" ref="H5:H14" si="1">IF(ISBLANK(B5),"",(G5-1)*1000)</f>
        <v>37.43333999999998</v>
      </c>
      <c r="I5" s="832">
        <f>IF(ISBLANK(B5),"",IF('Brewhouse Setup &amp; Calcs'!$C$2="Metric",2.20462262185*H5*C5,H5*C5))</f>
        <v>374.33339999999981</v>
      </c>
      <c r="J5" s="833">
        <f>IF(ISBLANK(B5),"",IF(E5="Grain",'Brewhouse Setup &amp; Calcs'!$C$46,IF(E5="Sugar",1,)))</f>
        <v>0.7</v>
      </c>
      <c r="K5" s="832">
        <f>IF(ISBLANK(B5),"",IF('Brewhouse Setup &amp; Calcs'!$C$2="Metric",I5*J5/(0.264172*'Brewhouse Setup &amp; Calcs'!$C$80),I5*J5/'Brewhouse Setup &amp; Calcs'!$C$80*4))</f>
        <v>20.110393659097838</v>
      </c>
      <c r="L5" s="832">
        <f>IF(ISBLANK(B5),"",IF('Brewhouse Setup &amp; Calcs'!$C$2="Metric",I5*J5/(0.264172*'Brewhouse Setup &amp; Calcs'!$C$76),I5*J5/'Brewhouse Setup &amp; Calcs'!$C$76*4))</f>
        <v>22.683809214943409</v>
      </c>
      <c r="M5" s="773">
        <f>IF(ISBLANK(C5),"",(IF('Brewhouse Setup &amp; Calcs'!$C$2="US Customary",((VLOOKUP(B5,grains_table[[Ingredient Name]:[Color (° L)]],7,FALSE)*C5)/('Brewhouse Setup &amp; Calcs'!$C$76/4)),((VLOOKUP(B5,grains_table[[Ingredient Name]:[Color (° L)]],7,FALSE)*C5*2.204623)/('Brewhouse Setup &amp; Calcs'!$C$76*1.056688/4)))))</f>
        <v>1.7313679054892488</v>
      </c>
    </row>
    <row r="6" spans="2:15" x14ac:dyDescent="0.2">
      <c r="B6" s="671" t="s">
        <v>1378</v>
      </c>
      <c r="C6" s="672">
        <v>5</v>
      </c>
      <c r="D6" s="829">
        <f t="shared" si="0"/>
        <v>0.20833333333333334</v>
      </c>
      <c r="E6" s="769" t="str">
        <f>IF(ISBLANK(B6),"",VLOOKUP(B6,'Grain &amp; Sugar List'!$A$2:$H$307,3,FALSE))</f>
        <v>Grain</v>
      </c>
      <c r="F6" s="830">
        <f>IF(ISBLANK(B6),"",VLOOKUP(B6,'Grain &amp; Sugar List'!$A$2:$H$307,8,FALSE)*IF('Brewhouse Setup &amp; Calcs'!$C$2="US Customary",C6,C6*2.204623))</f>
        <v>700</v>
      </c>
      <c r="G6" s="831">
        <f>IF(ISBLANK(B6),"",VLOOKUP(B6,'Grain &amp; Sugar List'!$A$2:$H$307,6,FALSE))</f>
        <v>1.03743334</v>
      </c>
      <c r="H6" s="768">
        <f t="shared" si="1"/>
        <v>37.43333999999998</v>
      </c>
      <c r="I6" s="832">
        <f>IF(ISBLANK(B6),"",IF('Brewhouse Setup &amp; Calcs'!$C$2="Metric",2.20462262185*H6*C6,H6*C6))</f>
        <v>187.16669999999991</v>
      </c>
      <c r="J6" s="833">
        <f>IF(ISBLANK(B6),"",IF(E6="Grain",'Brewhouse Setup &amp; Calcs'!$C$46,IF(E6="Sugar",1,)))</f>
        <v>0.7</v>
      </c>
      <c r="K6" s="832">
        <f>IF(ISBLANK(B6),"",IF('Brewhouse Setup &amp; Calcs'!$C$2="Metric",I6*J6/(0.264172*'Brewhouse Setup &amp; Calcs'!$C$80),I6*J6/'Brewhouse Setup &amp; Calcs'!$C$80*4))</f>
        <v>10.055196829548919</v>
      </c>
      <c r="L6" s="832">
        <f>IF(ISBLANK(B6),"",IF('Brewhouse Setup &amp; Calcs'!$C$2="Metric",I6*J6/(0.264172*'Brewhouse Setup &amp; Calcs'!$C$76),I6*J6/'Brewhouse Setup &amp; Calcs'!$C$76*4))</f>
        <v>11.341904607471704</v>
      </c>
      <c r="M6" s="773">
        <f>IF(ISBLANK(C6),"",(IF('Brewhouse Setup &amp; Calcs'!$C$2="US Customary",((VLOOKUP(B6,grains_table[[Ingredient Name]:[Color (° L)]],7,FALSE)*C6)/('Brewhouse Setup &amp; Calcs'!$C$76/4)),((VLOOKUP(B6,grains_table[[Ingredient Name]:[Color (° L)]],7,FALSE)*C6*2.204623)/('Brewhouse Setup &amp; Calcs'!$C$76*1.056688/4)))))</f>
        <v>0.77911555747016192</v>
      </c>
    </row>
    <row r="7" spans="2:15" x14ac:dyDescent="0.2">
      <c r="B7" s="671" t="s">
        <v>2423</v>
      </c>
      <c r="C7" s="672">
        <v>9</v>
      </c>
      <c r="D7" s="829">
        <f t="shared" si="0"/>
        <v>0.375</v>
      </c>
      <c r="E7" s="769" t="str">
        <f>IF(ISBLANK(B7),"",VLOOKUP(B7,'Grain &amp; Sugar List'!$A$2:$H$307,3,FALSE))</f>
        <v>Grain</v>
      </c>
      <c r="F7" s="830">
        <f>IF(ISBLANK(B7),"",VLOOKUP(B7,'Grain &amp; Sugar List'!$A$2:$H$307,8,FALSE)*IF('Brewhouse Setup &amp; Calcs'!$C$2="US Customary",C7,C7*2.204623))</f>
        <v>450</v>
      </c>
      <c r="G7" s="831">
        <f>IF(ISBLANK(B7),"",VLOOKUP(B7,'Grain &amp; Sugar List'!$A$2:$H$307,6,FALSE))</f>
        <v>1.0372022700000001</v>
      </c>
      <c r="H7" s="768">
        <f t="shared" si="1"/>
        <v>37.202270000000091</v>
      </c>
      <c r="I7" s="832">
        <f>IF(ISBLANK(B7),"",IF('Brewhouse Setup &amp; Calcs'!$C$2="Metric",2.20462262185*H7*C7,H7*C7))</f>
        <v>334.82043000000084</v>
      </c>
      <c r="J7" s="833">
        <f>IF(ISBLANK(B7),"",IF(E7="Grain",'Brewhouse Setup &amp; Calcs'!$C$46,IF(E7="Sugar",1,)))</f>
        <v>0.7</v>
      </c>
      <c r="K7" s="832">
        <f>IF(ISBLANK(B7),"",IF('Brewhouse Setup &amp; Calcs'!$C$2="Metric",I7*J7/(0.264172*'Brewhouse Setup &amp; Calcs'!$C$80),I7*J7/'Brewhouse Setup &amp; Calcs'!$C$80*4))</f>
        <v>17.987629883970897</v>
      </c>
      <c r="L7" s="832">
        <f>IF(ISBLANK(B7),"",IF('Brewhouse Setup &amp; Calcs'!$C$2="Metric",I7*J7/(0.264172*'Brewhouse Setup &amp; Calcs'!$C$76),I7*J7/'Brewhouse Setup &amp; Calcs'!$C$76*4))</f>
        <v>20.289407131143886</v>
      </c>
      <c r="M7" s="773">
        <f>IF(ISBLANK(C7),"",(IF('Brewhouse Setup &amp; Calcs'!$C$2="US Customary",((VLOOKUP(B7,grains_table[[Ingredient Name]:[Color (° L)]],7,FALSE)*C7)/('Brewhouse Setup &amp; Calcs'!$C$76/4)),((VLOOKUP(B7,grains_table[[Ingredient Name]:[Color (° L)]],7,FALSE)*C7*2.204623)/('Brewhouse Setup &amp; Calcs'!$C$76*1.056688/4)))))</f>
        <v>3.3112411192481881</v>
      </c>
    </row>
    <row r="8" spans="2:15" x14ac:dyDescent="0.2">
      <c r="B8" s="671"/>
      <c r="C8" s="672"/>
      <c r="D8" s="829" t="str">
        <f t="shared" si="0"/>
        <v/>
      </c>
      <c r="E8" s="769" t="str">
        <f>IF(ISBLANK(B8),"",VLOOKUP(B8,'Grain &amp; Sugar List'!$A$2:$H$307,3,FALSE))</f>
        <v/>
      </c>
      <c r="F8" s="830" t="str">
        <f>IF(ISBLANK(B8),"",VLOOKUP(B8,'Grain &amp; Sugar List'!$A$2:$H$307,8,FALSE)*IF('Brewhouse Setup &amp; Calcs'!$C$2="US Customary",C8,C8*2.204623))</f>
        <v/>
      </c>
      <c r="G8" s="831" t="str">
        <f>IF(ISBLANK(B8),"",VLOOKUP(B8,'Grain &amp; Sugar List'!$A$2:$H$307,6,FALSE))</f>
        <v/>
      </c>
      <c r="H8" s="768" t="str">
        <f t="shared" si="1"/>
        <v/>
      </c>
      <c r="I8" s="832" t="str">
        <f>IF(ISBLANK(B8),"",IF('Brewhouse Setup &amp; Calcs'!$C$2="Metric",2.20462262185*H8*C8,H8*C8))</f>
        <v/>
      </c>
      <c r="J8" s="833" t="str">
        <f>IF(ISBLANK(B8),"",IF(E8="Grain",'Brewhouse Setup &amp; Calcs'!$C$46,IF(E8="Sugar",1,)))</f>
        <v/>
      </c>
      <c r="K8" s="832" t="str">
        <f>IF(ISBLANK(B8),"",IF('Brewhouse Setup &amp; Calcs'!$C$2="Metric",I8*J8/(0.264172*'Brewhouse Setup &amp; Calcs'!$C$80),I8*J8/'Brewhouse Setup &amp; Calcs'!$C$80*4))</f>
        <v/>
      </c>
      <c r="L8" s="832" t="str">
        <f>IF(ISBLANK(B8),"",IF('Brewhouse Setup &amp; Calcs'!$C$2="Metric",I8*J8/(0.264172*'Brewhouse Setup &amp; Calcs'!$C$76),I8*J8/'Brewhouse Setup &amp; Calcs'!$C$76*4))</f>
        <v/>
      </c>
      <c r="M8" s="773" t="str">
        <f>IF(ISBLANK(C8),"",(IF('Brewhouse Setup &amp; Calcs'!$C$2="US Customary",((VLOOKUP(B8,grains_table[[Ingredient Name]:[Color (° L)]],7,FALSE)*C8)/('Brewhouse Setup &amp; Calcs'!$C$76/4)),((VLOOKUP(B8,grains_table[[Ingredient Name]:[Color (° L)]],7,FALSE)*C8*2.204623)/('Brewhouse Setup &amp; Calcs'!$C$76*1.056688/4)))))</f>
        <v/>
      </c>
    </row>
    <row r="9" spans="2:15" x14ac:dyDescent="0.2">
      <c r="B9" s="671"/>
      <c r="C9" s="672"/>
      <c r="D9" s="829" t="str">
        <f t="shared" si="0"/>
        <v/>
      </c>
      <c r="E9" s="769" t="str">
        <f>IF(ISBLANK(B9),"",VLOOKUP(B9,'Grain &amp; Sugar List'!$A$2:$H$307,3,FALSE))</f>
        <v/>
      </c>
      <c r="F9" s="830" t="str">
        <f>IF(ISBLANK(B9),"",VLOOKUP(B9,'Grain &amp; Sugar List'!$A$2:$H$307,8,FALSE)*IF('Brewhouse Setup &amp; Calcs'!$C$2="US Customary",C9,C9*2.204623))</f>
        <v/>
      </c>
      <c r="G9" s="831" t="str">
        <f>IF(ISBLANK(B9),"",VLOOKUP(B9,'Grain &amp; Sugar List'!$A$2:$H$307,6,FALSE))</f>
        <v/>
      </c>
      <c r="H9" s="768" t="str">
        <f t="shared" si="1"/>
        <v/>
      </c>
      <c r="I9" s="832" t="str">
        <f>IF(ISBLANK(B9),"",IF('Brewhouse Setup &amp; Calcs'!$C$2="Metric",2.20462262185*H9*C9,H9*C9))</f>
        <v/>
      </c>
      <c r="J9" s="833" t="str">
        <f>IF(ISBLANK(B9),"",IF(E9="Grain",'Brewhouse Setup &amp; Calcs'!$C$46,IF(E9="Sugar",1,)))</f>
        <v/>
      </c>
      <c r="K9" s="832" t="str">
        <f>IF(ISBLANK(B9),"",IF('Brewhouse Setup &amp; Calcs'!$C$2="Metric",I9*J9/(0.264172*'Brewhouse Setup &amp; Calcs'!$C$80),I9*J9/'Brewhouse Setup &amp; Calcs'!$C$80*4))</f>
        <v/>
      </c>
      <c r="L9" s="832" t="str">
        <f>IF(ISBLANK(B9),"",IF('Brewhouse Setup &amp; Calcs'!$C$2="Metric",I9*J9/(0.264172*'Brewhouse Setup &amp; Calcs'!$C$76),I9*J9/'Brewhouse Setup &amp; Calcs'!$C$76*4))</f>
        <v/>
      </c>
      <c r="M9" s="773"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9" t="str">
        <f t="shared" si="0"/>
        <v/>
      </c>
      <c r="E10" s="769" t="str">
        <f>IF(ISBLANK(B10),"",VLOOKUP(B10,'Grain &amp; Sugar List'!$A$2:$H$307,3,FALSE))</f>
        <v/>
      </c>
      <c r="F10" s="830" t="str">
        <f>IF(ISBLANK(B10),"",VLOOKUP(B10,'Grain &amp; Sugar List'!$A$2:$H$307,8,FALSE)*IF('Brewhouse Setup &amp; Calcs'!$C$2="US Customary",C10,C10*2.204623))</f>
        <v/>
      </c>
      <c r="G10" s="831" t="str">
        <f>IF(ISBLANK(B10),"",VLOOKUP(B10,'Grain &amp; Sugar List'!$A$2:$H$307,6,FALSE))</f>
        <v/>
      </c>
      <c r="H10" s="768" t="str">
        <f t="shared" si="1"/>
        <v/>
      </c>
      <c r="I10" s="832" t="str">
        <f>IF(ISBLANK(B10),"",IF('Brewhouse Setup &amp; Calcs'!$C$2="Metric",2.20462262185*H10*C10,H10*C10))</f>
        <v/>
      </c>
      <c r="J10" s="833" t="str">
        <f>IF(ISBLANK(B10),"",IF(E10="Grain",'Brewhouse Setup &amp; Calcs'!$C$46,IF(E10="Sugar",1,)))</f>
        <v/>
      </c>
      <c r="K10" s="832" t="str">
        <f>IF(ISBLANK(B10),"",IF('Brewhouse Setup &amp; Calcs'!$C$2="Metric",I10*J10/(0.264172*'Brewhouse Setup &amp; Calcs'!$C$80),I10*J10/'Brewhouse Setup &amp; Calcs'!$C$80*4))</f>
        <v/>
      </c>
      <c r="L10" s="832" t="str">
        <f>IF(ISBLANK(B10),"",IF('Brewhouse Setup &amp; Calcs'!$C$2="Metric",I10*J10/(0.264172*'Brewhouse Setup &amp; Calcs'!$C$76),I10*J10/'Brewhouse Setup &amp; Calcs'!$C$76*4))</f>
        <v/>
      </c>
      <c r="M10" s="773"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9" t="str">
        <f t="shared" si="0"/>
        <v/>
      </c>
      <c r="E11" s="769" t="str">
        <f>IF(ISBLANK(B11),"",VLOOKUP(B11,'Grain &amp; Sugar List'!$A$2:$H$307,3,FALSE))</f>
        <v/>
      </c>
      <c r="F11" s="830" t="str">
        <f>IF(ISBLANK(B11),"",VLOOKUP(B11,'Grain &amp; Sugar List'!$A$2:$H$307,8,FALSE)*IF('Brewhouse Setup &amp; Calcs'!$C$2="US Customary",C11,C11*2.204623))</f>
        <v/>
      </c>
      <c r="G11" s="831" t="str">
        <f>IF(ISBLANK(B11),"",VLOOKUP(B11,'Grain &amp; Sugar List'!$A$2:$H$307,6,FALSE))</f>
        <v/>
      </c>
      <c r="H11" s="768" t="str">
        <f t="shared" si="1"/>
        <v/>
      </c>
      <c r="I11" s="832" t="str">
        <f>IF(ISBLANK(B11),"",IF('Brewhouse Setup &amp; Calcs'!$C$2="Metric",2.20462262185*H11*C11,H11*C11))</f>
        <v/>
      </c>
      <c r="J11" s="833" t="str">
        <f>IF(ISBLANK(B11),"",IF(E11="Grain",'Brewhouse Setup &amp; Calcs'!$C$46,IF(E11="Sugar",1,)))</f>
        <v/>
      </c>
      <c r="K11" s="832" t="str">
        <f>IF(ISBLANK(B11),"",IF('Brewhouse Setup &amp; Calcs'!$C$2="Metric",I11*J11/(0.264172*'Brewhouse Setup &amp; Calcs'!$C$80),I11*J11/'Brewhouse Setup &amp; Calcs'!$C$80*4))</f>
        <v/>
      </c>
      <c r="L11" s="832" t="str">
        <f>IF(ISBLANK(B11),"",IF('Brewhouse Setup &amp; Calcs'!$C$2="Metric",I11*J11/(0.264172*'Brewhouse Setup &amp; Calcs'!$C$76),I11*J11/'Brewhouse Setup &amp; Calcs'!$C$76*4))</f>
        <v/>
      </c>
      <c r="M11" s="773"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9" t="str">
        <f t="shared" ref="D12" si="2">IF(ISBLANK(C12),"",C12/$C$17)</f>
        <v/>
      </c>
      <c r="E12" s="769" t="str">
        <f>IF(ISBLANK(B12),"",VLOOKUP(B12,'Grain &amp; Sugar List'!$A$2:$H$307,3,FALSE))</f>
        <v/>
      </c>
      <c r="F12" s="830" t="str">
        <f>IF(ISBLANK(B12),"",VLOOKUP(B12,'Grain &amp; Sugar List'!$A$2:$H$307,8,FALSE)*IF('Brewhouse Setup &amp; Calcs'!$C$2="US Customary",C12,C12*2.204623))</f>
        <v/>
      </c>
      <c r="G12" s="831" t="str">
        <f>IF(ISBLANK(B12),"",VLOOKUP(B12,'Grain &amp; Sugar List'!$A$2:$H$307,6,FALSE))</f>
        <v/>
      </c>
      <c r="H12" s="768" t="str">
        <f t="shared" ref="H12" si="3">IF(ISBLANK(B12),"",(G12-1)*1000)</f>
        <v/>
      </c>
      <c r="I12" s="832" t="str">
        <f>IF(ISBLANK(B12),"",IF('Brewhouse Setup &amp; Calcs'!$C$2="Metric",2.20462262185*H12*C12,H12*C12))</f>
        <v/>
      </c>
      <c r="J12" s="833" t="str">
        <f>IF(ISBLANK(B12),"",IF(E12="Grain",'Brewhouse Setup &amp; Calcs'!$C$46,IF(E12="Sugar",1,)))</f>
        <v/>
      </c>
      <c r="K12" s="832" t="str">
        <f>IF(ISBLANK(B12),"",IF('Brewhouse Setup &amp; Calcs'!$C$2="Metric",I12*J12/(0.264172*'Brewhouse Setup &amp; Calcs'!$C$80),I12*J12/'Brewhouse Setup &amp; Calcs'!$C$80*4))</f>
        <v/>
      </c>
      <c r="L12" s="832" t="str">
        <f>IF(ISBLANK(B12),"",IF('Brewhouse Setup &amp; Calcs'!$C$2="Metric",I12*J12/(0.264172*'Brewhouse Setup &amp; Calcs'!$C$76),I12*J12/'Brewhouse Setup &amp; Calcs'!$C$76*4))</f>
        <v/>
      </c>
      <c r="M12" s="773"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9" t="str">
        <f t="shared" si="0"/>
        <v/>
      </c>
      <c r="E13" s="769" t="str">
        <f>IF(ISBLANK(B13),"",VLOOKUP(B13,'Grain &amp; Sugar List'!$A$2:$H$307,3,FALSE))</f>
        <v/>
      </c>
      <c r="F13" s="830" t="str">
        <f>IF(ISBLANK(B13),"",VLOOKUP(B13,'Grain &amp; Sugar List'!$A$2:$H$307,8,FALSE)*IF('Brewhouse Setup &amp; Calcs'!$C$2="US Customary",C13,C13*2.204623))</f>
        <v/>
      </c>
      <c r="G13" s="831" t="str">
        <f>IF(ISBLANK(B13),"",VLOOKUP(B13,'Grain &amp; Sugar List'!$A$2:$H$307,6,FALSE))</f>
        <v/>
      </c>
      <c r="H13" s="768" t="str">
        <f t="shared" si="1"/>
        <v/>
      </c>
      <c r="I13" s="832" t="str">
        <f>IF(ISBLANK(B13),"",IF('Brewhouse Setup &amp; Calcs'!$C$2="Metric",2.20462262185*H13*C13,H13*C13))</f>
        <v/>
      </c>
      <c r="J13" s="833" t="str">
        <f>IF(ISBLANK(B13),"",IF(E13="Grain",'Brewhouse Setup &amp; Calcs'!$C$46,IF(E13="Sugar",1,)))</f>
        <v/>
      </c>
      <c r="K13" s="832" t="str">
        <f>IF(ISBLANK(B13),"",IF('Brewhouse Setup &amp; Calcs'!$C$2="Metric",I13*J13/(0.264172*'Brewhouse Setup &amp; Calcs'!$C$80),I13*J13/'Brewhouse Setup &amp; Calcs'!$C$80*4))</f>
        <v/>
      </c>
      <c r="L13" s="832" t="str">
        <f>IF(ISBLANK(B13),"",IF('Brewhouse Setup &amp; Calcs'!$C$2="Metric",I13*J13/(0.264172*'Brewhouse Setup &amp; Calcs'!$C$76),I13*J13/'Brewhouse Setup &amp; Calcs'!$C$76*4))</f>
        <v/>
      </c>
      <c r="M13" s="773"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9" t="str">
        <f t="shared" si="0"/>
        <v/>
      </c>
      <c r="E14" s="769" t="str">
        <f>IF(ISBLANK(B14),"",VLOOKUP(B14,'Grain &amp; Sugar List'!$A$2:$H$307,3,FALSE))</f>
        <v/>
      </c>
      <c r="F14" s="830" t="str">
        <f>IF(ISBLANK(B14),"",VLOOKUP(B14,'Grain &amp; Sugar List'!$A$2:$H$307,8,FALSE)*IF('Brewhouse Setup &amp; Calcs'!$C$2="US Customary",C14,C14*2.204623))</f>
        <v/>
      </c>
      <c r="G14" s="831" t="str">
        <f>IF(ISBLANK(B14),"",VLOOKUP(B14,'Grain &amp; Sugar List'!$A$2:$H$307,6,FALSE))</f>
        <v/>
      </c>
      <c r="H14" s="768" t="str">
        <f t="shared" si="1"/>
        <v/>
      </c>
      <c r="I14" s="832" t="str">
        <f>IF(ISBLANK(B14),"",IF('Brewhouse Setup &amp; Calcs'!$C$2="Metric",2.20462262185*H14*C14,H14*C14))</f>
        <v/>
      </c>
      <c r="J14" s="833" t="str">
        <f>IF(ISBLANK(B14),"",IF(E14="Grain",'Brewhouse Setup &amp; Calcs'!$C$46,IF(E14="Sugar",1,)))</f>
        <v/>
      </c>
      <c r="K14" s="832" t="str">
        <f>IF(ISBLANK(B14),"",IF('Brewhouse Setup &amp; Calcs'!$C$2="Metric",I14*J14/(0.264172*'Brewhouse Setup &amp; Calcs'!$C$80),I14*J14/'Brewhouse Setup &amp; Calcs'!$C$80*4))</f>
        <v/>
      </c>
      <c r="L14" s="832" t="str">
        <f>IF(ISBLANK(B14),"",IF('Brewhouse Setup &amp; Calcs'!$C$2="Metric",I14*J14/(0.264172*'Brewhouse Setup &amp; Calcs'!$C$76),I14*J14/'Brewhouse Setup &amp; Calcs'!$C$76*4))</f>
        <v/>
      </c>
      <c r="M14" s="773"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70">
        <f>SUMIF($E$5:$E$14,"Grain",$C$5:$C$14)</f>
        <v>24</v>
      </c>
      <c r="D15" s="835">
        <f>SUMIF($E$5:$E$14,"Grain",$D$5:$D$14)</f>
        <v>1</v>
      </c>
      <c r="F15" s="374">
        <f>ROUND(SUM(F5:F14)/($C$15*IF('Brewhouse Setup &amp; Calcs'!C2="US Customary",1,2.204623)),0)</f>
        <v>76</v>
      </c>
      <c r="H15" s="20" t="s">
        <v>1100</v>
      </c>
      <c r="I15" s="836">
        <f>SUMIF($E$5:$E$14,"Grain",$I$5:$I$14)</f>
        <v>896.32053000000064</v>
      </c>
      <c r="J15" s="20"/>
      <c r="K15" s="836">
        <f>SUMIF($E$5:$E$14,"Grain",$K$5:$K$14)</f>
        <v>48.153220372617653</v>
      </c>
      <c r="L15" s="836">
        <f>SUMIF($E$5:$E$14,"Grain",$L$5:$L$14)</f>
        <v>54.315120953559003</v>
      </c>
      <c r="M15" s="369"/>
    </row>
    <row r="16" spans="2:15" x14ac:dyDescent="0.2">
      <c r="B16" s="20" t="s">
        <v>857</v>
      </c>
      <c r="C16" s="770">
        <f>SUMIF($E$5:$E$14,"Sugar",$C$5:$C$14)</f>
        <v>0</v>
      </c>
      <c r="D16" s="835">
        <f>SUMIF($E$5:$E$14,"Sugar",$D$5:$D$14)</f>
        <v>0</v>
      </c>
      <c r="F16" s="1236" t="s">
        <v>2242</v>
      </c>
      <c r="H16" s="20" t="s">
        <v>1101</v>
      </c>
      <c r="I16" s="836">
        <f>SUMIF($E$5:$E$14,"Sugar",$I$5:$I$14)</f>
        <v>0</v>
      </c>
      <c r="J16" s="20"/>
      <c r="K16" s="836">
        <f>SUMIF($E$5:$E$14,"Sugar",$K$5:$K$14)</f>
        <v>0</v>
      </c>
      <c r="L16" s="836">
        <f>SUMIF($E$5:$E$14,"Sugar",$L$5:$L$14)</f>
        <v>0</v>
      </c>
      <c r="M16" s="370" t="s">
        <v>1867</v>
      </c>
    </row>
    <row r="17" spans="2:13" x14ac:dyDescent="0.2">
      <c r="B17" s="20" t="s">
        <v>117</v>
      </c>
      <c r="C17" s="770">
        <f>C15+C16</f>
        <v>24</v>
      </c>
      <c r="D17" s="835">
        <f>D15+D16</f>
        <v>1</v>
      </c>
      <c r="F17" s="1237"/>
      <c r="H17" s="20" t="s">
        <v>117</v>
      </c>
      <c r="I17" s="836">
        <f>SUM(I5:I14)</f>
        <v>896.32053000000064</v>
      </c>
      <c r="K17" s="836">
        <f>SUM(K5:K14)</f>
        <v>48.153220372617653</v>
      </c>
      <c r="L17" s="836">
        <f>SUM(L5:L14)</f>
        <v>54.315120953559003</v>
      </c>
      <c r="M17" s="837">
        <f>SUM(M5:M14)</f>
        <v>5.8217245822075991</v>
      </c>
    </row>
    <row r="18" spans="2:13" x14ac:dyDescent="0.2">
      <c r="F18" s="1237"/>
      <c r="M18" s="371" t="s">
        <v>1232</v>
      </c>
    </row>
    <row r="19" spans="2:13" x14ac:dyDescent="0.2">
      <c r="B19" s="483" t="s">
        <v>2243</v>
      </c>
      <c r="C19" s="484" t="str">
        <f>'Brewhouse Setup &amp; Calcs'!M12</f>
        <v>PASS</v>
      </c>
      <c r="F19" s="1237"/>
      <c r="J19" s="20" t="s">
        <v>118</v>
      </c>
      <c r="K19" s="831">
        <f>SUMIF($E$5:$E$14,"Grain",$K$5:$K$14)*(IF(I4="PKL",2.205,1))/1000+1</f>
        <v>1.0481532203726176</v>
      </c>
      <c r="M19" s="396">
        <f>1.4922*M17^0.6859</f>
        <v>4.9954655269351118</v>
      </c>
    </row>
    <row r="20" spans="2:13" x14ac:dyDescent="0.2">
      <c r="C20" s="395"/>
      <c r="F20" s="1237"/>
      <c r="J20" s="20" t="s">
        <v>1102</v>
      </c>
      <c r="K20" s="838">
        <f>SUMIF($E$5:$E$14,"Sugar",$K$5:$K$14)/1000+1</f>
        <v>1</v>
      </c>
    </row>
    <row r="21" spans="2:13" x14ac:dyDescent="0.2">
      <c r="C21" s="459"/>
      <c r="F21" s="1237"/>
      <c r="J21" s="20" t="s">
        <v>120</v>
      </c>
      <c r="K21" s="838">
        <f>SUM(K5:K14)/1000+1</f>
        <v>1.0481532203726176</v>
      </c>
      <c r="L21" s="394">
        <f>L17/1000+1</f>
        <v>1.0543151209535591</v>
      </c>
    </row>
    <row r="22" spans="2:13" x14ac:dyDescent="0.2">
      <c r="F22" s="1238"/>
    </row>
    <row r="23" spans="2:13" ht="13.15" customHeight="1" x14ac:dyDescent="0.2">
      <c r="E23" s="1233" t="s">
        <v>2021</v>
      </c>
      <c r="F23" s="378" t="s">
        <v>2018</v>
      </c>
      <c r="G23" s="382" t="s">
        <v>2020</v>
      </c>
      <c r="H23" s="383"/>
      <c r="I23" s="384"/>
      <c r="K23" s="1233" t="s">
        <v>2143</v>
      </c>
      <c r="L23" s="394"/>
      <c r="M23" s="19" t="s">
        <v>2141</v>
      </c>
    </row>
    <row r="24" spans="2:13" x14ac:dyDescent="0.2">
      <c r="E24" s="1234"/>
      <c r="F24" s="376" t="s">
        <v>2019</v>
      </c>
      <c r="G24" s="382" t="s">
        <v>2015</v>
      </c>
      <c r="H24" s="383"/>
      <c r="I24" s="384"/>
      <c r="K24" s="1235"/>
      <c r="L24" s="377"/>
      <c r="M24" s="19" t="s">
        <v>2142</v>
      </c>
    </row>
    <row r="25" spans="2:13" x14ac:dyDescent="0.2">
      <c r="E25" s="1235"/>
      <c r="F25" s="377" t="s">
        <v>2016</v>
      </c>
      <c r="G25" s="379" t="s">
        <v>2017</v>
      </c>
      <c r="H25" s="380"/>
      <c r="I25" s="381"/>
      <c r="K25" s="395"/>
    </row>
    <row r="26" spans="2:13" x14ac:dyDescent="0.2">
      <c r="K26" s="1227" t="s">
        <v>21</v>
      </c>
      <c r="L26" s="1227"/>
      <c r="M26" s="1227"/>
    </row>
    <row r="27" spans="2:13" x14ac:dyDescent="0.2">
      <c r="K27" s="1228" t="str">
        <f>'Recipe Sheet'!$B$1</f>
        <v>4B. Festbier</v>
      </c>
      <c r="L27" s="1228"/>
      <c r="M27" s="1228"/>
    </row>
    <row r="28" spans="2:13" x14ac:dyDescent="0.2">
      <c r="K28" s="1232" t="s">
        <v>2129</v>
      </c>
      <c r="L28" s="1232"/>
      <c r="M28" s="1232"/>
    </row>
    <row r="29" spans="2:13" x14ac:dyDescent="0.2">
      <c r="F29" s="28"/>
      <c r="K29" s="392">
        <f>VLOOKUP('Recipe Sheet'!$B$1,'BJCP Guidelines'!$A$2:$K$126,10,FALSE)</f>
        <v>4</v>
      </c>
      <c r="L29" s="389" t="s">
        <v>2140</v>
      </c>
      <c r="M29" s="393">
        <f>VLOOKUP('Recipe Sheet'!$B$1,'BJCP Guidelines'!$A$2:$K$126,11,FALSE)</f>
        <v>7</v>
      </c>
    </row>
    <row r="30" spans="2:13" x14ac:dyDescent="0.2">
      <c r="F30" s="375"/>
      <c r="K30" s="1229" t="s">
        <v>2128</v>
      </c>
      <c r="L30" s="1230"/>
      <c r="M30" s="1231"/>
    </row>
    <row r="31" spans="2:13" x14ac:dyDescent="0.2">
      <c r="F31" s="4"/>
      <c r="K31" s="386">
        <f>VLOOKUP('Recipe Sheet'!$B$1,'BJCP Guidelines'!$A$2:$K$126,2,FALSE)</f>
        <v>1.054</v>
      </c>
      <c r="L31" s="387" t="s">
        <v>2140</v>
      </c>
      <c r="M31" s="388">
        <f>VLOOKUP('Recipe Sheet'!$B$1,'BJCP Guidelines'!$A$2:$K$126,3,FALSE)</f>
        <v>1.0569999999999999</v>
      </c>
    </row>
    <row r="32" spans="2:13" x14ac:dyDescent="0.2">
      <c r="F32" s="28"/>
    </row>
  </sheetData>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G11" sqref="G11"/>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8" t="s">
        <v>104</v>
      </c>
      <c r="D1" s="1248"/>
      <c r="E1" s="1248"/>
      <c r="F1" s="1248"/>
      <c r="G1" s="1248"/>
      <c r="H1" s="1248"/>
      <c r="I1" s="1248"/>
      <c r="J1" s="1248"/>
      <c r="K1" s="1248"/>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8" t="s">
        <v>94</v>
      </c>
      <c r="D4" s="1248"/>
      <c r="E4" s="1248"/>
      <c r="F4" s="1248"/>
      <c r="G4" s="1249"/>
      <c r="H4" s="1248"/>
      <c r="I4" s="1248"/>
      <c r="J4" s="1248"/>
      <c r="K4" s="1248"/>
    </row>
    <row r="5" spans="1:15" ht="30.6" customHeight="1" x14ac:dyDescent="0.2">
      <c r="C5" s="1239" t="s">
        <v>93</v>
      </c>
      <c r="D5" s="1239" t="s">
        <v>66</v>
      </c>
      <c r="E5" s="1239" t="s">
        <v>91</v>
      </c>
      <c r="F5" s="1243" t="s">
        <v>92</v>
      </c>
      <c r="G5" s="30" t="s">
        <v>124</v>
      </c>
      <c r="H5" s="1239" t="s">
        <v>1107</v>
      </c>
      <c r="I5" s="1239" t="s">
        <v>98</v>
      </c>
      <c r="J5" s="1239" t="s">
        <v>88</v>
      </c>
      <c r="K5" s="1239" t="s">
        <v>87</v>
      </c>
    </row>
    <row r="6" spans="1:15" x14ac:dyDescent="0.2">
      <c r="C6" s="1240"/>
      <c r="D6" s="1240"/>
      <c r="E6" s="1240"/>
      <c r="F6" s="1244"/>
      <c r="G6" s="834" t="str">
        <f>'Brewhouse Setup &amp; Calcs'!$C$7</f>
        <v>oz</v>
      </c>
      <c r="H6" s="1240"/>
      <c r="I6" s="1240"/>
      <c r="J6" s="1240"/>
      <c r="K6" s="1240"/>
    </row>
    <row r="7" spans="1:15" x14ac:dyDescent="0.2">
      <c r="A7" s="362" t="str">
        <f t="shared" ref="A7:A8" si="0">IF(C7="Hop Stand","Time (min):","")</f>
        <v/>
      </c>
      <c r="B7" s="365"/>
      <c r="C7" s="671">
        <v>60</v>
      </c>
      <c r="D7" s="671" t="s">
        <v>2383</v>
      </c>
      <c r="E7" s="671" t="s">
        <v>740</v>
      </c>
      <c r="F7" s="675">
        <v>12</v>
      </c>
      <c r="G7" s="672">
        <v>1</v>
      </c>
      <c r="H7" s="839">
        <f>IF(ISBLANK(G7),"",IF($G$6="grams",F7*G7/28.346,F7*G7))</f>
        <v>12</v>
      </c>
      <c r="I7" s="840">
        <f>1+IF(D7="Leaf",0,IF(D7="Pellet",$I$2,IF(D7="Plug",$K$2,)))+IF(C7="FWH",$D$2,)</f>
        <v>1.1000000000000001</v>
      </c>
      <c r="J7" s="831">
        <f>(1.65*0.000125^(('Grain &amp; Sugar Calcs'!$K$21+'Grain &amp; Sugar Calcs'!$L$21)/2-1))*((1-EXP(-0.04*IF(C7="Hop Stand",$D$3*B7,IF(C7="Dry Hop",0,IF(C7="FWH",'Brewhouse Setup &amp; Calcs'!$C$28,C7)))))/4.15)*I7</f>
        <v>0.25093172401226993</v>
      </c>
      <c r="K7" s="773">
        <f>(F7*IF('Brewhouse Setup &amp; Calcs'!$C$7="grams",G7/28.349523,G7)*J7*74.89/IF($G$6="grams",'Brewhouse Setup &amp; Calcs'!$C$76*1.056688/4,'Brewhouse Setup &amp; Calcs'!$C$76/4))</f>
        <v>19.521806965270873</v>
      </c>
    </row>
    <row r="8" spans="1:15" x14ac:dyDescent="0.2">
      <c r="A8" s="362" t="str">
        <f t="shared" si="0"/>
        <v/>
      </c>
      <c r="B8" s="365"/>
      <c r="C8" s="671">
        <v>10</v>
      </c>
      <c r="D8" s="671" t="s">
        <v>2383</v>
      </c>
      <c r="E8" s="671" t="s">
        <v>233</v>
      </c>
      <c r="F8" s="675">
        <v>4.0999999999999996</v>
      </c>
      <c r="G8" s="672">
        <v>1</v>
      </c>
      <c r="H8" s="839">
        <f t="shared" ref="H8:H9" si="1">IF(ISBLANK(G8),"",IF($G$6="grams",F8*G8/28.346,F8*G8))</f>
        <v>4.0999999999999996</v>
      </c>
      <c r="I8" s="840">
        <f t="shared" ref="I8:I9" si="2">1+IF(D8="Leaf",0,IF(D8="Pellet",$I$2,IF(D8="Plug",$K$2,)))+IF(C8="FWH",$D$2,)</f>
        <v>1.1000000000000001</v>
      </c>
      <c r="J8" s="831">
        <f>(1.65*0.000125^(('Grain &amp; Sugar Calcs'!$K$21+'Grain &amp; Sugar Calcs'!$L$21)/2-1))*((1-EXP(-0.04*IF(C8="Hop Stand",$D$3*B8,IF(C8="Dry Hop",0,IF(C8="FWH",'Brewhouse Setup &amp; Calcs'!$C$28,C8)))))/4.15)*I8</f>
        <v>9.098074631500315E-2</v>
      </c>
      <c r="K8" s="773">
        <f>(F8*IF('Brewhouse Setup &amp; Calcs'!$C$7="grams",G8/28.349523,G8)*J8*74.89/IF($G$6="grams",'Brewhouse Setup &amp; Calcs'!$C$76*1.056688/4,'Brewhouse Setup &amp; Calcs'!$C$76/4))</f>
        <v>2.4183354900776335</v>
      </c>
    </row>
    <row r="9" spans="1:15" x14ac:dyDescent="0.2">
      <c r="A9" s="362" t="str">
        <f>IF(C9="Hop Stand","Time (min):","")</f>
        <v/>
      </c>
      <c r="B9" s="365"/>
      <c r="C9" s="671">
        <v>1</v>
      </c>
      <c r="D9" s="671" t="s">
        <v>2383</v>
      </c>
      <c r="E9" s="671" t="s">
        <v>233</v>
      </c>
      <c r="F9" s="675">
        <v>4.0999999999999996</v>
      </c>
      <c r="G9" s="672">
        <v>1</v>
      </c>
      <c r="H9" s="839">
        <f t="shared" si="1"/>
        <v>4.0999999999999996</v>
      </c>
      <c r="I9" s="840">
        <f t="shared" si="2"/>
        <v>1.1000000000000001</v>
      </c>
      <c r="J9" s="831">
        <f>(1.65*0.000125^(('Grain &amp; Sugar Calcs'!$K$21+'Grain &amp; Sugar Calcs'!$L$21)/2-1))*((1-EXP(-0.04*IF(C9="Hop Stand",$D$3*B9,IF(C9="Dry Hop",0,IF(C9="FWH",'Brewhouse Setup &amp; Calcs'!$C$28,C9)))))/4.15)*I9</f>
        <v>1.082081590480059E-2</v>
      </c>
      <c r="K9" s="773">
        <f>(F9*IF('Brewhouse Setup &amp; Calcs'!$C$7="grams",G9/28.349523,G9)*J9*74.89/IF($G$6="grams",'Brewhouse Setup &amp; Calcs'!$C$76*1.056688/4,'Brewhouse Setup &amp; Calcs'!$C$76/4))</f>
        <v>0.28762528550351646</v>
      </c>
    </row>
    <row r="10" spans="1:15" x14ac:dyDescent="0.2">
      <c r="A10" s="362"/>
      <c r="B10" s="365"/>
      <c r="C10" s="671"/>
      <c r="D10" s="671"/>
      <c r="E10" s="671"/>
      <c r="F10" s="675"/>
      <c r="G10" s="672"/>
      <c r="H10" s="839" t="str">
        <f t="shared" ref="H10:H18" si="3">IF(ISBLANK(G10),"",IF($G$6="grams",F10*G10/28.346,F10*G10))</f>
        <v/>
      </c>
      <c r="I10" s="840">
        <f t="shared" ref="I10:I18" si="4">1+IF(D10="Leaf",0,IF(D10="Pellet",$I$2,IF(D10="Plug",$K$2,)))+IF(C10="FWH",$D$2,)</f>
        <v>1</v>
      </c>
      <c r="J10" s="831">
        <f>(1.65*0.000125^(('Grain &amp; Sugar Calcs'!$K$21+'Grain &amp; Sugar Calcs'!$L$21)/2-1))*((1-EXP(-0.04*IF(C10="Hop Stand",$D$3*B10,IF(C10="Dry Hop",0,IF(C10="FWH",'Brewhouse Setup &amp; Calcs'!$C$28,C10)))))/4.15)*I10</f>
        <v>0</v>
      </c>
      <c r="K10" s="773">
        <f>(F10*IF('Brewhouse Setup &amp; Calcs'!$C$7="grams",G10/28.349523,G10)*J10*74.89/IF($G$6="grams",'Brewhouse Setup &amp; Calcs'!$C$76*1.056688/4,'Brewhouse Setup &amp; Calcs'!$C$76/4))</f>
        <v>0</v>
      </c>
    </row>
    <row r="11" spans="1:15" x14ac:dyDescent="0.2">
      <c r="A11" s="362"/>
      <c r="B11" s="365"/>
      <c r="C11" s="671"/>
      <c r="D11" s="671"/>
      <c r="E11" s="671"/>
      <c r="F11" s="675"/>
      <c r="G11" s="672"/>
      <c r="H11" s="839" t="str">
        <f t="shared" si="3"/>
        <v/>
      </c>
      <c r="I11" s="840">
        <f t="shared" si="4"/>
        <v>1</v>
      </c>
      <c r="J11" s="831">
        <f>(1.65*0.000125^(('Grain &amp; Sugar Calcs'!$K$21+'Grain &amp; Sugar Calcs'!$L$21)/2-1))*((1-EXP(-0.04*IF(C11="Hop Stand",$D$3*B11,IF(C11="Dry Hop",0,IF(C11="FWH",'Brewhouse Setup &amp; Calcs'!$C$28,C11)))))/4.15)*I11</f>
        <v>0</v>
      </c>
      <c r="K11" s="773">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9" t="str">
        <f t="shared" si="3"/>
        <v/>
      </c>
      <c r="I12" s="840">
        <f t="shared" si="4"/>
        <v>1</v>
      </c>
      <c r="J12" s="831">
        <f>(1.65*0.000125^(('Grain &amp; Sugar Calcs'!$K$21+'Grain &amp; Sugar Calcs'!$L$21)/2-1))*((1-EXP(-0.04*IF(C12="Hop Stand",$D$3*B12,IF(C12="Dry Hop",0,IF(C12="FWH",'Brewhouse Setup &amp; Calcs'!$C$28,C12)))))/4.15)*I12</f>
        <v>0</v>
      </c>
      <c r="K12" s="773">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9" t="str">
        <f t="shared" si="3"/>
        <v/>
      </c>
      <c r="I13" s="840">
        <f t="shared" si="4"/>
        <v>1</v>
      </c>
      <c r="J13" s="831">
        <f>(1.65*0.000125^(('Grain &amp; Sugar Calcs'!$K$21+'Grain &amp; Sugar Calcs'!$L$21)/2-1))*((1-EXP(-0.04*IF(C13="Hop Stand",$D$3*B13,IF(C13="Dry Hop",0,IF(C13="FWH",'Brewhouse Setup &amp; Calcs'!$C$28,C13)))))/4.15)*I13</f>
        <v>0</v>
      </c>
      <c r="K13" s="773">
        <f>(F13*IF('Brewhouse Setup &amp; Calcs'!$C$7="grams",G13/28.349523,G13)*J13*74.89/IF($G$6="grams",'Brewhouse Setup &amp; Calcs'!$C$76*1.056688/4,'Brewhouse Setup &amp; Calcs'!$C$76/4))</f>
        <v>0</v>
      </c>
    </row>
    <row r="14" spans="1:15" x14ac:dyDescent="0.2">
      <c r="A14" s="362"/>
      <c r="B14" s="365"/>
      <c r="C14" s="671"/>
      <c r="D14" s="671"/>
      <c r="E14" s="671"/>
      <c r="F14" s="675"/>
      <c r="G14" s="672"/>
      <c r="H14" s="839" t="str">
        <f t="shared" si="3"/>
        <v/>
      </c>
      <c r="I14" s="840">
        <f t="shared" si="4"/>
        <v>1</v>
      </c>
      <c r="J14" s="831">
        <f>(1.65*0.000125^(('Grain &amp; Sugar Calcs'!$K$21+'Grain &amp; Sugar Calcs'!$L$21)/2-1))*((1-EXP(-0.04*IF(C14="Hop Stand",$D$3*B14,IF(C14="Dry Hop",0,IF(C14="FWH",'Brewhouse Setup &amp; Calcs'!$C$28,C14)))))/4.15)*I14</f>
        <v>0</v>
      </c>
      <c r="K14" s="773">
        <f>(F14*IF('Brewhouse Setup &amp; Calcs'!$C$7="grams",G14/28.349523,G14)*J14*74.89/IF($G$6="grams",'Brewhouse Setup &amp; Calcs'!$C$76*1.056688/4,'Brewhouse Setup &amp; Calcs'!$C$76/4))</f>
        <v>0</v>
      </c>
    </row>
    <row r="15" spans="1:15" x14ac:dyDescent="0.2">
      <c r="A15" s="362"/>
      <c r="B15" s="365"/>
      <c r="C15" s="671"/>
      <c r="D15" s="671"/>
      <c r="E15" s="671"/>
      <c r="F15" s="675"/>
      <c r="G15" s="672"/>
      <c r="H15" s="839" t="str">
        <f t="shared" si="3"/>
        <v/>
      </c>
      <c r="I15" s="840">
        <f t="shared" si="4"/>
        <v>1</v>
      </c>
      <c r="J15" s="831">
        <f>(1.65*0.000125^(('Grain &amp; Sugar Calcs'!$K$21+'Grain &amp; Sugar Calcs'!$L$21)/2-1))*((1-EXP(-0.04*IF(C15="Hop Stand",$D$3*B15,IF(C15="Dry Hop",0,IF(C15="FWH",'Brewhouse Setup &amp; Calcs'!$C$28,C15)))))/4.15)*I15</f>
        <v>0</v>
      </c>
      <c r="K15" s="773">
        <f>(F15*IF('Brewhouse Setup &amp; Calcs'!$C$7="grams",G15/28.349523,G15)*J15*74.89/IF($G$6="grams",'Brewhouse Setup &amp; Calcs'!$C$76*1.056688/4,'Brewhouse Setup &amp; Calcs'!$C$76/4))</f>
        <v>0</v>
      </c>
      <c r="M15" s="1227" t="s">
        <v>21</v>
      </c>
      <c r="N15" s="1227"/>
      <c r="O15" s="1227"/>
    </row>
    <row r="16" spans="1:15" x14ac:dyDescent="0.2">
      <c r="A16" s="362"/>
      <c r="B16" s="365"/>
      <c r="C16" s="671"/>
      <c r="D16" s="671"/>
      <c r="E16" s="671"/>
      <c r="F16" s="675"/>
      <c r="G16" s="672"/>
      <c r="H16" s="839" t="str">
        <f t="shared" si="3"/>
        <v/>
      </c>
      <c r="I16" s="840">
        <f t="shared" si="4"/>
        <v>1</v>
      </c>
      <c r="J16" s="831">
        <f>(1.65*0.000125^(('Grain &amp; Sugar Calcs'!$K$21+'Grain &amp; Sugar Calcs'!$L$21)/2-1))*((1-EXP(-0.04*IF(C16="Hop Stand",$D$3*B16,IF(C16="Dry Hop",0,IF(C16="FWH",'Brewhouse Setup &amp; Calcs'!$C$28,C16)))))/4.15)*I16</f>
        <v>0</v>
      </c>
      <c r="K16" s="773">
        <f>(F16*IF('Brewhouse Setup &amp; Calcs'!$C$7="grams",G16/28.349523,G16)*J16*74.89/IF($G$6="grams",'Brewhouse Setup &amp; Calcs'!$C$76*1.056688/4,'Brewhouse Setup &amp; Calcs'!$C$76/4))</f>
        <v>0</v>
      </c>
      <c r="M16" s="1228" t="str">
        <f>'Recipe Sheet'!$B$1</f>
        <v>4B. Festbier</v>
      </c>
      <c r="N16" s="1228"/>
      <c r="O16" s="1228"/>
    </row>
    <row r="17" spans="1:15" x14ac:dyDescent="0.2">
      <c r="A17" s="362" t="str">
        <f t="shared" si="5"/>
        <v/>
      </c>
      <c r="B17" s="365"/>
      <c r="C17" s="671"/>
      <c r="D17" s="671"/>
      <c r="E17" s="671"/>
      <c r="F17" s="675"/>
      <c r="G17" s="672"/>
      <c r="H17" s="839" t="str">
        <f t="shared" si="3"/>
        <v/>
      </c>
      <c r="I17" s="840">
        <f t="shared" si="4"/>
        <v>1</v>
      </c>
      <c r="J17" s="831">
        <f>(1.65*0.000125^(('Grain &amp; Sugar Calcs'!$K$21+'Grain &amp; Sugar Calcs'!$L$21)/2-1))*((1-EXP(-0.04*IF(C17="Hop Stand",$D$3*B17,IF(C17="Dry Hop",0,IF(C17="FWH",'Brewhouse Setup &amp; Calcs'!$C$28,C17)))))/4.15)*I17</f>
        <v>0</v>
      </c>
      <c r="K17" s="773">
        <f>(F17*IF('Brewhouse Setup &amp; Calcs'!$C$7="grams",G17/28.349523,G17)*J17*74.89/IF($G$6="grams",'Brewhouse Setup &amp; Calcs'!$C$76*1.056688/4,'Brewhouse Setup &amp; Calcs'!$C$76/4))</f>
        <v>0</v>
      </c>
      <c r="M17" s="1245" t="s">
        <v>87</v>
      </c>
      <c r="N17" s="1246"/>
      <c r="O17" s="1247"/>
    </row>
    <row r="18" spans="1:15" x14ac:dyDescent="0.2">
      <c r="A18" s="362" t="str">
        <f t="shared" si="5"/>
        <v/>
      </c>
      <c r="B18" s="365"/>
      <c r="C18" s="671"/>
      <c r="D18" s="671"/>
      <c r="E18" s="671"/>
      <c r="F18" s="675"/>
      <c r="G18" s="672"/>
      <c r="H18" s="839" t="str">
        <f t="shared" si="3"/>
        <v/>
      </c>
      <c r="I18" s="840">
        <f t="shared" si="4"/>
        <v>1</v>
      </c>
      <c r="J18" s="831">
        <f>(1.65*0.000125^(('Grain &amp; Sugar Calcs'!$K$21+'Grain &amp; Sugar Calcs'!$L$21)/2-1))*((1-EXP(-0.04*IF(C18="Hop Stand",$D$3*B18,IF(C18="Dry Hop",0,IF(C18="FWH",'Brewhouse Setup &amp; Calcs'!$C$28,C18)))))/4.15)*I18</f>
        <v>0</v>
      </c>
      <c r="K18" s="773">
        <f>(F18*IF('Brewhouse Setup &amp; Calcs'!$C$7="grams",G18/28.349523,G18)*J18*74.89/IF($G$6="grams",'Brewhouse Setup &amp; Calcs'!$C$76*1.056688/4,'Brewhouse Setup &amp; Calcs'!$C$76/4))</f>
        <v>0</v>
      </c>
      <c r="M18" s="390">
        <f>VLOOKUP('Recipe Sheet'!$B$1,'BJCP Guidelines'!$A$2:$K$126,6,FALSE)</f>
        <v>18</v>
      </c>
      <c r="N18" s="389" t="s">
        <v>2140</v>
      </c>
      <c r="O18" s="391">
        <f>VLOOKUP('Recipe Sheet'!$B$1,'BJCP Guidelines'!$A$2:$K$126,7,FALSE)</f>
        <v>25</v>
      </c>
    </row>
    <row r="19" spans="1:15" x14ac:dyDescent="0.2">
      <c r="D19" s="4"/>
      <c r="K19" s="413">
        <f>SUM(K7:K18)</f>
        <v>22.227767740852023</v>
      </c>
      <c r="L19" s="21" t="s">
        <v>90</v>
      </c>
    </row>
    <row r="20" spans="1:15" x14ac:dyDescent="0.2">
      <c r="D20" s="4"/>
      <c r="F20" s="583" t="s">
        <v>2366</v>
      </c>
      <c r="G20" s="839">
        <f>SUMIF(C7:C18,"Dry Hop",G7:G18)</f>
        <v>0</v>
      </c>
    </row>
    <row r="21" spans="1:15" x14ac:dyDescent="0.2">
      <c r="D21" s="4"/>
      <c r="F21" s="583" t="s">
        <v>2365</v>
      </c>
      <c r="G21" s="839">
        <f>G22-G20</f>
        <v>3</v>
      </c>
      <c r="J21" s="1233" t="s">
        <v>2143</v>
      </c>
      <c r="K21" s="414"/>
      <c r="L21" s="19" t="s">
        <v>2141</v>
      </c>
    </row>
    <row r="22" spans="1:15" x14ac:dyDescent="0.2">
      <c r="D22" s="4"/>
      <c r="F22" s="54" t="s">
        <v>1662</v>
      </c>
      <c r="G22" s="839">
        <f>SUM(G7:G18)</f>
        <v>3</v>
      </c>
      <c r="J22" s="1235"/>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18" zoomScale="85" workbookViewId="0">
      <selection activeCell="D9" sqref="D9"/>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95" t="s">
        <v>1791</v>
      </c>
      <c r="D1" s="1295"/>
      <c r="E1" s="1295"/>
      <c r="F1" s="1295"/>
      <c r="G1" s="1295"/>
      <c r="H1" s="1295"/>
      <c r="I1" s="1295"/>
      <c r="J1" s="1295"/>
      <c r="K1" s="1295"/>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96" t="s">
        <v>1680</v>
      </c>
      <c r="J3" s="1296"/>
      <c r="K3" s="1297">
        <v>2</v>
      </c>
      <c r="L3" s="4"/>
    </row>
    <row r="4" spans="2:12" ht="15" customHeight="1" x14ac:dyDescent="0.3">
      <c r="B4" s="61"/>
      <c r="C4" s="64" t="s">
        <v>1681</v>
      </c>
      <c r="D4" s="65" t="s">
        <v>1682</v>
      </c>
      <c r="E4" s="65" t="s">
        <v>1683</v>
      </c>
      <c r="F4" s="65" t="s">
        <v>1684</v>
      </c>
      <c r="G4" s="65" t="s">
        <v>1685</v>
      </c>
      <c r="H4" s="65" t="s">
        <v>1686</v>
      </c>
      <c r="I4" s="1298" t="s">
        <v>1687</v>
      </c>
      <c r="J4" s="1298"/>
      <c r="K4" s="1297"/>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99" t="s">
        <v>1693</v>
      </c>
      <c r="J7" s="1299"/>
      <c r="K7" s="1300"/>
      <c r="L7" s="4"/>
    </row>
    <row r="8" spans="2:12" s="70" customFormat="1" ht="18" customHeight="1" x14ac:dyDescent="0.2">
      <c r="B8" s="66"/>
      <c r="C8" s="78" t="s">
        <v>1694</v>
      </c>
      <c r="D8" s="341">
        <f>IF('Brewhouse Setup &amp; Calcs'!$C$2="US Customary",'Brewhouse Setup &amp; Calcs'!N31/4,"NA")</f>
        <v>9</v>
      </c>
      <c r="E8" s="341">
        <f>IF('Brewhouse Setup &amp; Calcs'!$C$2="US Customary",'Brewhouse Setup &amp; Calcs'!C94/4,"NA")</f>
        <v>6.7597489169963278</v>
      </c>
      <c r="F8" s="77"/>
      <c r="G8" s="77"/>
      <c r="H8" s="75"/>
      <c r="I8" s="1299"/>
      <c r="J8" s="1299"/>
      <c r="K8" s="1300"/>
    </row>
    <row r="9" spans="2:12" s="70" customFormat="1" ht="18" customHeight="1" x14ac:dyDescent="0.2">
      <c r="B9" s="66"/>
      <c r="C9" s="78" t="s">
        <v>1695</v>
      </c>
      <c r="D9" s="372">
        <v>0</v>
      </c>
      <c r="E9" s="372">
        <v>0</v>
      </c>
      <c r="F9" s="77"/>
      <c r="G9" s="77"/>
      <c r="H9" s="75"/>
      <c r="I9" s="1299"/>
      <c r="J9" s="1299"/>
      <c r="K9" s="1300"/>
    </row>
    <row r="10" spans="2:12" s="70" customFormat="1" ht="15" customHeight="1" thickBot="1" x14ac:dyDescent="0.25">
      <c r="B10" s="79"/>
      <c r="C10" s="80"/>
      <c r="D10" s="81"/>
      <c r="E10" s="81"/>
      <c r="F10" s="81"/>
      <c r="G10" s="81"/>
      <c r="H10" s="82"/>
      <c r="I10" s="1301"/>
      <c r="J10" s="1301"/>
      <c r="K10" s="1302"/>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94" t="s">
        <v>1708</v>
      </c>
      <c r="D14" s="358">
        <v>6</v>
      </c>
      <c r="E14" s="341">
        <f>IF('Brewhouse Setup &amp; Calcs'!$C$2="US Customary",'Grain &amp; Sugar Calcs'!C5,"NA")</f>
        <v>10</v>
      </c>
      <c r="F14" s="357">
        <v>0</v>
      </c>
      <c r="G14" s="101">
        <f t="shared" ref="G14:G22" si="0">IF(D14=10,5.22-0.00504*F14,VLOOKUP(D14,H$12:J$22,3,FALSE))</f>
        <v>5.75</v>
      </c>
      <c r="H14" s="92">
        <v>3</v>
      </c>
      <c r="I14" s="98" t="s">
        <v>1709</v>
      </c>
      <c r="J14" s="99">
        <v>5.79</v>
      </c>
      <c r="K14" s="100"/>
    </row>
    <row r="15" spans="2:12" s="70" customFormat="1" ht="18" customHeight="1" x14ac:dyDescent="0.2">
      <c r="B15" s="89"/>
      <c r="C15" s="1294"/>
      <c r="D15" s="358">
        <v>2</v>
      </c>
      <c r="E15" s="341">
        <f>IF('Brewhouse Setup &amp; Calcs'!$C$2="US Customary",'Grain &amp; Sugar Calcs'!C6,"NA")</f>
        <v>5</v>
      </c>
      <c r="F15" s="357">
        <v>27</v>
      </c>
      <c r="G15" s="101">
        <f t="shared" si="0"/>
        <v>5.7</v>
      </c>
      <c r="H15" s="92">
        <v>4</v>
      </c>
      <c r="I15" s="98" t="s">
        <v>1710</v>
      </c>
      <c r="J15" s="99">
        <v>5.77</v>
      </c>
      <c r="K15" s="100"/>
    </row>
    <row r="16" spans="2:12" s="70" customFormat="1" ht="18" customHeight="1" x14ac:dyDescent="0.2">
      <c r="B16" s="89"/>
      <c r="C16" s="1294"/>
      <c r="D16" s="358">
        <v>8</v>
      </c>
      <c r="E16" s="341">
        <f>IF('Brewhouse Setup &amp; Calcs'!$C$2="US Customary",'Grain &amp; Sugar Calcs'!C7,"NA")</f>
        <v>9</v>
      </c>
      <c r="F16" s="357">
        <v>80</v>
      </c>
      <c r="G16" s="101">
        <f t="shared" si="0"/>
        <v>5.56</v>
      </c>
      <c r="H16" s="92">
        <v>5</v>
      </c>
      <c r="I16" s="98" t="s">
        <v>1711</v>
      </c>
      <c r="J16" s="99">
        <v>5.43</v>
      </c>
      <c r="K16" s="100"/>
    </row>
    <row r="17" spans="2:12" s="70" customFormat="1" ht="18" customHeight="1" x14ac:dyDescent="0.2">
      <c r="B17" s="89"/>
      <c r="C17" s="1294"/>
      <c r="D17" s="358">
        <v>5</v>
      </c>
      <c r="E17" s="341">
        <f>IF('Brewhouse Setup &amp; Calcs'!$C$2="US Customary",'Grain &amp; Sugar Calcs'!C8,"NA")</f>
        <v>0</v>
      </c>
      <c r="F17" s="357"/>
      <c r="G17" s="101">
        <f t="shared" si="0"/>
        <v>5.43</v>
      </c>
      <c r="H17" s="92">
        <v>6</v>
      </c>
      <c r="I17" s="98" t="s">
        <v>1712</v>
      </c>
      <c r="J17" s="99">
        <v>5.75</v>
      </c>
      <c r="K17" s="100"/>
    </row>
    <row r="18" spans="2:12" s="70" customFormat="1" ht="18" customHeight="1" x14ac:dyDescent="0.2">
      <c r="B18" s="89"/>
      <c r="C18" s="1294"/>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94"/>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94"/>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94"/>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94"/>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24</v>
      </c>
      <c r="F24" s="107"/>
      <c r="G24" s="108"/>
      <c r="H24" s="1264" t="s">
        <v>1720</v>
      </c>
      <c r="I24" s="1265"/>
      <c r="J24" s="1265"/>
      <c r="K24" s="1266"/>
    </row>
    <row r="25" spans="2:12" s="70" customFormat="1" ht="15" customHeight="1" x14ac:dyDescent="0.2">
      <c r="B25" s="89"/>
      <c r="C25" s="104"/>
      <c r="D25" s="105" t="s">
        <v>1721</v>
      </c>
      <c r="E25" s="106" t="str">
        <f>ROUND(D8*4/E24,2)&amp;" qt/lb"</f>
        <v>1.5 qt/lb</v>
      </c>
      <c r="F25" s="109"/>
      <c r="G25" s="108"/>
      <c r="H25" s="1265"/>
      <c r="I25" s="1265"/>
      <c r="J25" s="1265"/>
      <c r="K25" s="1266"/>
    </row>
    <row r="26" spans="2:12" s="70" customFormat="1" ht="15" customHeight="1" x14ac:dyDescent="0.2">
      <c r="B26" s="89"/>
      <c r="C26" s="104"/>
      <c r="D26" s="105"/>
      <c r="E26" s="106"/>
      <c r="F26" s="109"/>
      <c r="G26" s="108"/>
      <c r="H26" s="1265"/>
      <c r="I26" s="1265"/>
      <c r="J26" s="1265"/>
      <c r="K26" s="1266"/>
    </row>
    <row r="27" spans="2:12" ht="15" customHeight="1" thickBot="1" x14ac:dyDescent="0.25">
      <c r="B27" s="110"/>
      <c r="C27" s="111"/>
      <c r="D27" s="111"/>
      <c r="E27" s="111"/>
      <c r="F27" s="112"/>
      <c r="G27" s="112"/>
      <c r="H27" s="1267"/>
      <c r="I27" s="1267"/>
      <c r="J27" s="1267"/>
      <c r="K27" s="1268"/>
      <c r="L27" s="4"/>
    </row>
    <row r="28" spans="2:12" ht="14.25" customHeight="1" x14ac:dyDescent="0.2">
      <c r="B28" s="113"/>
      <c r="C28" s="114" t="s">
        <v>1722</v>
      </c>
      <c r="D28" s="115"/>
      <c r="E28" s="116"/>
      <c r="F28" s="117"/>
      <c r="G28" s="117"/>
      <c r="H28" s="1269" t="s">
        <v>1723</v>
      </c>
      <c r="I28" s="1269"/>
      <c r="J28" s="1269"/>
      <c r="K28" s="1270"/>
      <c r="L28" s="4"/>
    </row>
    <row r="29" spans="2:12" ht="15" customHeight="1" x14ac:dyDescent="0.2">
      <c r="B29" s="118"/>
      <c r="C29" s="119"/>
      <c r="D29" s="1273" t="s">
        <v>1724</v>
      </c>
      <c r="E29" s="1275" t="s">
        <v>1725</v>
      </c>
      <c r="F29" s="1278" t="s">
        <v>1726</v>
      </c>
      <c r="G29" s="1280" t="s">
        <v>1727</v>
      </c>
      <c r="H29" s="1271"/>
      <c r="I29" s="1271"/>
      <c r="J29" s="1271"/>
      <c r="K29" s="1272"/>
      <c r="L29" s="4"/>
    </row>
    <row r="30" spans="2:12" ht="15" customHeight="1" x14ac:dyDescent="0.2">
      <c r="B30" s="118"/>
      <c r="C30" s="120"/>
      <c r="D30" s="1273"/>
      <c r="E30" s="1276"/>
      <c r="F30" s="1278"/>
      <c r="G30" s="1280"/>
      <c r="H30" s="1271"/>
      <c r="I30" s="1271"/>
      <c r="J30" s="1271"/>
      <c r="K30" s="1272"/>
      <c r="L30" s="4"/>
    </row>
    <row r="31" spans="2:12" ht="15" customHeight="1" thickBot="1" x14ac:dyDescent="0.25">
      <c r="B31" s="118"/>
      <c r="C31" s="121"/>
      <c r="D31" s="1274"/>
      <c r="E31" s="1277"/>
      <c r="F31" s="1279"/>
      <c r="G31" s="1281"/>
      <c r="H31" s="122"/>
      <c r="I31" s="122"/>
      <c r="J31" s="122"/>
      <c r="K31" s="123"/>
      <c r="L31" s="4"/>
    </row>
    <row r="32" spans="2:12" ht="27.75" customHeight="1" thickTop="1" thickBot="1" x14ac:dyDescent="0.25">
      <c r="B32" s="118"/>
      <c r="C32" s="124"/>
      <c r="D32" s="125">
        <f>(1-D$9)*I$5*IF(K$3=1,50/61,IF(OR(K$3=0,K$3=2),1,"ERROR"))+(F$44*130+E$44*157-176.1*J37*J36*2-4160.4*H36*H37*2.5+D$44*357)/D$8</f>
        <v>-70.186666666666667</v>
      </c>
      <c r="E32" s="126">
        <f>D32-((D51/1.4)+(E51/1.7))</f>
        <v>-115.1026330532213</v>
      </c>
      <c r="F32" s="127">
        <f>(E14*G14+E15*G15+E16*G16+E17*G17+E18*G18+E19*G19+E20*G20+E21*G21+E22*G22)/E24+(0.1085*D8/E24+0.013)*E32/50</f>
        <v>5.5447418810924365</v>
      </c>
      <c r="G32" s="128" t="s">
        <v>1728</v>
      </c>
      <c r="H32" s="1271" t="s">
        <v>1729</v>
      </c>
      <c r="I32" s="1282"/>
      <c r="J32" s="1282"/>
      <c r="K32" s="1283"/>
      <c r="L32" s="4"/>
    </row>
    <row r="33" spans="2:12" ht="15" customHeight="1" thickTop="1" thickBot="1" x14ac:dyDescent="0.25">
      <c r="B33" s="129"/>
      <c r="C33" s="130"/>
      <c r="D33" s="130"/>
      <c r="E33" s="130"/>
      <c r="F33" s="130"/>
      <c r="G33" s="131"/>
      <c r="H33" s="1284"/>
      <c r="I33" s="1284"/>
      <c r="J33" s="1284"/>
      <c r="K33" s="1285"/>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v>0</v>
      </c>
      <c r="E37" s="360">
        <v>2</v>
      </c>
      <c r="F37" s="360"/>
      <c r="G37" s="147" t="s">
        <v>1742</v>
      </c>
      <c r="H37" s="361"/>
      <c r="I37" s="147" t="s">
        <v>1743</v>
      </c>
      <c r="J37" s="360">
        <v>5</v>
      </c>
      <c r="K37" s="150"/>
    </row>
    <row r="38" spans="2:12" ht="18" customHeight="1" x14ac:dyDescent="0.2">
      <c r="B38" s="138"/>
      <c r="C38" s="145" t="s">
        <v>1744</v>
      </c>
      <c r="D38" s="366" t="b">
        <v>1</v>
      </c>
      <c r="E38" s="366" t="b">
        <v>0</v>
      </c>
      <c r="F38" s="366" t="b">
        <v>1</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0</v>
      </c>
      <c r="E39" s="154">
        <f>IF(E38,E37/$D8*$E8,0)</f>
        <v>0</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6" t="s">
        <v>1750</v>
      </c>
      <c r="H41" s="1286"/>
      <c r="I41" s="1286"/>
      <c r="J41" s="1286"/>
      <c r="K41" s="1287"/>
    </row>
    <row r="42" spans="2:12" s="70" customFormat="1" ht="15" customHeight="1" x14ac:dyDescent="0.2">
      <c r="B42" s="149"/>
      <c r="C42" s="145"/>
      <c r="D42" s="140" t="s">
        <v>1751</v>
      </c>
      <c r="E42" s="140" t="s">
        <v>1752</v>
      </c>
      <c r="F42" s="165" t="s">
        <v>1753</v>
      </c>
      <c r="G42" s="1288"/>
      <c r="H42" s="1288"/>
      <c r="I42" s="1288"/>
      <c r="J42" s="1288"/>
      <c r="K42" s="1289"/>
    </row>
    <row r="43" spans="2:12" s="70" customFormat="1" ht="15" customHeight="1" x14ac:dyDescent="0.2">
      <c r="B43" s="138"/>
      <c r="C43" s="144" t="s">
        <v>1736</v>
      </c>
      <c r="D43" s="141" t="s">
        <v>1754</v>
      </c>
      <c r="E43" s="141" t="s">
        <v>1755</v>
      </c>
      <c r="F43" s="166" t="s">
        <v>1756</v>
      </c>
      <c r="G43" s="1288"/>
      <c r="H43" s="1288"/>
      <c r="I43" s="1288"/>
      <c r="J43" s="1288"/>
      <c r="K43" s="1289"/>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90" t="s">
        <v>1758</v>
      </c>
      <c r="J49" s="1290"/>
      <c r="K49" s="173"/>
      <c r="L49" s="4"/>
    </row>
    <row r="50" spans="2:14" s="174" customFormat="1" ht="15" customHeight="1" x14ac:dyDescent="0.3">
      <c r="B50" s="175"/>
      <c r="C50" s="176"/>
      <c r="D50" s="65" t="s">
        <v>1682</v>
      </c>
      <c r="E50" s="65" t="s">
        <v>1683</v>
      </c>
      <c r="F50" s="65" t="s">
        <v>1684</v>
      </c>
      <c r="G50" s="65" t="s">
        <v>1685</v>
      </c>
      <c r="H50" s="65" t="s">
        <v>1686</v>
      </c>
      <c r="I50" s="1291" t="s">
        <v>1759</v>
      </c>
      <c r="J50" s="1291"/>
      <c r="K50" s="177"/>
      <c r="L50" s="178"/>
      <c r="M50" s="70"/>
    </row>
    <row r="51" spans="2:14" s="70" customFormat="1" ht="18" customHeight="1" thickBot="1" x14ac:dyDescent="0.25">
      <c r="B51" s="66"/>
      <c r="C51" s="78" t="s">
        <v>1760</v>
      </c>
      <c r="D51" s="179">
        <f>(1-D$9)*D$5+(F$44*105.89+D$37*60+E$37*72+D$44*143)/D$8</f>
        <v>53</v>
      </c>
      <c r="E51" s="179">
        <f>(1-D$9)*E$5+F$37*24.6/D$8</f>
        <v>12</v>
      </c>
      <c r="F51" s="179">
        <f>(1-D$9)*F$5+E$44*72.3/D$8</f>
        <v>9</v>
      </c>
      <c r="G51" s="179">
        <f>(1-D$9)*G$5+E$37*127.47/D$8</f>
        <v>44.326666666666668</v>
      </c>
      <c r="H51" s="179">
        <f>(1-D$9)*H$5+(D$37*147.4+F$37*103)/D$8</f>
        <v>25</v>
      </c>
      <c r="I51" s="1292">
        <f>G51/H51</f>
        <v>1.7730666666666668</v>
      </c>
      <c r="J51" s="1293"/>
      <c r="K51" s="69"/>
    </row>
    <row r="52" spans="2:14" s="70" customFormat="1" ht="18" customHeight="1" thickBot="1" x14ac:dyDescent="0.25">
      <c r="B52" s="66"/>
      <c r="C52" s="78" t="s">
        <v>1761</v>
      </c>
      <c r="D52" s="180">
        <f>IF(E8=0,D51,(1-(((D$9*D$8)+(E$9*E$8))/(D$8+E$8)))*D$5+((F$44+F$46)*105.89+(D$37+D$39)*60+(E$37+E$39)*72+(D$44+D$46)*143)/(D$8+E$8))</f>
        <v>46.137201408374032</v>
      </c>
      <c r="E52" s="180">
        <f>IF(E8=0,E51,(1-(((D$9*D$8)+(E$9*E$8))/(D$8+E$8)))*E$5+(F$37+F$39)*24.6/(D$8+E$8))</f>
        <v>12</v>
      </c>
      <c r="F52" s="180">
        <f>IF(E8=0,F51,(1-(((D$9*D$8)+(E$9*E$8))/(D$8+E$8)))*F$5+(E$44+E$46)*72.3/(D$8+E$8))</f>
        <v>9</v>
      </c>
      <c r="G52" s="180">
        <f>IF(E8=0,G51,(1-(((D$9*D$8)+(E$9*E$8))/(D$8+E$8)))*G$5+(E$37+E$39)*127.47/(D$8+E$8))</f>
        <v>32.17665366007553</v>
      </c>
      <c r="H52" s="180">
        <f>IF(E8=0,H51,(1-(((D$9*D$8)+(E$9*E$8))/(D$8+E$8)))*H$5+((D$37+D$39)*147.4+(F$37+F$39)*103)/(D$8+E$8))</f>
        <v>25</v>
      </c>
      <c r="I52" s="1262">
        <f>G52/H52</f>
        <v>1.2870661464030213</v>
      </c>
      <c r="J52" s="1263"/>
      <c r="K52" s="69"/>
      <c r="M52" s="4"/>
    </row>
    <row r="53" spans="2:14" ht="18" customHeight="1" x14ac:dyDescent="0.2">
      <c r="B53" s="61"/>
      <c r="C53" s="181" t="s">
        <v>1762</v>
      </c>
      <c r="D53" s="182" t="s">
        <v>1763</v>
      </c>
      <c r="E53" s="183" t="s">
        <v>1764</v>
      </c>
      <c r="F53" s="182" t="s">
        <v>1765</v>
      </c>
      <c r="G53" s="182" t="s">
        <v>1766</v>
      </c>
      <c r="H53" s="184" t="s">
        <v>1767</v>
      </c>
      <c r="I53" s="1252" t="str">
        <f>IF(I52&lt;0.77,"Below .77, May enhance bitterness", IF(I52&lt;1.3,".77 to 1.3 = Balanced","Above 1.3 may enhance maltiness"))</f>
        <v>.77 to 1.3 = Balanced</v>
      </c>
      <c r="J53" s="1253"/>
      <c r="K53" s="173"/>
      <c r="L53" s="4"/>
    </row>
    <row r="54" spans="2:14" ht="15" customHeight="1" x14ac:dyDescent="0.2">
      <c r="B54" s="61"/>
      <c r="C54" s="1254" t="s">
        <v>1768</v>
      </c>
      <c r="D54" s="1254"/>
      <c r="E54" s="1254"/>
      <c r="F54" s="1254"/>
      <c r="G54" s="1254"/>
      <c r="H54" s="1254"/>
      <c r="I54" s="1254"/>
      <c r="J54" s="1254"/>
      <c r="K54" s="1255"/>
      <c r="L54" s="4"/>
      <c r="M54" s="70"/>
      <c r="N54" s="178"/>
    </row>
    <row r="55" spans="2:14" ht="15" customHeight="1" thickBot="1" x14ac:dyDescent="0.25">
      <c r="B55" s="185"/>
      <c r="C55" s="1256"/>
      <c r="D55" s="1256"/>
      <c r="E55" s="1256"/>
      <c r="F55" s="1256"/>
      <c r="G55" s="1256"/>
      <c r="H55" s="1256"/>
      <c r="I55" s="1257"/>
      <c r="J55" s="1257"/>
      <c r="K55" s="1258"/>
    </row>
    <row r="56" spans="2:14" ht="15" customHeight="1" x14ac:dyDescent="0.2">
      <c r="B56" s="186"/>
      <c r="C56" s="187"/>
      <c r="D56" s="187"/>
      <c r="E56" s="187"/>
      <c r="F56" s="187"/>
      <c r="G56" s="187"/>
      <c r="H56" s="187"/>
      <c r="I56" s="188"/>
      <c r="J56" s="188"/>
      <c r="K56" s="188"/>
    </row>
    <row r="57" spans="2:14" s="19" customFormat="1" ht="23.25" customHeight="1" x14ac:dyDescent="0.2">
      <c r="B57" s="189"/>
      <c r="C57" s="1259" t="s">
        <v>1769</v>
      </c>
      <c r="D57" s="1259"/>
      <c r="E57" s="1259"/>
      <c r="F57" s="1259"/>
      <c r="G57" s="1259"/>
      <c r="H57" s="1259"/>
      <c r="I57" s="1259"/>
      <c r="J57" s="1259"/>
      <c r="K57" s="1259"/>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260" t="s">
        <v>1772</v>
      </c>
      <c r="D65" s="1260"/>
      <c r="E65" s="1260"/>
      <c r="F65" s="1260"/>
      <c r="G65" s="1260"/>
      <c r="H65" s="1260"/>
      <c r="I65" s="1260"/>
      <c r="J65" s="1260"/>
    </row>
    <row r="66" spans="3:12" x14ac:dyDescent="0.2">
      <c r="C66" s="1261" t="s">
        <v>1773</v>
      </c>
      <c r="D66" s="1261"/>
      <c r="E66" s="1261"/>
      <c r="F66" s="1261"/>
      <c r="G66" s="1261"/>
      <c r="H66" s="1261"/>
      <c r="I66" s="1261"/>
      <c r="J66" s="1261"/>
      <c r="K66" s="1261"/>
    </row>
    <row r="67" spans="3:12" ht="12.75" customHeight="1" x14ac:dyDescent="0.2">
      <c r="C67" s="1250" t="s">
        <v>1774</v>
      </c>
      <c r="D67" s="1250"/>
      <c r="E67" s="1250"/>
      <c r="F67" s="1250"/>
      <c r="G67" s="1250"/>
      <c r="H67" s="1250"/>
      <c r="I67" s="1250"/>
      <c r="J67" s="1250"/>
      <c r="K67" s="1250"/>
    </row>
    <row r="68" spans="3:12" s="195" customFormat="1" ht="12" customHeight="1" x14ac:dyDescent="0.2">
      <c r="C68" s="25" t="s">
        <v>1775</v>
      </c>
      <c r="D68" s="193"/>
      <c r="E68" s="193"/>
      <c r="F68" s="193"/>
      <c r="G68" s="194"/>
      <c r="H68" s="194"/>
      <c r="I68" s="194"/>
      <c r="J68" s="194"/>
      <c r="K68" s="194"/>
      <c r="L68" s="194"/>
    </row>
    <row r="69" spans="3:12" ht="12" customHeight="1" x14ac:dyDescent="0.2">
      <c r="C69" s="1251" t="s">
        <v>1776</v>
      </c>
      <c r="D69" s="1251"/>
      <c r="E69" s="1251"/>
      <c r="F69" s="1251"/>
      <c r="G69" s="1251"/>
      <c r="H69" s="1251"/>
      <c r="I69" s="1251"/>
      <c r="J69" s="1251"/>
    </row>
    <row r="70" spans="3:12" ht="12" customHeight="1" x14ac:dyDescent="0.2">
      <c r="C70" s="196" t="s">
        <v>1777</v>
      </c>
      <c r="D70" s="197"/>
      <c r="E70" s="197"/>
      <c r="F70" s="197"/>
      <c r="G70" s="197"/>
      <c r="H70" s="197"/>
      <c r="I70" s="197"/>
      <c r="J70" s="197"/>
    </row>
    <row r="71" spans="3:12" ht="12" customHeight="1" x14ac:dyDescent="0.2">
      <c r="C71" s="1251" t="s">
        <v>1778</v>
      </c>
      <c r="D71" s="1251"/>
      <c r="E71" s="1251"/>
      <c r="F71" s="1251"/>
      <c r="G71" s="1251"/>
      <c r="H71" s="1251"/>
      <c r="I71" s="1251"/>
      <c r="J71" s="1251"/>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45" t="s">
        <v>1782</v>
      </c>
      <c r="D1" s="1345"/>
      <c r="E1" s="1345"/>
      <c r="F1" s="1345"/>
      <c r="G1" s="1345"/>
      <c r="H1" s="1345"/>
      <c r="I1" s="1345"/>
      <c r="J1" s="1345"/>
      <c r="K1" s="1345"/>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46" t="s">
        <v>1680</v>
      </c>
      <c r="J3" s="1346"/>
      <c r="K3" s="1347">
        <v>2</v>
      </c>
      <c r="L3" s="200"/>
    </row>
    <row r="4" spans="2:12" ht="15" customHeight="1" x14ac:dyDescent="0.3">
      <c r="B4" s="205"/>
      <c r="C4" s="208" t="s">
        <v>1681</v>
      </c>
      <c r="D4" s="207" t="s">
        <v>1682</v>
      </c>
      <c r="E4" s="207" t="s">
        <v>1683</v>
      </c>
      <c r="F4" s="207" t="s">
        <v>1684</v>
      </c>
      <c r="G4" s="207" t="s">
        <v>1685</v>
      </c>
      <c r="H4" s="207" t="s">
        <v>1686</v>
      </c>
      <c r="I4" s="1346" t="s">
        <v>1687</v>
      </c>
      <c r="J4" s="1346"/>
      <c r="K4" s="1347"/>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48" t="s">
        <v>1693</v>
      </c>
      <c r="J7" s="1348"/>
      <c r="K7" s="1349"/>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48"/>
      <c r="J8" s="1348"/>
      <c r="K8" s="1349"/>
    </row>
    <row r="9" spans="2:12" s="213" customFormat="1" ht="18" customHeight="1" x14ac:dyDescent="0.2">
      <c r="B9" s="209"/>
      <c r="C9" s="222" t="s">
        <v>1784</v>
      </c>
      <c r="D9" s="223" t="e">
        <f>D8/3.785412</f>
        <v>#VALUE!</v>
      </c>
      <c r="E9" s="223" t="e">
        <f>E8/3.785412</f>
        <v>#VALUE!</v>
      </c>
      <c r="F9" s="220"/>
      <c r="G9" s="220"/>
      <c r="H9" s="218"/>
      <c r="I9" s="1348"/>
      <c r="J9" s="1348"/>
      <c r="K9" s="1349"/>
    </row>
    <row r="10" spans="2:12" s="213" customFormat="1" ht="18" customHeight="1" x14ac:dyDescent="0.2">
      <c r="B10" s="209"/>
      <c r="C10" s="221" t="s">
        <v>1695</v>
      </c>
      <c r="D10" s="372">
        <v>0</v>
      </c>
      <c r="E10" s="372">
        <v>0</v>
      </c>
      <c r="F10" s="220"/>
      <c r="G10" s="220"/>
      <c r="H10" s="218"/>
      <c r="I10" s="1348"/>
      <c r="J10" s="1348"/>
      <c r="K10" s="1349"/>
    </row>
    <row r="11" spans="2:12" s="213" customFormat="1" ht="15" customHeight="1" thickBot="1" x14ac:dyDescent="0.25">
      <c r="B11" s="224"/>
      <c r="C11" s="225"/>
      <c r="D11" s="226"/>
      <c r="E11" s="226"/>
      <c r="F11" s="226"/>
      <c r="G11" s="226"/>
      <c r="H11" s="227"/>
      <c r="I11" s="1350"/>
      <c r="J11" s="1350"/>
      <c r="K11" s="1351"/>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44"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44"/>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44"/>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44"/>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44"/>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44"/>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44"/>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44"/>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44"/>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5" t="s">
        <v>1720</v>
      </c>
      <c r="I25" s="1316"/>
      <c r="J25" s="1316"/>
      <c r="K25" s="1317"/>
    </row>
    <row r="26" spans="2:12" s="213" customFormat="1" ht="15" customHeight="1" x14ac:dyDescent="0.2">
      <c r="B26" s="234"/>
      <c r="C26" s="250"/>
      <c r="D26" s="237" t="s">
        <v>1787</v>
      </c>
      <c r="E26" s="255">
        <f>E25*2.20462</f>
        <v>0</v>
      </c>
      <c r="F26" s="256"/>
      <c r="G26" s="254"/>
      <c r="H26" s="1316"/>
      <c r="I26" s="1316"/>
      <c r="J26" s="1316"/>
      <c r="K26" s="1317"/>
    </row>
    <row r="27" spans="2:12" s="213" customFormat="1" ht="15" customHeight="1" x14ac:dyDescent="0.2">
      <c r="B27" s="234"/>
      <c r="C27" s="250"/>
      <c r="D27" s="251" t="s">
        <v>1721</v>
      </c>
      <c r="E27" s="252" t="e">
        <f>ROUND(D8/E25,2)&amp;" l/kg"</f>
        <v>#VALUE!</v>
      </c>
      <c r="F27" s="256"/>
      <c r="G27" s="254"/>
      <c r="H27" s="1316"/>
      <c r="I27" s="1316"/>
      <c r="J27" s="1316"/>
      <c r="K27" s="1317"/>
    </row>
    <row r="28" spans="2:12" ht="15" customHeight="1" thickBot="1" x14ac:dyDescent="0.25">
      <c r="B28" s="257"/>
      <c r="C28" s="258"/>
      <c r="D28" s="259"/>
      <c r="E28" s="232" t="e">
        <f>ROUND(D9*4/E26,2)&amp;" qt/lb"</f>
        <v>#VALUE!</v>
      </c>
      <c r="F28" s="260"/>
      <c r="G28" s="260"/>
      <c r="H28" s="1318"/>
      <c r="I28" s="1318"/>
      <c r="J28" s="1318"/>
      <c r="K28" s="1319"/>
      <c r="L28" s="200"/>
    </row>
    <row r="29" spans="2:12" ht="14.25" customHeight="1" x14ac:dyDescent="0.2">
      <c r="B29" s="261"/>
      <c r="C29" s="262" t="s">
        <v>1722</v>
      </c>
      <c r="D29" s="263"/>
      <c r="E29" s="264"/>
      <c r="F29" s="265"/>
      <c r="G29" s="265"/>
      <c r="H29" s="1320" t="s">
        <v>1723</v>
      </c>
      <c r="I29" s="1320"/>
      <c r="J29" s="1320"/>
      <c r="K29" s="1321"/>
      <c r="L29" s="200"/>
    </row>
    <row r="30" spans="2:12" ht="15" customHeight="1" x14ac:dyDescent="0.2">
      <c r="B30" s="266"/>
      <c r="C30" s="267"/>
      <c r="D30" s="1324" t="s">
        <v>1724</v>
      </c>
      <c r="E30" s="1324" t="s">
        <v>1725</v>
      </c>
      <c r="F30" s="1328" t="s">
        <v>1726</v>
      </c>
      <c r="G30" s="1330" t="s">
        <v>1727</v>
      </c>
      <c r="H30" s="1322"/>
      <c r="I30" s="1322"/>
      <c r="J30" s="1322"/>
      <c r="K30" s="1323"/>
      <c r="L30" s="200"/>
    </row>
    <row r="31" spans="2:12" ht="15" customHeight="1" x14ac:dyDescent="0.2">
      <c r="B31" s="266"/>
      <c r="C31" s="268"/>
      <c r="D31" s="1324"/>
      <c r="E31" s="1326"/>
      <c r="F31" s="1328"/>
      <c r="G31" s="1330"/>
      <c r="H31" s="1322"/>
      <c r="I31" s="1322"/>
      <c r="J31" s="1322"/>
      <c r="K31" s="1323"/>
      <c r="L31" s="200"/>
    </row>
    <row r="32" spans="2:12" ht="15" customHeight="1" thickBot="1" x14ac:dyDescent="0.25">
      <c r="B32" s="266"/>
      <c r="C32" s="269"/>
      <c r="D32" s="1325"/>
      <c r="E32" s="1327"/>
      <c r="F32" s="1329"/>
      <c r="G32" s="1331"/>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2" t="s">
        <v>1729</v>
      </c>
      <c r="I33" s="1332"/>
      <c r="J33" s="1332"/>
      <c r="K33" s="1333"/>
      <c r="L33" s="200"/>
    </row>
    <row r="34" spans="2:12" ht="15" customHeight="1" thickTop="1" thickBot="1" x14ac:dyDescent="0.25">
      <c r="B34" s="277"/>
      <c r="C34" s="278"/>
      <c r="D34" s="278"/>
      <c r="E34" s="278"/>
      <c r="F34" s="278"/>
      <c r="G34" s="279"/>
      <c r="H34" s="1334"/>
      <c r="I34" s="1334"/>
      <c r="J34" s="1334"/>
      <c r="K34" s="1335"/>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6" t="s">
        <v>1750</v>
      </c>
      <c r="H42" s="1336"/>
      <c r="I42" s="1336"/>
      <c r="J42" s="1336"/>
      <c r="K42" s="1337"/>
    </row>
    <row r="43" spans="2:12" s="213" customFormat="1" ht="15" customHeight="1" x14ac:dyDescent="0.2">
      <c r="B43" s="295"/>
      <c r="C43" s="293"/>
      <c r="D43" s="288" t="s">
        <v>1751</v>
      </c>
      <c r="E43" s="288" t="s">
        <v>1752</v>
      </c>
      <c r="F43" s="312" t="s">
        <v>1753</v>
      </c>
      <c r="G43" s="1338"/>
      <c r="H43" s="1338"/>
      <c r="I43" s="1338"/>
      <c r="J43" s="1338"/>
      <c r="K43" s="1339"/>
    </row>
    <row r="44" spans="2:12" s="213" customFormat="1" ht="15" customHeight="1" x14ac:dyDescent="0.2">
      <c r="B44" s="286"/>
      <c r="C44" s="292" t="s">
        <v>1736</v>
      </c>
      <c r="D44" s="289" t="s">
        <v>1754</v>
      </c>
      <c r="E44" s="289" t="s">
        <v>1755</v>
      </c>
      <c r="F44" s="313" t="s">
        <v>1756</v>
      </c>
      <c r="G44" s="1338"/>
      <c r="H44" s="1338"/>
      <c r="I44" s="1338"/>
      <c r="J44" s="1338"/>
      <c r="K44" s="1339"/>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40" t="s">
        <v>1758</v>
      </c>
      <c r="J50" s="1340"/>
      <c r="K50" s="320"/>
      <c r="L50" s="200"/>
    </row>
    <row r="51" spans="2:14" s="321" customFormat="1" ht="15" customHeight="1" x14ac:dyDescent="0.3">
      <c r="B51" s="322"/>
      <c r="C51" s="323"/>
      <c r="D51" s="207" t="s">
        <v>1682</v>
      </c>
      <c r="E51" s="207" t="s">
        <v>1683</v>
      </c>
      <c r="F51" s="207" t="s">
        <v>1684</v>
      </c>
      <c r="G51" s="207" t="s">
        <v>1685</v>
      </c>
      <c r="H51" s="207" t="s">
        <v>1686</v>
      </c>
      <c r="I51" s="1341" t="s">
        <v>1759</v>
      </c>
      <c r="J51" s="1341"/>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2" t="e">
        <f>G52/H52</f>
        <v>#VALUE!</v>
      </c>
      <c r="J52" s="1343"/>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3" t="e">
        <f>G53/H53</f>
        <v>#VALUE!</v>
      </c>
      <c r="J53" s="1314"/>
      <c r="K53" s="212"/>
      <c r="M53" s="200"/>
    </row>
    <row r="54" spans="2:14" ht="18" customHeight="1" x14ac:dyDescent="0.2">
      <c r="B54" s="205"/>
      <c r="C54" s="326" t="s">
        <v>1762</v>
      </c>
      <c r="D54" s="327" t="s">
        <v>1763</v>
      </c>
      <c r="E54" s="328" t="s">
        <v>1764</v>
      </c>
      <c r="F54" s="327" t="s">
        <v>1765</v>
      </c>
      <c r="G54" s="327" t="s">
        <v>1766</v>
      </c>
      <c r="H54" s="329" t="s">
        <v>1767</v>
      </c>
      <c r="I54" s="1303" t="e">
        <f>IF(I53&lt;0.77,"Below .77, May enhance bitterness", IF(I53&lt;1.3,".77 to 1.3 = Balanced","Above 1.3 may enhance maltiness"))</f>
        <v>#VALUE!</v>
      </c>
      <c r="J54" s="1304"/>
      <c r="K54" s="320"/>
      <c r="L54" s="200"/>
    </row>
    <row r="55" spans="2:14" ht="15" customHeight="1" x14ac:dyDescent="0.2">
      <c r="B55" s="205"/>
      <c r="C55" s="1305" t="s">
        <v>1768</v>
      </c>
      <c r="D55" s="1305"/>
      <c r="E55" s="1305"/>
      <c r="F55" s="1305"/>
      <c r="G55" s="1305"/>
      <c r="H55" s="1305"/>
      <c r="I55" s="1305"/>
      <c r="J55" s="1305"/>
      <c r="K55" s="1306"/>
      <c r="L55" s="200"/>
      <c r="M55" s="213"/>
      <c r="N55" s="213"/>
    </row>
    <row r="56" spans="2:14" ht="15" customHeight="1" thickBot="1" x14ac:dyDescent="0.25">
      <c r="B56" s="330"/>
      <c r="C56" s="1307"/>
      <c r="D56" s="1307"/>
      <c r="E56" s="1307"/>
      <c r="F56" s="1307"/>
      <c r="G56" s="1307"/>
      <c r="H56" s="1307"/>
      <c r="I56" s="1308"/>
      <c r="J56" s="1308"/>
      <c r="K56" s="1309"/>
    </row>
    <row r="57" spans="2:14" s="331" customFormat="1" ht="15" customHeight="1" x14ac:dyDescent="0.2">
      <c r="C57" s="332"/>
      <c r="D57" s="332"/>
      <c r="E57" s="332"/>
      <c r="F57" s="332"/>
      <c r="G57" s="332"/>
      <c r="H57" s="332"/>
      <c r="I57" s="333"/>
      <c r="J57" s="333"/>
      <c r="K57" s="333"/>
    </row>
    <row r="58" spans="2:14" s="331" customFormat="1" ht="23.25" customHeight="1" x14ac:dyDescent="0.2">
      <c r="C58" s="1310" t="s">
        <v>1769</v>
      </c>
      <c r="D58" s="1310"/>
      <c r="E58" s="1310"/>
      <c r="F58" s="1310"/>
      <c r="G58" s="1310"/>
      <c r="H58" s="1310"/>
      <c r="I58" s="1310"/>
      <c r="J58" s="1310"/>
      <c r="K58" s="1310"/>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11" t="s">
        <v>1772</v>
      </c>
      <c r="D66" s="1311"/>
      <c r="E66" s="1311"/>
      <c r="F66" s="1311"/>
      <c r="G66" s="1311"/>
      <c r="H66" s="1311"/>
      <c r="I66" s="1311"/>
      <c r="J66" s="1311"/>
    </row>
    <row r="67" spans="1:11" ht="12" customHeight="1" x14ac:dyDescent="0.2">
      <c r="C67" s="1312" t="s">
        <v>1773</v>
      </c>
      <c r="D67" s="1312"/>
      <c r="E67" s="1312"/>
      <c r="F67" s="1312"/>
      <c r="G67" s="1312"/>
      <c r="H67" s="1312"/>
      <c r="I67" s="1312"/>
      <c r="J67" s="1312"/>
      <c r="K67" s="1312"/>
    </row>
    <row r="68" spans="1:11" ht="12" customHeight="1" x14ac:dyDescent="0.2">
      <c r="C68" s="1250" t="s">
        <v>1774</v>
      </c>
      <c r="D68" s="1250"/>
      <c r="E68" s="1250"/>
      <c r="F68" s="1250"/>
      <c r="G68" s="1250"/>
      <c r="H68" s="1250"/>
      <c r="I68" s="1250"/>
      <c r="J68" s="1250"/>
      <c r="K68" s="1250"/>
    </row>
    <row r="69" spans="1:11" x14ac:dyDescent="0.2">
      <c r="A69" s="337"/>
      <c r="B69" s="337"/>
      <c r="C69" s="338" t="s">
        <v>1775</v>
      </c>
      <c r="D69" s="193"/>
      <c r="E69" s="193"/>
      <c r="F69" s="193"/>
      <c r="G69" s="339"/>
      <c r="H69" s="339"/>
      <c r="I69" s="339"/>
      <c r="J69" s="339"/>
      <c r="K69" s="339"/>
    </row>
    <row r="70" spans="1:11" x14ac:dyDescent="0.2">
      <c r="C70" s="1251" t="s">
        <v>1776</v>
      </c>
      <c r="D70" s="1251"/>
      <c r="E70" s="1251"/>
      <c r="F70" s="1251"/>
      <c r="G70" s="1251"/>
      <c r="H70" s="1251"/>
      <c r="I70" s="1251"/>
      <c r="J70" s="1251"/>
    </row>
    <row r="71" spans="1:11" x14ac:dyDescent="0.2">
      <c r="C71" s="338" t="s">
        <v>1777</v>
      </c>
      <c r="D71" s="197"/>
      <c r="E71" s="197"/>
      <c r="F71" s="197"/>
      <c r="G71" s="197"/>
      <c r="H71" s="197"/>
      <c r="I71" s="197"/>
      <c r="J71" s="197"/>
    </row>
    <row r="72" spans="1:11" x14ac:dyDescent="0.2">
      <c r="C72" s="1251" t="s">
        <v>1778</v>
      </c>
      <c r="D72" s="1251"/>
      <c r="E72" s="1251"/>
      <c r="F72" s="1251"/>
      <c r="G72" s="1251"/>
      <c r="H72" s="1251"/>
      <c r="I72" s="1251"/>
      <c r="J72" s="1251"/>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219" activePane="bottomLeft" state="frozen"/>
      <selection pane="bottomLeft" activeCell="A233" sqref="A233:H233"/>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1990</v>
      </c>
      <c r="B78" s="422" t="s">
        <v>1248</v>
      </c>
      <c r="C78" s="418" t="s">
        <v>89</v>
      </c>
      <c r="D78" s="423">
        <v>0.71</v>
      </c>
      <c r="E78" s="423">
        <v>5.5E-2</v>
      </c>
      <c r="F78" s="432">
        <f>(grains_table[[#This Row],[Extract %]]*46.214)/1000+1</f>
        <v>1.03281194</v>
      </c>
      <c r="G78" s="418">
        <v>420</v>
      </c>
      <c r="H78" s="419">
        <v>0</v>
      </c>
      <c r="I78" s="421" t="s">
        <v>1989</v>
      </c>
    </row>
    <row r="79" spans="1:9" ht="13.15" customHeight="1" x14ac:dyDescent="0.2">
      <c r="A79" s="415" t="s">
        <v>1876</v>
      </c>
      <c r="B79" s="422" t="s">
        <v>1868</v>
      </c>
      <c r="C79" s="418" t="s">
        <v>89</v>
      </c>
      <c r="D79" s="423">
        <v>0.71</v>
      </c>
      <c r="E79" s="423">
        <v>4.4999999999999998E-2</v>
      </c>
      <c r="F79" s="432">
        <f>(grains_table[[#This Row],[Extract %]]*46.214)/1000+1</f>
        <v>1.03281194</v>
      </c>
      <c r="G79" s="418">
        <v>488</v>
      </c>
      <c r="H79" s="419">
        <v>0</v>
      </c>
      <c r="I79" s="421" t="s">
        <v>1869</v>
      </c>
    </row>
    <row r="80" spans="1:9" ht="13.15" customHeight="1" x14ac:dyDescent="0.2">
      <c r="A80" s="415" t="s">
        <v>1875</v>
      </c>
      <c r="B80" s="422" t="s">
        <v>1868</v>
      </c>
      <c r="C80" s="418" t="s">
        <v>89</v>
      </c>
      <c r="D80" s="423">
        <v>0.71</v>
      </c>
      <c r="E80" s="423">
        <v>4.4999999999999998E-2</v>
      </c>
      <c r="F80" s="432">
        <f>(grains_table[[#This Row],[Extract %]]*46.214)/1000+1</f>
        <v>1.03281194</v>
      </c>
      <c r="G80" s="418">
        <v>356.8</v>
      </c>
      <c r="H80" s="419">
        <v>0</v>
      </c>
      <c r="I80" s="421" t="s">
        <v>1869</v>
      </c>
    </row>
    <row r="81" spans="1:9" ht="13.15" customHeight="1" x14ac:dyDescent="0.2">
      <c r="A81" s="415" t="s">
        <v>1535</v>
      </c>
      <c r="B81" s="415" t="s">
        <v>1249</v>
      </c>
      <c r="C81" s="365" t="s">
        <v>89</v>
      </c>
      <c r="D81" s="416">
        <v>0.7</v>
      </c>
      <c r="E81" s="416">
        <v>4.4999999999999998E-2</v>
      </c>
      <c r="F81" s="432">
        <f>(grains_table[[#This Row],[Extract %]]*46.214)/1000+1</f>
        <v>1.0323498</v>
      </c>
      <c r="G81" s="418">
        <v>340</v>
      </c>
      <c r="H81" s="419">
        <v>0</v>
      </c>
      <c r="I81" s="421" t="s">
        <v>1286</v>
      </c>
    </row>
    <row r="82" spans="1:9" ht="13.15" customHeight="1" x14ac:dyDescent="0.2">
      <c r="A82" s="415" t="s">
        <v>1884</v>
      </c>
      <c r="B82" s="422" t="s">
        <v>1868</v>
      </c>
      <c r="C82" s="418" t="s">
        <v>89</v>
      </c>
      <c r="D82" s="423">
        <v>0.58919999999999995</v>
      </c>
      <c r="E82" s="423">
        <v>6.2799999999999995E-2</v>
      </c>
      <c r="F82" s="432">
        <f>(grains_table[[#This Row],[Extract %]]*46.214)/1000+1</f>
        <v>1.0272292888000001</v>
      </c>
      <c r="G82" s="418">
        <v>1.5</v>
      </c>
      <c r="H82" s="419">
        <v>0</v>
      </c>
      <c r="I82" s="421" t="s">
        <v>1869</v>
      </c>
    </row>
    <row r="83" spans="1:9" ht="13.15" customHeight="1" x14ac:dyDescent="0.2">
      <c r="A83" s="415" t="s">
        <v>1366</v>
      </c>
      <c r="B83" s="415" t="s">
        <v>1248</v>
      </c>
      <c r="C83" s="365" t="s">
        <v>89</v>
      </c>
      <c r="D83" s="416">
        <v>0.75</v>
      </c>
      <c r="E83" s="416">
        <v>6.5000000000000002E-2</v>
      </c>
      <c r="F83" s="432">
        <f>(grains_table[[#This Row],[Extract %]]*46.214)/1000+1</f>
        <v>1.0346605</v>
      </c>
      <c r="G83" s="418">
        <v>1.5</v>
      </c>
      <c r="H83" s="419">
        <v>0</v>
      </c>
      <c r="I83" s="420" t="s">
        <v>1292</v>
      </c>
    </row>
    <row r="84" spans="1:9" ht="13.15" customHeight="1" x14ac:dyDescent="0.2">
      <c r="A84" s="415" t="s">
        <v>1367</v>
      </c>
      <c r="B84" s="415" t="s">
        <v>1248</v>
      </c>
      <c r="C84" s="365" t="s">
        <v>89</v>
      </c>
      <c r="D84" s="416">
        <v>0.75</v>
      </c>
      <c r="E84" s="416">
        <v>5.5E-2</v>
      </c>
      <c r="F84" s="432">
        <f>(grains_table[[#This Row],[Extract %]]*46.214)/1000+1</f>
        <v>1.0346605</v>
      </c>
      <c r="G84" s="418">
        <v>30</v>
      </c>
      <c r="H84" s="419">
        <v>0</v>
      </c>
      <c r="I84" s="420" t="s">
        <v>1292</v>
      </c>
    </row>
    <row r="85" spans="1:9" ht="13.15" customHeight="1" x14ac:dyDescent="0.2">
      <c r="A85" s="415" t="s">
        <v>1368</v>
      </c>
      <c r="B85" s="415" t="s">
        <v>1247</v>
      </c>
      <c r="C85" s="365" t="s">
        <v>89</v>
      </c>
      <c r="D85" s="416">
        <v>0.67500000000000004</v>
      </c>
      <c r="E85" s="416">
        <v>7.0000000000000007E-2</v>
      </c>
      <c r="F85" s="432">
        <f>(grains_table[[#This Row],[Extract %]]*46.214)/1000+1</f>
        <v>1.0311944500000001</v>
      </c>
      <c r="G85" s="418">
        <v>1.1000000000000001</v>
      </c>
      <c r="H85" s="419">
        <v>0</v>
      </c>
      <c r="I85" s="420" t="s">
        <v>1283</v>
      </c>
    </row>
    <row r="86" spans="1:9" ht="13.15" customHeight="1" x14ac:dyDescent="0.2">
      <c r="A86" s="415" t="s">
        <v>1882</v>
      </c>
      <c r="B86" s="422" t="s">
        <v>1868</v>
      </c>
      <c r="C86" s="418" t="s">
        <v>89</v>
      </c>
      <c r="D86" s="423">
        <v>0.82</v>
      </c>
      <c r="E86" s="423">
        <v>0.05</v>
      </c>
      <c r="F86" s="432">
        <f>(grains_table[[#This Row],[Extract %]]*46.214)/1000+1</f>
        <v>1.03789548</v>
      </c>
      <c r="G86" s="418">
        <v>3.6</v>
      </c>
      <c r="H86" s="419">
        <v>0</v>
      </c>
      <c r="I86" s="420" t="s">
        <v>1869</v>
      </c>
    </row>
    <row r="87" spans="1:9" x14ac:dyDescent="0.2">
      <c r="A87" s="415" t="s">
        <v>1537</v>
      </c>
      <c r="B87" s="415" t="s">
        <v>1248</v>
      </c>
      <c r="C87" s="365" t="s">
        <v>702</v>
      </c>
      <c r="D87" s="423"/>
      <c r="E87" s="423"/>
      <c r="F87" s="417">
        <v>1.0449999999999999</v>
      </c>
      <c r="G87" s="418">
        <v>6</v>
      </c>
      <c r="H87" s="419">
        <v>0</v>
      </c>
      <c r="I87" s="420" t="s">
        <v>1490</v>
      </c>
    </row>
    <row r="88" spans="1:9" ht="13.15" customHeight="1" x14ac:dyDescent="0.2">
      <c r="A88" s="415" t="s">
        <v>1538</v>
      </c>
      <c r="B88" s="415" t="s">
        <v>1248</v>
      </c>
      <c r="C88" s="365" t="s">
        <v>702</v>
      </c>
      <c r="D88" s="423"/>
      <c r="E88" s="423"/>
      <c r="F88" s="417">
        <v>1.0449999999999999</v>
      </c>
      <c r="G88" s="418">
        <v>2</v>
      </c>
      <c r="H88" s="419">
        <v>0</v>
      </c>
      <c r="I88" s="420" t="s">
        <v>1490</v>
      </c>
    </row>
    <row r="89" spans="1:9" ht="13.15" customHeight="1" x14ac:dyDescent="0.2">
      <c r="A89" s="415" t="s">
        <v>1474</v>
      </c>
      <c r="B89" s="415" t="s">
        <v>562</v>
      </c>
      <c r="C89" s="365" t="s">
        <v>702</v>
      </c>
      <c r="D89" s="416"/>
      <c r="E89" s="416"/>
      <c r="F89" s="417">
        <v>1.0383439999999999</v>
      </c>
      <c r="G89" s="418">
        <v>6.7</v>
      </c>
      <c r="H89" s="419">
        <v>0</v>
      </c>
      <c r="I89" s="420" t="s">
        <v>1466</v>
      </c>
    </row>
    <row r="90" spans="1:9" ht="13.15" customHeight="1" x14ac:dyDescent="0.2">
      <c r="A90" s="415" t="s">
        <v>1475</v>
      </c>
      <c r="B90" s="415" t="s">
        <v>562</v>
      </c>
      <c r="C90" s="365" t="s">
        <v>702</v>
      </c>
      <c r="D90" s="416"/>
      <c r="E90" s="416"/>
      <c r="F90" s="417">
        <v>1.0377449999999999</v>
      </c>
      <c r="G90" s="418">
        <v>22</v>
      </c>
      <c r="H90" s="419">
        <v>0</v>
      </c>
      <c r="I90" s="420" t="s">
        <v>1466</v>
      </c>
    </row>
    <row r="91" spans="1:9" ht="13.15" customHeight="1" x14ac:dyDescent="0.2">
      <c r="A91" s="415" t="s">
        <v>1476</v>
      </c>
      <c r="B91" s="415" t="s">
        <v>562</v>
      </c>
      <c r="C91" s="365" t="s">
        <v>702</v>
      </c>
      <c r="D91" s="416"/>
      <c r="E91" s="416"/>
      <c r="F91" s="417">
        <v>1.0377449999999999</v>
      </c>
      <c r="G91" s="418">
        <v>36</v>
      </c>
      <c r="H91" s="419">
        <v>0</v>
      </c>
      <c r="I91" s="420" t="s">
        <v>1466</v>
      </c>
    </row>
    <row r="92" spans="1:9" ht="13.15" customHeight="1" x14ac:dyDescent="0.2">
      <c r="A92" s="415" t="s">
        <v>1477</v>
      </c>
      <c r="B92" s="415" t="s">
        <v>562</v>
      </c>
      <c r="C92" s="365" t="s">
        <v>702</v>
      </c>
      <c r="D92" s="416"/>
      <c r="E92" s="416"/>
      <c r="F92" s="417">
        <v>1.0383439999999999</v>
      </c>
      <c r="G92" s="418">
        <v>5.0999999999999996</v>
      </c>
      <c r="H92" s="419">
        <v>0</v>
      </c>
      <c r="I92" s="420" t="s">
        <v>1466</v>
      </c>
    </row>
    <row r="93" spans="1:9" ht="13.15" customHeight="1" x14ac:dyDescent="0.2">
      <c r="A93" s="415" t="s">
        <v>1478</v>
      </c>
      <c r="B93" s="415" t="s">
        <v>562</v>
      </c>
      <c r="C93" s="365" t="s">
        <v>702</v>
      </c>
      <c r="D93" s="416"/>
      <c r="E93" s="416"/>
      <c r="F93" s="417">
        <v>1.0383439999999999</v>
      </c>
      <c r="G93" s="418">
        <v>3.8</v>
      </c>
      <c r="H93" s="419">
        <v>0</v>
      </c>
      <c r="I93" s="420" t="s">
        <v>1466</v>
      </c>
    </row>
    <row r="94" spans="1:9" ht="13.15" customHeight="1" x14ac:dyDescent="0.2">
      <c r="A94" s="415" t="s">
        <v>1479</v>
      </c>
      <c r="B94" s="415" t="s">
        <v>562</v>
      </c>
      <c r="C94" s="365" t="s">
        <v>702</v>
      </c>
      <c r="D94" s="416"/>
      <c r="E94" s="416"/>
      <c r="F94" s="417">
        <v>1.0377449999999999</v>
      </c>
      <c r="G94" s="418">
        <v>12.75</v>
      </c>
      <c r="H94" s="419">
        <v>0</v>
      </c>
      <c r="I94" s="420" t="s">
        <v>1466</v>
      </c>
    </row>
    <row r="95" spans="1:9" ht="13.15" customHeight="1" x14ac:dyDescent="0.2">
      <c r="A95" s="415" t="s">
        <v>1480</v>
      </c>
      <c r="B95" s="415" t="s">
        <v>562</v>
      </c>
      <c r="C95" s="365" t="s">
        <v>702</v>
      </c>
      <c r="D95" s="416"/>
      <c r="E95" s="416"/>
      <c r="F95" s="417">
        <v>1.0377449999999999</v>
      </c>
      <c r="G95" s="418">
        <v>533.5</v>
      </c>
      <c r="H95" s="419">
        <v>0</v>
      </c>
      <c r="I95" s="420" t="s">
        <v>1466</v>
      </c>
    </row>
    <row r="96" spans="1:9" ht="13.15" customHeight="1" x14ac:dyDescent="0.2">
      <c r="A96" s="415" t="s">
        <v>1237</v>
      </c>
      <c r="B96" s="415" t="s">
        <v>1248</v>
      </c>
      <c r="C96" s="365" t="s">
        <v>89</v>
      </c>
      <c r="D96" s="416">
        <v>0.7</v>
      </c>
      <c r="E96" s="416">
        <v>0.09</v>
      </c>
      <c r="F96" s="417">
        <f>(grains_table[[#This Row],[Extract %]]*46.214)/1000+1</f>
        <v>1.0323498</v>
      </c>
      <c r="G96" s="418">
        <v>1.4</v>
      </c>
      <c r="H96" s="419">
        <v>0</v>
      </c>
      <c r="I96" s="420" t="s">
        <v>1489</v>
      </c>
    </row>
    <row r="97" spans="1:9" ht="13.15" customHeight="1" x14ac:dyDescent="0.2">
      <c r="A97" s="415" t="s">
        <v>1881</v>
      </c>
      <c r="B97" s="422" t="s">
        <v>1868</v>
      </c>
      <c r="C97" s="418" t="s">
        <v>89</v>
      </c>
      <c r="D97" s="423">
        <v>0.7</v>
      </c>
      <c r="E97" s="423">
        <v>0.09</v>
      </c>
      <c r="F97" s="417">
        <v>1.032</v>
      </c>
      <c r="G97" s="418">
        <v>1.4</v>
      </c>
      <c r="H97" s="433">
        <v>0</v>
      </c>
      <c r="I97" s="420" t="s">
        <v>1869</v>
      </c>
    </row>
    <row r="98" spans="1:9" ht="13.15" customHeight="1" x14ac:dyDescent="0.2">
      <c r="A98" s="415" t="s">
        <v>1240</v>
      </c>
      <c r="B98" s="415" t="s">
        <v>1248</v>
      </c>
      <c r="C98" s="365" t="s">
        <v>89</v>
      </c>
      <c r="D98" s="416">
        <v>0.6</v>
      </c>
      <c r="E98" s="416">
        <v>7.0000000000000007E-2</v>
      </c>
      <c r="F98" s="417">
        <f>(grains_table[[#This Row],[Extract %]]*46.214)/1000+1</f>
        <v>1.0277284</v>
      </c>
      <c r="G98" s="418">
        <v>1</v>
      </c>
      <c r="H98" s="433">
        <v>0</v>
      </c>
      <c r="I98" s="420" t="s">
        <v>1489</v>
      </c>
    </row>
    <row r="99" spans="1:9" ht="13.15" customHeight="1" x14ac:dyDescent="0.2">
      <c r="A99" s="415" t="s">
        <v>1239</v>
      </c>
      <c r="B99" s="415" t="s">
        <v>1248</v>
      </c>
      <c r="C99" s="365" t="s">
        <v>89</v>
      </c>
      <c r="D99" s="416">
        <v>0.7</v>
      </c>
      <c r="E99" s="416">
        <v>7.4999999999999997E-2</v>
      </c>
      <c r="F99" s="417">
        <f>(grains_table[[#This Row],[Extract %]]*46.214)/1000+1</f>
        <v>1.0323498</v>
      </c>
      <c r="G99" s="418">
        <v>2.5</v>
      </c>
      <c r="H99" s="433">
        <v>0</v>
      </c>
      <c r="I99" s="420" t="s">
        <v>1489</v>
      </c>
    </row>
    <row r="100" spans="1:9" ht="13.15" customHeight="1" x14ac:dyDescent="0.2">
      <c r="A100" s="415" t="s">
        <v>1241</v>
      </c>
      <c r="B100" s="415" t="s">
        <v>1248</v>
      </c>
      <c r="C100" s="365" t="s">
        <v>89</v>
      </c>
      <c r="D100" s="416">
        <v>0.7</v>
      </c>
      <c r="E100" s="416">
        <v>7.0000000000000007E-2</v>
      </c>
      <c r="F100" s="417">
        <f>(grains_table[[#This Row],[Extract %]]*46.214)/1000+1</f>
        <v>1.0323498</v>
      </c>
      <c r="G100" s="418">
        <v>2</v>
      </c>
      <c r="H100" s="433">
        <v>0</v>
      </c>
      <c r="I100" s="420" t="s">
        <v>1489</v>
      </c>
    </row>
    <row r="101" spans="1:9" ht="13.15" customHeight="1" x14ac:dyDescent="0.2">
      <c r="A101" s="415" t="s">
        <v>1242</v>
      </c>
      <c r="B101" s="415" t="s">
        <v>1248</v>
      </c>
      <c r="C101" s="365" t="s">
        <v>89</v>
      </c>
      <c r="D101" s="416">
        <v>0.71</v>
      </c>
      <c r="E101" s="416">
        <v>0.09</v>
      </c>
      <c r="F101" s="417">
        <f>(grains_table[[#This Row],[Extract %]]*46.214)/1000+1</f>
        <v>1.03281194</v>
      </c>
      <c r="G101" s="418">
        <v>3</v>
      </c>
      <c r="H101" s="433">
        <v>0</v>
      </c>
      <c r="I101" s="420" t="s">
        <v>1489</v>
      </c>
    </row>
    <row r="102" spans="1:9" ht="13.15" customHeight="1" x14ac:dyDescent="0.2">
      <c r="A102" s="415" t="s">
        <v>1243</v>
      </c>
      <c r="B102" s="415" t="s">
        <v>1248</v>
      </c>
      <c r="C102" s="365" t="s">
        <v>89</v>
      </c>
      <c r="D102" s="416">
        <v>0.71</v>
      </c>
      <c r="E102" s="416">
        <v>7.0000000000000007E-2</v>
      </c>
      <c r="F102" s="417">
        <f>(grains_table[[#This Row],[Extract %]]*46.214)/1000+1</f>
        <v>1.03281194</v>
      </c>
      <c r="G102" s="418">
        <v>2.5</v>
      </c>
      <c r="H102" s="433">
        <v>0</v>
      </c>
      <c r="I102" s="420" t="s">
        <v>1489</v>
      </c>
    </row>
    <row r="103" spans="1:9" ht="13.15" customHeight="1" x14ac:dyDescent="0.2">
      <c r="A103" s="415" t="s">
        <v>1238</v>
      </c>
      <c r="B103" s="415" t="s">
        <v>1248</v>
      </c>
      <c r="C103" s="365" t="s">
        <v>89</v>
      </c>
      <c r="D103" s="416">
        <v>0.75</v>
      </c>
      <c r="E103" s="416">
        <v>0.08</v>
      </c>
      <c r="F103" s="417">
        <f>(grains_table[[#This Row],[Extract %]]*46.214)/1000+1</f>
        <v>1.0346605</v>
      </c>
      <c r="G103" s="418">
        <v>0.8</v>
      </c>
      <c r="H103" s="433">
        <v>0</v>
      </c>
      <c r="I103" s="420" t="s">
        <v>1489</v>
      </c>
    </row>
    <row r="104" spans="1:9" ht="13.15" customHeight="1" x14ac:dyDescent="0.2">
      <c r="A104" s="415" t="s">
        <v>1530</v>
      </c>
      <c r="B104" s="415" t="s">
        <v>1246</v>
      </c>
      <c r="C104" s="365" t="s">
        <v>89</v>
      </c>
      <c r="D104" s="416">
        <v>0.78</v>
      </c>
      <c r="E104" s="416">
        <v>4.4999999999999998E-2</v>
      </c>
      <c r="F104" s="417">
        <f>(grains_table[[#This Row],[Extract %]]*46.214)/1000+1</f>
        <v>1.03604692</v>
      </c>
      <c r="G104" s="418">
        <v>6.6</v>
      </c>
      <c r="H104" s="433"/>
      <c r="I104" s="420" t="s">
        <v>1287</v>
      </c>
    </row>
    <row r="105" spans="1:9" ht="13.15" customHeight="1" x14ac:dyDescent="0.2">
      <c r="A105" s="415" t="s">
        <v>1540</v>
      </c>
      <c r="B105" s="415" t="s">
        <v>1248</v>
      </c>
      <c r="C105" s="365" t="s">
        <v>702</v>
      </c>
      <c r="D105" s="423"/>
      <c r="E105" s="423"/>
      <c r="F105" s="417">
        <v>1.036</v>
      </c>
      <c r="G105" s="418">
        <v>6</v>
      </c>
      <c r="H105" s="433">
        <v>0</v>
      </c>
      <c r="I105" s="420" t="s">
        <v>1490</v>
      </c>
    </row>
    <row r="106" spans="1:9" ht="13.15" customHeight="1" x14ac:dyDescent="0.2">
      <c r="A106" s="415" t="s">
        <v>1539</v>
      </c>
      <c r="B106" s="415" t="s">
        <v>1248</v>
      </c>
      <c r="C106" s="365" t="s">
        <v>702</v>
      </c>
      <c r="D106" s="416"/>
      <c r="E106" s="416"/>
      <c r="F106" s="417">
        <v>1.036</v>
      </c>
      <c r="G106" s="418">
        <v>2</v>
      </c>
      <c r="H106" s="433">
        <v>0</v>
      </c>
      <c r="I106" s="420" t="s">
        <v>1490</v>
      </c>
    </row>
    <row r="107" spans="1:9" ht="13.15" customHeight="1" x14ac:dyDescent="0.2">
      <c r="A107" s="415" t="s">
        <v>1481</v>
      </c>
      <c r="B107" s="415" t="s">
        <v>562</v>
      </c>
      <c r="C107" s="365" t="s">
        <v>702</v>
      </c>
      <c r="D107" s="416"/>
      <c r="E107" s="416"/>
      <c r="F107" s="417">
        <v>1.036</v>
      </c>
      <c r="G107" s="418">
        <v>7.2</v>
      </c>
      <c r="H107" s="433">
        <v>0</v>
      </c>
      <c r="I107" s="420" t="s">
        <v>1466</v>
      </c>
    </row>
    <row r="108" spans="1:9" ht="13.15" customHeight="1" x14ac:dyDescent="0.2">
      <c r="A108" s="415" t="s">
        <v>1482</v>
      </c>
      <c r="B108" s="415" t="s">
        <v>562</v>
      </c>
      <c r="C108" s="365" t="s">
        <v>702</v>
      </c>
      <c r="D108" s="416"/>
      <c r="E108" s="416"/>
      <c r="F108" s="417">
        <v>1.036</v>
      </c>
      <c r="G108" s="418">
        <v>3.8</v>
      </c>
      <c r="H108" s="433">
        <v>0</v>
      </c>
      <c r="I108" s="420" t="s">
        <v>1466</v>
      </c>
    </row>
    <row r="109" spans="1:9" ht="13.15" customHeight="1" x14ac:dyDescent="0.2">
      <c r="A109" s="415" t="s">
        <v>1483</v>
      </c>
      <c r="B109" s="415" t="s">
        <v>562</v>
      </c>
      <c r="C109" s="365" t="s">
        <v>702</v>
      </c>
      <c r="D109" s="416"/>
      <c r="E109" s="416"/>
      <c r="F109" s="417">
        <v>1.036</v>
      </c>
      <c r="G109" s="418">
        <v>10.25</v>
      </c>
      <c r="H109" s="433">
        <v>0</v>
      </c>
      <c r="I109" s="420" t="s">
        <v>1466</v>
      </c>
    </row>
    <row r="110" spans="1:9" ht="13.15" customHeight="1" x14ac:dyDescent="0.2">
      <c r="A110" s="415" t="s">
        <v>1484</v>
      </c>
      <c r="B110" s="415" t="s">
        <v>562</v>
      </c>
      <c r="C110" s="365" t="s">
        <v>702</v>
      </c>
      <c r="D110" s="416"/>
      <c r="E110" s="416"/>
      <c r="F110" s="417">
        <v>1.036</v>
      </c>
      <c r="G110" s="418">
        <v>5.3</v>
      </c>
      <c r="H110" s="433">
        <v>0</v>
      </c>
      <c r="I110" s="420" t="s">
        <v>1466</v>
      </c>
    </row>
    <row r="111" spans="1:9" ht="13.15" customHeight="1" x14ac:dyDescent="0.2">
      <c r="A111" s="415" t="s">
        <v>1387</v>
      </c>
      <c r="B111" s="415" t="s">
        <v>1291</v>
      </c>
      <c r="C111" s="365" t="s">
        <v>89</v>
      </c>
      <c r="D111" s="416">
        <v>0.75</v>
      </c>
      <c r="E111" s="416">
        <v>4.9000000000000002E-2</v>
      </c>
      <c r="F111" s="432">
        <f>(grains_table[[#This Row],[Extract %]]*46.214)/1000+1</f>
        <v>1.0346605</v>
      </c>
      <c r="G111" s="418">
        <v>28</v>
      </c>
      <c r="H111" s="433">
        <v>0</v>
      </c>
      <c r="I111" s="420" t="s">
        <v>1307</v>
      </c>
    </row>
    <row r="112" spans="1:9" ht="13.15" customHeight="1" x14ac:dyDescent="0.2">
      <c r="A112" s="415" t="s">
        <v>1388</v>
      </c>
      <c r="B112" s="415" t="s">
        <v>1291</v>
      </c>
      <c r="C112" s="365" t="s">
        <v>89</v>
      </c>
      <c r="D112" s="416">
        <v>0.75</v>
      </c>
      <c r="E112" s="416">
        <v>4.9000000000000002E-2</v>
      </c>
      <c r="F112" s="432">
        <f>(grains_table[[#This Row],[Extract %]]*46.214)/1000+1</f>
        <v>1.0346605</v>
      </c>
      <c r="G112" s="418">
        <v>19.5</v>
      </c>
      <c r="H112" s="433">
        <v>0</v>
      </c>
      <c r="I112" s="420" t="s">
        <v>1308</v>
      </c>
    </row>
    <row r="113" spans="1:9" ht="13.15" customHeight="1" x14ac:dyDescent="0.2">
      <c r="A113" s="415" t="s">
        <v>1389</v>
      </c>
      <c r="B113" s="415" t="s">
        <v>1246</v>
      </c>
      <c r="C113" s="365" t="s">
        <v>89</v>
      </c>
      <c r="D113" s="416">
        <v>0.75</v>
      </c>
      <c r="E113" s="416">
        <v>4.4999999999999998E-2</v>
      </c>
      <c r="F113" s="432">
        <f>(grains_table[[#This Row],[Extract %]]*46.214)/1000+1</f>
        <v>1.0346605</v>
      </c>
      <c r="G113" s="418">
        <v>27</v>
      </c>
      <c r="H113" s="433"/>
      <c r="I113" s="420" t="s">
        <v>1287</v>
      </c>
    </row>
    <row r="114" spans="1:9" ht="13.15" customHeight="1" x14ac:dyDescent="0.2">
      <c r="A114" s="415" t="s">
        <v>1381</v>
      </c>
      <c r="B114" s="415" t="s">
        <v>1248</v>
      </c>
      <c r="C114" s="365" t="s">
        <v>89</v>
      </c>
      <c r="D114" s="416">
        <v>0.77</v>
      </c>
      <c r="E114" s="416">
        <v>2.5000000000000001E-2</v>
      </c>
      <c r="F114" s="432">
        <f>(grains_table[[#This Row],[Extract %]]*46.214)/1000+1</f>
        <v>1.03558478</v>
      </c>
      <c r="G114" s="418">
        <v>20</v>
      </c>
      <c r="H114" s="433">
        <v>20</v>
      </c>
      <c r="I114" s="420" t="s">
        <v>1288</v>
      </c>
    </row>
    <row r="115" spans="1:9" ht="13.15" customHeight="1" x14ac:dyDescent="0.2">
      <c r="A115" s="415" t="s">
        <v>1382</v>
      </c>
      <c r="B115" s="415" t="s">
        <v>1291</v>
      </c>
      <c r="C115" s="365" t="s">
        <v>89</v>
      </c>
      <c r="D115" s="416">
        <v>0.80500000000000005</v>
      </c>
      <c r="E115" s="416">
        <v>4.9000000000000002E-2</v>
      </c>
      <c r="F115" s="432">
        <f>(grains_table[[#This Row],[Extract %]]*46.214)/1000+1</f>
        <v>1.0372022700000001</v>
      </c>
      <c r="G115" s="418">
        <v>6.3</v>
      </c>
      <c r="H115" s="433">
        <f>(230+16)/3.5</f>
        <v>70.285714285714292</v>
      </c>
      <c r="I115" s="420" t="s">
        <v>1309</v>
      </c>
    </row>
    <row r="116" spans="1:9" ht="13.15" customHeight="1" x14ac:dyDescent="0.2">
      <c r="A116" s="415" t="s">
        <v>1383</v>
      </c>
      <c r="B116" s="415" t="s">
        <v>1291</v>
      </c>
      <c r="C116" s="365" t="s">
        <v>89</v>
      </c>
      <c r="D116" s="416">
        <v>0.8</v>
      </c>
      <c r="E116" s="416">
        <v>4.9000000000000002E-2</v>
      </c>
      <c r="F116" s="432">
        <f>(grains_table[[#This Row],[Extract %]]*46.214)/1000+1</f>
        <v>1.0369712</v>
      </c>
      <c r="G116" s="418">
        <v>11.05</v>
      </c>
      <c r="H116" s="433">
        <f>(230+16)/3.5</f>
        <v>70.285714285714292</v>
      </c>
      <c r="I116" s="420" t="s">
        <v>1306</v>
      </c>
    </row>
    <row r="117" spans="1:9" ht="13.15" customHeight="1" x14ac:dyDescent="0.2">
      <c r="A117" s="415" t="s">
        <v>1384</v>
      </c>
      <c r="B117" s="415" t="s">
        <v>1248</v>
      </c>
      <c r="C117" s="365" t="s">
        <v>89</v>
      </c>
      <c r="D117" s="416">
        <v>0.78</v>
      </c>
      <c r="E117" s="416">
        <v>3.3000000000000002E-2</v>
      </c>
      <c r="F117" s="432">
        <f>(grains_table[[#This Row],[Extract %]]*46.214)/1000+1</f>
        <v>1.03604692</v>
      </c>
      <c r="G117" s="418">
        <v>10</v>
      </c>
      <c r="H117" s="433">
        <v>40</v>
      </c>
      <c r="I117" s="420" t="s">
        <v>1297</v>
      </c>
    </row>
    <row r="118" spans="1:9" ht="13.15" customHeight="1" x14ac:dyDescent="0.2">
      <c r="A118" s="415" t="s">
        <v>2150</v>
      </c>
      <c r="B118" s="422" t="s">
        <v>1630</v>
      </c>
      <c r="C118" s="418" t="s">
        <v>89</v>
      </c>
      <c r="D118" s="423">
        <v>0.80500000000000005</v>
      </c>
      <c r="E118" s="423">
        <v>4.4999999999999998E-2</v>
      </c>
      <c r="F118" s="432">
        <f>(grains_table[[#This Row],[Extract %]]*46.214)/1000+1</f>
        <v>1.0372022700000001</v>
      </c>
      <c r="G118" s="418">
        <v>15.2</v>
      </c>
      <c r="H118" s="433">
        <v>40</v>
      </c>
      <c r="I118" s="420" t="s">
        <v>2149</v>
      </c>
    </row>
    <row r="119" spans="1:9" ht="13.15" customHeight="1" x14ac:dyDescent="0.2">
      <c r="A119" s="415" t="s">
        <v>2013</v>
      </c>
      <c r="B119" s="415" t="s">
        <v>1248</v>
      </c>
      <c r="C119" s="365" t="s">
        <v>89</v>
      </c>
      <c r="D119" s="416">
        <v>0.78</v>
      </c>
      <c r="E119" s="416">
        <v>3.3000000000000002E-2</v>
      </c>
      <c r="F119" s="432">
        <f>(grains_table[[#This Row],[Extract %]]*46.214)/1000+1</f>
        <v>1.03604692</v>
      </c>
      <c r="G119" s="418">
        <v>30</v>
      </c>
      <c r="H119" s="433">
        <v>40</v>
      </c>
      <c r="I119" s="420" t="s">
        <v>1297</v>
      </c>
    </row>
    <row r="120" spans="1:9" ht="13.15" customHeight="1" x14ac:dyDescent="0.2">
      <c r="A120" s="415" t="s">
        <v>2151</v>
      </c>
      <c r="B120" s="415" t="s">
        <v>1630</v>
      </c>
      <c r="C120" s="365" t="s">
        <v>89</v>
      </c>
      <c r="D120" s="416">
        <v>0.80500000000000005</v>
      </c>
      <c r="E120" s="416">
        <v>4.4999999999999998E-2</v>
      </c>
      <c r="F120" s="432">
        <f>(grains_table[[#This Row],[Extract %]]*46.214)/1000+1</f>
        <v>1.0372022700000001</v>
      </c>
      <c r="G120" s="418">
        <v>9.4</v>
      </c>
      <c r="H120" s="419">
        <v>40</v>
      </c>
      <c r="I120" s="420" t="s">
        <v>2149</v>
      </c>
    </row>
    <row r="121" spans="1:9" ht="13.15" customHeight="1" x14ac:dyDescent="0.2">
      <c r="A121" s="415" t="s">
        <v>1887</v>
      </c>
      <c r="B121" s="422" t="s">
        <v>1868</v>
      </c>
      <c r="C121" s="418" t="s">
        <v>89</v>
      </c>
      <c r="D121" s="423">
        <v>0.81</v>
      </c>
      <c r="E121" s="423">
        <v>0.03</v>
      </c>
      <c r="F121" s="432">
        <f>(grains_table[[#This Row],[Extract %]]*46.214)/1000+1</f>
        <v>1.03743334</v>
      </c>
      <c r="G121" s="418">
        <v>6</v>
      </c>
      <c r="H121" s="433">
        <f>(160+16)/3.5</f>
        <v>50.285714285714285</v>
      </c>
      <c r="I121" s="420" t="s">
        <v>1869</v>
      </c>
    </row>
    <row r="122" spans="1:9" ht="13.15" customHeight="1" x14ac:dyDescent="0.2">
      <c r="A122" s="415" t="s">
        <v>1386</v>
      </c>
      <c r="B122" s="415" t="s">
        <v>1247</v>
      </c>
      <c r="C122" s="365" t="s">
        <v>89</v>
      </c>
      <c r="D122" s="416">
        <v>0.8</v>
      </c>
      <c r="E122" s="416">
        <v>0.04</v>
      </c>
      <c r="F122" s="432">
        <f>(grains_table[[#This Row],[Extract %]]*46.214)/1000+1</f>
        <v>1.0369712</v>
      </c>
      <c r="G122" s="418">
        <v>8.6</v>
      </c>
      <c r="H122" s="433">
        <v>25</v>
      </c>
      <c r="I122" s="420" t="s">
        <v>1260</v>
      </c>
    </row>
    <row r="123" spans="1:9" ht="13.15" customHeight="1" x14ac:dyDescent="0.2">
      <c r="A123" s="415" t="s">
        <v>1385</v>
      </c>
      <c r="B123" s="415" t="s">
        <v>1249</v>
      </c>
      <c r="C123" s="365" t="s">
        <v>89</v>
      </c>
      <c r="D123" s="416">
        <v>0.79500000000000004</v>
      </c>
      <c r="E123" s="416">
        <v>4.4999999999999998E-2</v>
      </c>
      <c r="F123" s="432">
        <f>(grains_table[[#This Row],[Extract %]]*46.214)/1000+1</f>
        <v>1.0367401300000001</v>
      </c>
      <c r="G123" s="418">
        <v>6</v>
      </c>
      <c r="H123" s="433"/>
      <c r="I123" s="420" t="s">
        <v>1284</v>
      </c>
    </row>
    <row r="124" spans="1:9" ht="13.15" customHeight="1" x14ac:dyDescent="0.2">
      <c r="A124" s="415" t="s">
        <v>1888</v>
      </c>
      <c r="B124" s="422"/>
      <c r="C124" s="418" t="s">
        <v>89</v>
      </c>
      <c r="D124" s="423">
        <v>0</v>
      </c>
      <c r="E124" s="423">
        <v>0</v>
      </c>
      <c r="F124" s="432">
        <v>1</v>
      </c>
      <c r="G124" s="418">
        <v>0</v>
      </c>
      <c r="H124" s="433"/>
      <c r="I124" s="420"/>
    </row>
    <row r="125" spans="1:9" ht="13.15" customHeight="1" x14ac:dyDescent="0.2">
      <c r="A125" s="415" t="s">
        <v>1456</v>
      </c>
      <c r="B125" s="415" t="s">
        <v>1247</v>
      </c>
      <c r="C125" s="365" t="s">
        <v>89</v>
      </c>
      <c r="D125" s="416">
        <v>0.69</v>
      </c>
      <c r="E125" s="416">
        <v>7.0000000000000007E-2</v>
      </c>
      <c r="F125" s="432">
        <f>(grains_table[[#This Row],[Extract %]]*46.214)/1000+1</f>
        <v>1.03188766</v>
      </c>
      <c r="G125" s="418">
        <v>7.35</v>
      </c>
      <c r="H125" s="433"/>
      <c r="I125" s="420" t="s">
        <v>1280</v>
      </c>
    </row>
    <row r="126" spans="1:9" ht="13.15" customHeight="1" x14ac:dyDescent="0.2">
      <c r="A126" s="415" t="s">
        <v>1454</v>
      </c>
      <c r="B126" s="415" t="s">
        <v>1247</v>
      </c>
      <c r="C126" s="365" t="s">
        <v>89</v>
      </c>
      <c r="D126" s="416">
        <v>0.74</v>
      </c>
      <c r="E126" s="416">
        <v>7.0000000000000007E-2</v>
      </c>
      <c r="F126" s="432">
        <f>(grains_table[[#This Row],[Extract %]]*46.214)/1000+1</f>
        <v>1.03419836</v>
      </c>
      <c r="G126" s="418">
        <v>1.7</v>
      </c>
      <c r="H126" s="433"/>
      <c r="I126" s="420" t="s">
        <v>1278</v>
      </c>
    </row>
    <row r="127" spans="1:9" ht="13.15" customHeight="1" x14ac:dyDescent="0.2">
      <c r="A127" s="415" t="s">
        <v>1452</v>
      </c>
      <c r="B127" s="415" t="s">
        <v>1291</v>
      </c>
      <c r="C127" s="418" t="s">
        <v>89</v>
      </c>
      <c r="D127" s="416">
        <v>0.79</v>
      </c>
      <c r="E127" s="416">
        <v>4.9000000000000002E-2</v>
      </c>
      <c r="F127" s="432">
        <f>(grains_table[[#This Row],[Extract %]]*46.214)/1000+1</f>
        <v>1.03650906</v>
      </c>
      <c r="G127" s="418">
        <v>12</v>
      </c>
      <c r="H127" s="433">
        <f>(200+16)/3.5</f>
        <v>61.714285714285715</v>
      </c>
      <c r="I127" s="420" t="s">
        <v>1314</v>
      </c>
    </row>
    <row r="128" spans="1:9" ht="13.15" customHeight="1" x14ac:dyDescent="0.2">
      <c r="A128" s="415" t="s">
        <v>1450</v>
      </c>
      <c r="B128" s="415" t="s">
        <v>1291</v>
      </c>
      <c r="C128" s="365" t="s">
        <v>89</v>
      </c>
      <c r="D128" s="416">
        <v>0.75</v>
      </c>
      <c r="E128" s="416">
        <v>4.4999999999999998E-2</v>
      </c>
      <c r="F128" s="432">
        <f>(grains_table[[#This Row],[Extract %]]*46.214)/1000+1</f>
        <v>1.0346605</v>
      </c>
      <c r="G128" s="418">
        <v>132.5</v>
      </c>
      <c r="H128" s="433">
        <v>0</v>
      </c>
      <c r="I128" s="420" t="s">
        <v>1315</v>
      </c>
    </row>
    <row r="129" spans="1:9" ht="13.15" customHeight="1" x14ac:dyDescent="0.2">
      <c r="A129" s="415" t="s">
        <v>1512</v>
      </c>
      <c r="B129" s="415" t="s">
        <v>1246</v>
      </c>
      <c r="C129" s="365" t="s">
        <v>89</v>
      </c>
      <c r="D129" s="416">
        <v>0.75</v>
      </c>
      <c r="E129" s="416">
        <v>4.4999999999999998E-2</v>
      </c>
      <c r="F129" s="432">
        <f>(grains_table[[#This Row],[Extract %]]*46.214)/1000+1</f>
        <v>1.0346605</v>
      </c>
      <c r="G129" s="418">
        <v>17.5</v>
      </c>
      <c r="H129" s="433"/>
      <c r="I129" s="420" t="s">
        <v>1287</v>
      </c>
    </row>
    <row r="130" spans="1:9" ht="13.15" customHeight="1" x14ac:dyDescent="0.2">
      <c r="A130" s="415" t="s">
        <v>1371</v>
      </c>
      <c r="B130" s="415" t="s">
        <v>1291</v>
      </c>
      <c r="C130" s="365" t="s">
        <v>89</v>
      </c>
      <c r="D130" s="416">
        <v>0.80500000000000005</v>
      </c>
      <c r="E130" s="416">
        <v>4.9000000000000002E-2</v>
      </c>
      <c r="F130" s="432">
        <f>(grains_table[[#This Row],[Extract %]]*46.214)/1000+1</f>
        <v>1.0372022700000001</v>
      </c>
      <c r="G130" s="418">
        <v>2.7</v>
      </c>
      <c r="H130" s="433">
        <f>(250+16)/3.5</f>
        <v>76</v>
      </c>
      <c r="I130" s="420" t="s">
        <v>1304</v>
      </c>
    </row>
    <row r="131" spans="1:9" ht="13.15" customHeight="1" x14ac:dyDescent="0.2">
      <c r="A131" s="415" t="s">
        <v>1372</v>
      </c>
      <c r="B131" s="415" t="s">
        <v>1247</v>
      </c>
      <c r="C131" s="365" t="s">
        <v>89</v>
      </c>
      <c r="D131" s="416">
        <v>0.80500000000000005</v>
      </c>
      <c r="E131" s="416">
        <v>3.6999999999999998E-2</v>
      </c>
      <c r="F131" s="432">
        <f>(grains_table[[#This Row],[Extract %]]*46.214)/1000+1</f>
        <v>1.0372022700000001</v>
      </c>
      <c r="G131" s="418">
        <v>2.6</v>
      </c>
      <c r="H131" s="433">
        <v>50</v>
      </c>
      <c r="I131" s="420" t="s">
        <v>1256</v>
      </c>
    </row>
    <row r="132" spans="1:9" ht="13.15" customHeight="1" x14ac:dyDescent="0.2">
      <c r="A132" s="415" t="s">
        <v>1369</v>
      </c>
      <c r="B132" s="415" t="s">
        <v>1247</v>
      </c>
      <c r="C132" s="365" t="s">
        <v>89</v>
      </c>
      <c r="D132" s="416">
        <v>0.8</v>
      </c>
      <c r="E132" s="416">
        <v>0.04</v>
      </c>
      <c r="F132" s="432">
        <f>(grains_table[[#This Row],[Extract %]]*46.214)/1000+1</f>
        <v>1.0369712</v>
      </c>
      <c r="G132" s="418">
        <v>8.6</v>
      </c>
      <c r="H132" s="433">
        <v>25</v>
      </c>
      <c r="I132" s="420" t="s">
        <v>1263</v>
      </c>
    </row>
    <row r="133" spans="1:9" ht="13.15" customHeight="1" x14ac:dyDescent="0.2">
      <c r="A133" s="415" t="s">
        <v>1373</v>
      </c>
      <c r="B133" s="415" t="s">
        <v>1247</v>
      </c>
      <c r="C133" s="365" t="s">
        <v>89</v>
      </c>
      <c r="D133" s="416">
        <v>0.80500000000000005</v>
      </c>
      <c r="E133" s="416">
        <v>3.6999999999999998E-2</v>
      </c>
      <c r="F133" s="432">
        <f>(grains_table[[#This Row],[Extract %]]*46.214)/1000+1</f>
        <v>1.0372022700000001</v>
      </c>
      <c r="G133" s="418">
        <v>1.85</v>
      </c>
      <c r="H133" s="433">
        <v>50</v>
      </c>
      <c r="I133" s="420" t="s">
        <v>1257</v>
      </c>
    </row>
    <row r="134" spans="1:9" ht="13.15" customHeight="1" x14ac:dyDescent="0.2">
      <c r="A134" s="415" t="s">
        <v>1485</v>
      </c>
      <c r="B134" s="415" t="s">
        <v>1247</v>
      </c>
      <c r="C134" s="365" t="s">
        <v>89</v>
      </c>
      <c r="D134" s="416">
        <v>0.81</v>
      </c>
      <c r="E134" s="416">
        <v>3.6999999999999998E-2</v>
      </c>
      <c r="F134" s="432">
        <f>(grains_table[[#This Row],[Extract %]]*46.214)/1000+1</f>
        <v>1.03743334</v>
      </c>
      <c r="G134" s="418">
        <v>2.6</v>
      </c>
      <c r="H134" s="433">
        <v>50</v>
      </c>
      <c r="I134" s="420" t="s">
        <v>1253</v>
      </c>
    </row>
    <row r="135" spans="1:9" ht="13.15" customHeight="1" x14ac:dyDescent="0.2">
      <c r="A135" s="415" t="s">
        <v>1486</v>
      </c>
      <c r="B135" s="415" t="s">
        <v>1247</v>
      </c>
      <c r="C135" s="365" t="s">
        <v>89</v>
      </c>
      <c r="D135" s="416">
        <v>0.81</v>
      </c>
      <c r="E135" s="416">
        <v>3.6999999999999998E-2</v>
      </c>
      <c r="F135" s="432">
        <f>(grains_table[[#This Row],[Extract %]]*46.214)/1000+1</f>
        <v>1.03743334</v>
      </c>
      <c r="G135" s="418">
        <v>2.6</v>
      </c>
      <c r="H135" s="433">
        <v>50</v>
      </c>
      <c r="I135" s="420" t="s">
        <v>1254</v>
      </c>
    </row>
    <row r="136" spans="1:9" ht="13.15" customHeight="1" x14ac:dyDescent="0.2">
      <c r="A136" s="415" t="s">
        <v>1431</v>
      </c>
      <c r="B136" s="415" t="s">
        <v>1432</v>
      </c>
      <c r="C136" s="365" t="s">
        <v>89</v>
      </c>
      <c r="D136" s="416">
        <v>0.8</v>
      </c>
      <c r="E136" s="416">
        <v>0.04</v>
      </c>
      <c r="F136" s="432">
        <f>(grains_table[[#This Row],[Extract %]]*46.214)/1000+1</f>
        <v>1.0369712</v>
      </c>
      <c r="G136" s="418">
        <v>2.65</v>
      </c>
      <c r="H136" s="433"/>
      <c r="I136" s="420" t="s">
        <v>1491</v>
      </c>
    </row>
    <row r="137" spans="1:9" ht="13.15" customHeight="1" x14ac:dyDescent="0.2">
      <c r="A137" s="415" t="s">
        <v>1370</v>
      </c>
      <c r="B137" s="415" t="s">
        <v>1247</v>
      </c>
      <c r="C137" s="365" t="s">
        <v>89</v>
      </c>
      <c r="D137" s="416">
        <v>0.75</v>
      </c>
      <c r="E137" s="416">
        <v>3.5000000000000003E-2</v>
      </c>
      <c r="F137" s="432">
        <f>(grains_table[[#This Row],[Extract %]]*46.214)/1000+1</f>
        <v>1.0346605</v>
      </c>
      <c r="G137" s="418">
        <v>17.45</v>
      </c>
      <c r="H137" s="433"/>
      <c r="I137" s="420" t="s">
        <v>1261</v>
      </c>
    </row>
    <row r="138" spans="1:9" ht="13.15" customHeight="1" x14ac:dyDescent="0.2">
      <c r="A138" s="415" t="s">
        <v>1374</v>
      </c>
      <c r="B138" s="415" t="s">
        <v>1248</v>
      </c>
      <c r="C138" s="365" t="s">
        <v>89</v>
      </c>
      <c r="D138" s="416">
        <v>0.78500000000000003</v>
      </c>
      <c r="E138" s="416">
        <v>1.4999999999999999E-2</v>
      </c>
      <c r="F138" s="432">
        <f>(grains_table[[#This Row],[Extract %]]*46.214)/1000+1</f>
        <v>1.0362779900000001</v>
      </c>
      <c r="G138" s="418">
        <v>3.5</v>
      </c>
      <c r="H138" s="433">
        <v>85</v>
      </c>
      <c r="I138" s="420" t="s">
        <v>1520</v>
      </c>
    </row>
    <row r="139" spans="1:9" ht="13.15" customHeight="1" x14ac:dyDescent="0.2">
      <c r="A139" s="415" t="s">
        <v>1672</v>
      </c>
      <c r="B139" s="415" t="s">
        <v>1551</v>
      </c>
      <c r="C139" s="365" t="s">
        <v>89</v>
      </c>
      <c r="D139" s="416">
        <v>0.79</v>
      </c>
      <c r="E139" s="416">
        <v>4.4999999999999998E-2</v>
      </c>
      <c r="F139" s="432">
        <f>(grains_table[[#This Row],[Extract %]]*46.214)/1000+1</f>
        <v>1.03650906</v>
      </c>
      <c r="G139" s="418">
        <v>3.5</v>
      </c>
      <c r="H139" s="433"/>
      <c r="I139" s="420" t="s">
        <v>1673</v>
      </c>
    </row>
    <row r="140" spans="1:9" ht="13.15" customHeight="1" x14ac:dyDescent="0.2">
      <c r="A140" s="415" t="s">
        <v>1376</v>
      </c>
      <c r="B140" s="415" t="s">
        <v>1246</v>
      </c>
      <c r="C140" s="365" t="s">
        <v>89</v>
      </c>
      <c r="D140" s="416">
        <v>0.79</v>
      </c>
      <c r="E140" s="416">
        <v>4.4999999999999998E-2</v>
      </c>
      <c r="F140" s="432">
        <f>(grains_table[[#This Row],[Extract %]]*46.214)/1000+1</f>
        <v>1.03650906</v>
      </c>
      <c r="G140" s="418">
        <v>3</v>
      </c>
      <c r="H140" s="433"/>
      <c r="I140" s="420" t="s">
        <v>1287</v>
      </c>
    </row>
    <row r="141" spans="1:9" ht="13.15" customHeight="1" x14ac:dyDescent="0.2">
      <c r="A141" s="415" t="s">
        <v>1375</v>
      </c>
      <c r="B141" s="415" t="s">
        <v>1249</v>
      </c>
      <c r="C141" s="365" t="s">
        <v>89</v>
      </c>
      <c r="D141" s="416">
        <v>0.8</v>
      </c>
      <c r="E141" s="416">
        <v>4.4999999999999998E-2</v>
      </c>
      <c r="F141" s="432">
        <f>(grains_table[[#This Row],[Extract %]]*46.214)/1000+1</f>
        <v>1.0369712</v>
      </c>
      <c r="G141" s="418">
        <v>3.8</v>
      </c>
      <c r="H141" s="433"/>
      <c r="I141" s="420" t="s">
        <v>1284</v>
      </c>
    </row>
    <row r="142" spans="1:9" ht="13.15" customHeight="1" x14ac:dyDescent="0.2">
      <c r="A142" s="415" t="s">
        <v>1870</v>
      </c>
      <c r="B142" s="415" t="s">
        <v>1868</v>
      </c>
      <c r="C142" s="365" t="s">
        <v>89</v>
      </c>
      <c r="D142" s="416">
        <v>0.80500000000000005</v>
      </c>
      <c r="E142" s="416">
        <v>3.5000000000000003E-2</v>
      </c>
      <c r="F142" s="432">
        <f>(grains_table[[#This Row],[Extract %]]*46.214)/1000+1</f>
        <v>1.0372022700000001</v>
      </c>
      <c r="G142" s="418">
        <v>2.7</v>
      </c>
      <c r="H142" s="433">
        <f>(150+16)/3.5</f>
        <v>47.428571428571431</v>
      </c>
      <c r="I142" s="420" t="s">
        <v>1869</v>
      </c>
    </row>
    <row r="143" spans="1:9" ht="13.15" customHeight="1" x14ac:dyDescent="0.2">
      <c r="A143" s="415" t="s">
        <v>1871</v>
      </c>
      <c r="B143" s="415" t="s">
        <v>1868</v>
      </c>
      <c r="C143" s="365" t="s">
        <v>89</v>
      </c>
      <c r="D143" s="416">
        <v>0.80500000000000005</v>
      </c>
      <c r="E143" s="416">
        <v>3.5000000000000003E-2</v>
      </c>
      <c r="F143" s="432">
        <f>(grains_table[[#This Row],[Extract %]]*46.214)/1000+1</f>
        <v>1.0372022700000001</v>
      </c>
      <c r="G143" s="418">
        <v>2.4</v>
      </c>
      <c r="H143" s="433">
        <f>(160+16)/3.5</f>
        <v>50.285714285714285</v>
      </c>
      <c r="I143" s="420" t="s">
        <v>1869</v>
      </c>
    </row>
    <row r="144" spans="1:9" ht="13.15" customHeight="1" x14ac:dyDescent="0.2">
      <c r="A144" s="415" t="s">
        <v>1377</v>
      </c>
      <c r="B144" s="415" t="s">
        <v>1248</v>
      </c>
      <c r="C144" s="365" t="s">
        <v>89</v>
      </c>
      <c r="D144" s="416">
        <v>0.79</v>
      </c>
      <c r="E144" s="416">
        <v>3.5000000000000003E-2</v>
      </c>
      <c r="F144" s="432">
        <f>(grains_table[[#This Row],[Extract %]]*46.214)/1000+1</f>
        <v>1.03650906</v>
      </c>
      <c r="G144" s="418">
        <v>5.3</v>
      </c>
      <c r="H144" s="433">
        <v>65</v>
      </c>
      <c r="I144" s="420" t="s">
        <v>1520</v>
      </c>
    </row>
    <row r="145" spans="1:9" ht="13.15" customHeight="1" x14ac:dyDescent="0.2">
      <c r="A145" s="415" t="s">
        <v>1378</v>
      </c>
      <c r="B145" s="415" t="s">
        <v>1248</v>
      </c>
      <c r="C145" s="365" t="s">
        <v>89</v>
      </c>
      <c r="D145" s="416">
        <v>0.81</v>
      </c>
      <c r="E145" s="416">
        <v>4.2000000000000003E-2</v>
      </c>
      <c r="F145" s="432">
        <f>(grains_table[[#This Row],[Extract %]]*46.214)/1000+1</f>
        <v>1.03743334</v>
      </c>
      <c r="G145" s="418">
        <v>1.8</v>
      </c>
      <c r="H145" s="433">
        <v>140</v>
      </c>
      <c r="I145" s="420" t="s">
        <v>1520</v>
      </c>
    </row>
    <row r="146" spans="1:9" ht="13.15" customHeight="1" x14ac:dyDescent="0.2">
      <c r="A146" s="415" t="s">
        <v>1550</v>
      </c>
      <c r="B146" s="415" t="s">
        <v>1551</v>
      </c>
      <c r="C146" s="418" t="s">
        <v>89</v>
      </c>
      <c r="D146" s="423">
        <v>0.8</v>
      </c>
      <c r="E146" s="423">
        <v>0.04</v>
      </c>
      <c r="F146" s="432">
        <v>1.0369999999999999</v>
      </c>
      <c r="G146" s="418">
        <v>1.8</v>
      </c>
      <c r="H146" s="433"/>
      <c r="I146" s="420" t="s">
        <v>1552</v>
      </c>
    </row>
    <row r="147" spans="1:9" ht="13.15" customHeight="1" x14ac:dyDescent="0.2">
      <c r="A147" s="415" t="s">
        <v>1379</v>
      </c>
      <c r="B147" s="415" t="s">
        <v>1248</v>
      </c>
      <c r="C147" s="365" t="s">
        <v>89</v>
      </c>
      <c r="D147" s="416">
        <v>0.8</v>
      </c>
      <c r="E147" s="416">
        <v>4.5999999999999999E-2</v>
      </c>
      <c r="F147" s="432">
        <f>(grains_table[[#This Row],[Extract %]]*46.214)/1000+1</f>
        <v>1.0369712</v>
      </c>
      <c r="G147" s="418">
        <v>1.7</v>
      </c>
      <c r="H147" s="433">
        <v>150</v>
      </c>
      <c r="I147" s="420" t="s">
        <v>1298</v>
      </c>
    </row>
    <row r="148" spans="1:9" ht="13.15" customHeight="1" x14ac:dyDescent="0.2">
      <c r="A148" s="415" t="s">
        <v>1380</v>
      </c>
      <c r="B148" s="415" t="s">
        <v>1247</v>
      </c>
      <c r="C148" s="365" t="s">
        <v>89</v>
      </c>
      <c r="D148" s="416">
        <v>0.80500000000000005</v>
      </c>
      <c r="E148" s="416">
        <v>3.6999999999999998E-2</v>
      </c>
      <c r="F148" s="432">
        <f>(grains_table[[#This Row],[Extract %]]*46.214)/1000+1</f>
        <v>1.0372022700000001</v>
      </c>
      <c r="G148" s="418">
        <v>1.7</v>
      </c>
      <c r="H148" s="433">
        <v>50</v>
      </c>
      <c r="I148" s="420" t="s">
        <v>1255</v>
      </c>
    </row>
    <row r="149" spans="1:9" ht="13.15" customHeight="1" x14ac:dyDescent="0.2">
      <c r="A149" s="415" t="s">
        <v>1624</v>
      </c>
      <c r="B149" s="415" t="s">
        <v>1551</v>
      </c>
      <c r="C149" s="365" t="s">
        <v>89</v>
      </c>
      <c r="D149" s="416">
        <v>0.79</v>
      </c>
      <c r="E149" s="416">
        <v>4.2000000000000003E-2</v>
      </c>
      <c r="F149" s="432">
        <f>(grains_table[[#This Row],[Extract %]]*46.214)/1000+1</f>
        <v>1.03650906</v>
      </c>
      <c r="G149" s="418">
        <v>2.2999999999999998</v>
      </c>
      <c r="H149" s="433">
        <v>160</v>
      </c>
      <c r="I149" s="420" t="s">
        <v>1625</v>
      </c>
    </row>
    <row r="150" spans="1:9" ht="13.15" customHeight="1" x14ac:dyDescent="0.2">
      <c r="A150" s="415" t="s">
        <v>1330</v>
      </c>
      <c r="B150" s="415" t="s">
        <v>1291</v>
      </c>
      <c r="C150" s="365" t="s">
        <v>89</v>
      </c>
      <c r="D150" s="416">
        <v>0.80500000000000005</v>
      </c>
      <c r="E150" s="416">
        <v>4.9000000000000002E-2</v>
      </c>
      <c r="F150" s="432">
        <f>(grains_table[[#This Row],[Extract %]]*46.214)/1000+1</f>
        <v>1.0372022700000001</v>
      </c>
      <c r="G150" s="418">
        <v>1.5</v>
      </c>
      <c r="H150" s="433">
        <f>(250+16)/3.5</f>
        <v>76</v>
      </c>
      <c r="I150" s="420" t="s">
        <v>1302</v>
      </c>
    </row>
    <row r="151" spans="1:9" ht="13.15" customHeight="1" x14ac:dyDescent="0.2">
      <c r="A151" s="415" t="s">
        <v>1331</v>
      </c>
      <c r="B151" s="415" t="s">
        <v>1291</v>
      </c>
      <c r="C151" s="365" t="s">
        <v>89</v>
      </c>
      <c r="D151" s="416">
        <v>0.80500000000000005</v>
      </c>
      <c r="E151" s="416">
        <v>4.9000000000000002E-2</v>
      </c>
      <c r="F151" s="432">
        <f>(grains_table[[#This Row],[Extract %]]*46.214)/1000+1</f>
        <v>1.0372022700000001</v>
      </c>
      <c r="G151" s="418">
        <v>1.95</v>
      </c>
      <c r="H151" s="433">
        <f>(250+16)/3.5</f>
        <v>76</v>
      </c>
      <c r="I151" s="420" t="s">
        <v>1303</v>
      </c>
    </row>
    <row r="152" spans="1:9" ht="13.15" customHeight="1" x14ac:dyDescent="0.2">
      <c r="A152" s="415" t="s">
        <v>1332</v>
      </c>
      <c r="B152" s="415" t="s">
        <v>1246</v>
      </c>
      <c r="C152" s="365" t="s">
        <v>89</v>
      </c>
      <c r="D152" s="416">
        <v>0.8</v>
      </c>
      <c r="E152" s="416">
        <v>0.05</v>
      </c>
      <c r="F152" s="432">
        <f>(grains_table[[#This Row],[Extract %]]*46.214)/1000+1</f>
        <v>1.0369712</v>
      </c>
      <c r="G152" s="418">
        <v>2.0499999999999998</v>
      </c>
      <c r="H152" s="419"/>
      <c r="I152" s="420" t="s">
        <v>1287</v>
      </c>
    </row>
    <row r="153" spans="1:9" ht="13.15" customHeight="1" x14ac:dyDescent="0.2">
      <c r="A153" s="415" t="s">
        <v>1487</v>
      </c>
      <c r="B153" s="415" t="s">
        <v>1246</v>
      </c>
      <c r="C153" s="365" t="s">
        <v>89</v>
      </c>
      <c r="D153" s="416">
        <v>0.80500000000000005</v>
      </c>
      <c r="E153" s="416">
        <v>4.4999999999999998E-2</v>
      </c>
      <c r="F153" s="432">
        <f>(grains_table[[#This Row],[Extract %]]*46.214)/1000+1</f>
        <v>1.0372022700000001</v>
      </c>
      <c r="G153" s="418">
        <v>1.3</v>
      </c>
      <c r="H153" s="419"/>
      <c r="I153" s="420" t="s">
        <v>1287</v>
      </c>
    </row>
    <row r="154" spans="1:9" ht="13.15" customHeight="1" x14ac:dyDescent="0.2">
      <c r="A154" s="415" t="s">
        <v>1333</v>
      </c>
      <c r="B154" s="415" t="s">
        <v>1247</v>
      </c>
      <c r="C154" s="365" t="s">
        <v>89</v>
      </c>
      <c r="D154" s="416">
        <v>0.81</v>
      </c>
      <c r="E154" s="416">
        <v>4.4999999999999998E-2</v>
      </c>
      <c r="F154" s="432">
        <f>(grains_table[[#This Row],[Extract %]]*46.214)/1000+1</f>
        <v>1.03743334</v>
      </c>
      <c r="G154" s="418">
        <v>1.7</v>
      </c>
      <c r="H154" s="433">
        <v>50</v>
      </c>
      <c r="I154" s="420" t="s">
        <v>1258</v>
      </c>
    </row>
    <row r="155" spans="1:9" ht="13.15" customHeight="1" x14ac:dyDescent="0.2">
      <c r="A155" s="415" t="s">
        <v>1531</v>
      </c>
      <c r="B155" s="415" t="s">
        <v>1246</v>
      </c>
      <c r="C155" s="365" t="s">
        <v>89</v>
      </c>
      <c r="D155" s="416">
        <v>0.79</v>
      </c>
      <c r="E155" s="416">
        <v>5.5E-2</v>
      </c>
      <c r="F155" s="432">
        <f>(grains_table[[#This Row],[Extract %]]*46.214)/1000+1</f>
        <v>1.03650906</v>
      </c>
      <c r="G155" s="418">
        <v>1.95</v>
      </c>
      <c r="H155" s="433"/>
      <c r="I155" s="420" t="s">
        <v>1287</v>
      </c>
    </row>
    <row r="156" spans="1:9" ht="13.15" customHeight="1" x14ac:dyDescent="0.2">
      <c r="A156" s="415" t="s">
        <v>1880</v>
      </c>
      <c r="B156" s="422" t="s">
        <v>1868</v>
      </c>
      <c r="C156" s="418" t="s">
        <v>89</v>
      </c>
      <c r="D156" s="423">
        <v>0.81</v>
      </c>
      <c r="E156" s="423">
        <v>3.5000000000000003E-2</v>
      </c>
      <c r="F156" s="432">
        <f>(grains_table[[#This Row],[Extract %]]*46.214)/1000+1</f>
        <v>1.03743334</v>
      </c>
      <c r="G156" s="418">
        <v>2.1</v>
      </c>
      <c r="H156" s="433">
        <f>(240+16)/3.5</f>
        <v>73.142857142857139</v>
      </c>
      <c r="I156" s="420" t="s">
        <v>1869</v>
      </c>
    </row>
    <row r="157" spans="1:9" ht="13.15" customHeight="1" x14ac:dyDescent="0.2">
      <c r="A157" s="415" t="s">
        <v>1883</v>
      </c>
      <c r="B157" s="422" t="s">
        <v>1868</v>
      </c>
      <c r="C157" s="418" t="s">
        <v>89</v>
      </c>
      <c r="D157" s="423">
        <v>0.81</v>
      </c>
      <c r="E157" s="423">
        <v>3.5000000000000003E-2</v>
      </c>
      <c r="F157" s="432">
        <f>(grains_table[[#This Row],[Extract %]]*46.214)/1000+1</f>
        <v>1.03743334</v>
      </c>
      <c r="G157" s="418">
        <v>1.6</v>
      </c>
      <c r="H157" s="433">
        <f>(240+16)/3.5</f>
        <v>73.142857142857139</v>
      </c>
      <c r="I157" s="420" t="s">
        <v>1869</v>
      </c>
    </row>
    <row r="158" spans="1:9" ht="13.15" customHeight="1" x14ac:dyDescent="0.2">
      <c r="A158" s="415" t="s">
        <v>1430</v>
      </c>
      <c r="B158" s="415" t="s">
        <v>1432</v>
      </c>
      <c r="C158" s="365" t="s">
        <v>89</v>
      </c>
      <c r="D158" s="416">
        <v>0.8</v>
      </c>
      <c r="E158" s="416">
        <v>0.04</v>
      </c>
      <c r="F158" s="432">
        <f>(grains_table[[#This Row],[Extract %]]*46.214)/1000+1</f>
        <v>1.0369712</v>
      </c>
      <c r="G158" s="418">
        <v>1.6</v>
      </c>
      <c r="H158" s="433"/>
      <c r="I158" s="420" t="s">
        <v>1491</v>
      </c>
    </row>
    <row r="159" spans="1:9" ht="13.15" customHeight="1" x14ac:dyDescent="0.2">
      <c r="A159" s="415" t="s">
        <v>1334</v>
      </c>
      <c r="B159" s="415" t="s">
        <v>1248</v>
      </c>
      <c r="C159" s="365" t="s">
        <v>89</v>
      </c>
      <c r="D159" s="416">
        <v>0.80500000000000005</v>
      </c>
      <c r="E159" s="416">
        <v>4.4999999999999998E-2</v>
      </c>
      <c r="F159" s="432">
        <f>(grains_table[[#This Row],[Extract %]]*46.214)/1000+1</f>
        <v>1.0372022700000001</v>
      </c>
      <c r="G159" s="418">
        <v>1.2</v>
      </c>
      <c r="H159" s="433">
        <v>140</v>
      </c>
      <c r="I159" s="420" t="s">
        <v>1298</v>
      </c>
    </row>
    <row r="160" spans="1:9" ht="13.15" customHeight="1" x14ac:dyDescent="0.2">
      <c r="A160" s="415" t="s">
        <v>1335</v>
      </c>
      <c r="B160" s="415" t="s">
        <v>1249</v>
      </c>
      <c r="C160" s="365" t="s">
        <v>89</v>
      </c>
      <c r="D160" s="416">
        <v>0.8</v>
      </c>
      <c r="E160" s="416">
        <v>4.4999999999999998E-2</v>
      </c>
      <c r="F160" s="432">
        <f>(grains_table[[#This Row],[Extract %]]*46.214)/1000+1</f>
        <v>1.0369712</v>
      </c>
      <c r="G160" s="418">
        <v>1.6</v>
      </c>
      <c r="H160" s="433">
        <f>(230+16)/3.5</f>
        <v>70.285714285714292</v>
      </c>
      <c r="I160" s="420" t="s">
        <v>1284</v>
      </c>
    </row>
    <row r="161" spans="1:9" ht="13.15" customHeight="1" x14ac:dyDescent="0.2">
      <c r="A161" s="415" t="s">
        <v>1336</v>
      </c>
      <c r="B161" s="415" t="s">
        <v>1246</v>
      </c>
      <c r="C161" s="365" t="s">
        <v>89</v>
      </c>
      <c r="D161" s="416">
        <v>0.80500000000000005</v>
      </c>
      <c r="E161" s="416">
        <v>0.05</v>
      </c>
      <c r="F161" s="432">
        <f>(grains_table[[#This Row],[Extract %]]*46.214)/1000+1</f>
        <v>1.0372022700000001</v>
      </c>
      <c r="G161" s="418">
        <v>1.85</v>
      </c>
      <c r="H161" s="433"/>
      <c r="I161" s="420" t="s">
        <v>1287</v>
      </c>
    </row>
    <row r="162" spans="1:9" ht="13.15" customHeight="1" x14ac:dyDescent="0.2">
      <c r="A162" s="415" t="s">
        <v>1889</v>
      </c>
      <c r="B162" s="422" t="s">
        <v>1868</v>
      </c>
      <c r="C162" s="418" t="s">
        <v>89</v>
      </c>
      <c r="D162" s="423">
        <v>0.81</v>
      </c>
      <c r="E162" s="423">
        <v>3.5000000000000003E-2</v>
      </c>
      <c r="F162" s="432">
        <f>(grains_table[[#This Row],[Extract %]]*46.214)/1000+1</f>
        <v>1.03743334</v>
      </c>
      <c r="G162" s="418">
        <v>2</v>
      </c>
      <c r="H162" s="433">
        <f>(240+16)/3.5</f>
        <v>73.142857142857139</v>
      </c>
      <c r="I162" s="420" t="s">
        <v>1869</v>
      </c>
    </row>
    <row r="163" spans="1:9" ht="13.15" customHeight="1" x14ac:dyDescent="0.2">
      <c r="A163" s="415" t="s">
        <v>1631</v>
      </c>
      <c r="B163" s="422" t="s">
        <v>1630</v>
      </c>
      <c r="C163" s="418" t="s">
        <v>89</v>
      </c>
      <c r="D163" s="416">
        <v>0.81</v>
      </c>
      <c r="E163" s="416">
        <v>4.4999999999999998E-2</v>
      </c>
      <c r="F163" s="432">
        <f>(grains_table[[#This Row],[Extract %]]*46.214)/1000+1</f>
        <v>1.03743334</v>
      </c>
      <c r="G163" s="418">
        <v>2</v>
      </c>
      <c r="H163" s="433">
        <f>(220+16)/3.5</f>
        <v>67.428571428571431</v>
      </c>
      <c r="I163" s="420" t="s">
        <v>1629</v>
      </c>
    </row>
    <row r="164" spans="1:9" ht="13.15" customHeight="1" x14ac:dyDescent="0.2">
      <c r="A164" s="415" t="s">
        <v>2124</v>
      </c>
      <c r="B164" s="422" t="s">
        <v>1551</v>
      </c>
      <c r="C164" s="418" t="s">
        <v>89</v>
      </c>
      <c r="D164" s="423">
        <v>0.8</v>
      </c>
      <c r="E164" s="423">
        <v>0.04</v>
      </c>
      <c r="F164" s="432">
        <f>(grains_table[[#This Row],[Extract %]]*46.214)/1000+1</f>
        <v>1.0369712</v>
      </c>
      <c r="G164" s="418">
        <v>1.75</v>
      </c>
      <c r="H164" s="433">
        <v>140</v>
      </c>
      <c r="I164" s="420" t="s">
        <v>2125</v>
      </c>
    </row>
    <row r="165" spans="1:9" ht="13.15" customHeight="1" x14ac:dyDescent="0.2">
      <c r="A165" s="415" t="s">
        <v>1337</v>
      </c>
      <c r="B165" s="415" t="s">
        <v>1248</v>
      </c>
      <c r="C165" s="365" t="s">
        <v>89</v>
      </c>
      <c r="D165" s="416">
        <v>0.83299999999999996</v>
      </c>
      <c r="E165" s="416">
        <v>4.3999999999999997E-2</v>
      </c>
      <c r="F165" s="432">
        <f>(grains_table[[#This Row],[Extract %]]*46.214)/1000+1</f>
        <v>1.038496262</v>
      </c>
      <c r="G165" s="418">
        <v>1.8</v>
      </c>
      <c r="H165" s="433">
        <v>100</v>
      </c>
      <c r="I165" s="420" t="s">
        <v>1298</v>
      </c>
    </row>
    <row r="166" spans="1:9" ht="13.15" customHeight="1" x14ac:dyDescent="0.2">
      <c r="A166" s="415" t="s">
        <v>2418</v>
      </c>
      <c r="B166" s="422" t="s">
        <v>125</v>
      </c>
      <c r="C166" s="418" t="s">
        <v>89</v>
      </c>
      <c r="D166" s="423"/>
      <c r="E166" s="423"/>
      <c r="F166" s="417">
        <v>1.0289999999999999</v>
      </c>
      <c r="G166" s="418">
        <v>1</v>
      </c>
      <c r="H166" s="419">
        <v>0</v>
      </c>
      <c r="I166" s="420"/>
    </row>
    <row r="167" spans="1:9" ht="13.15" customHeight="1" x14ac:dyDescent="0.2">
      <c r="A167" s="415" t="s">
        <v>2419</v>
      </c>
      <c r="B167" s="422" t="s">
        <v>125</v>
      </c>
      <c r="C167" s="418" t="s">
        <v>89</v>
      </c>
      <c r="D167" s="423"/>
      <c r="E167" s="423"/>
      <c r="F167" s="417">
        <v>1.0289999999999999</v>
      </c>
      <c r="G167" s="418">
        <v>1</v>
      </c>
      <c r="H167" s="419">
        <v>0</v>
      </c>
      <c r="I167" s="420"/>
    </row>
    <row r="168" spans="1:9" ht="13.15" customHeight="1" x14ac:dyDescent="0.2">
      <c r="A168" s="415" t="s">
        <v>1626</v>
      </c>
      <c r="B168" s="422" t="s">
        <v>125</v>
      </c>
      <c r="C168" s="418" t="s">
        <v>89</v>
      </c>
      <c r="D168" s="423">
        <v>0</v>
      </c>
      <c r="E168" s="423">
        <v>0</v>
      </c>
      <c r="F168" s="432">
        <f>(grains_table[[#This Row],[Extract %]]*46.214)/1000+1</f>
        <v>1</v>
      </c>
      <c r="G168" s="418">
        <v>0</v>
      </c>
      <c r="H168" s="433">
        <v>0</v>
      </c>
      <c r="I168" s="420"/>
    </row>
    <row r="169" spans="1:9" ht="13.15" customHeight="1" x14ac:dyDescent="0.2">
      <c r="A169" s="415" t="s">
        <v>2420</v>
      </c>
      <c r="B169" s="422" t="s">
        <v>125</v>
      </c>
      <c r="C169" s="418" t="s">
        <v>702</v>
      </c>
      <c r="D169" s="423"/>
      <c r="E169" s="423"/>
      <c r="F169" s="417">
        <v>1.036</v>
      </c>
      <c r="G169" s="418"/>
      <c r="H169" s="419">
        <v>0</v>
      </c>
      <c r="I169" s="420" t="s">
        <v>2421</v>
      </c>
    </row>
    <row r="170" spans="1:9" ht="13.15" customHeight="1" x14ac:dyDescent="0.2">
      <c r="A170" s="415" t="s">
        <v>1234</v>
      </c>
      <c r="B170" s="415" t="s">
        <v>1248</v>
      </c>
      <c r="C170" s="365" t="s">
        <v>89</v>
      </c>
      <c r="D170" s="416"/>
      <c r="E170" s="416">
        <v>0.05</v>
      </c>
      <c r="F170" s="432">
        <v>1.0249999999999999</v>
      </c>
      <c r="G170" s="418">
        <v>300</v>
      </c>
      <c r="H170" s="433">
        <v>0</v>
      </c>
      <c r="I170" s="420" t="s">
        <v>1549</v>
      </c>
    </row>
    <row r="171" spans="1:9" ht="13.15" customHeight="1" x14ac:dyDescent="0.2">
      <c r="A171" s="415" t="s">
        <v>1891</v>
      </c>
      <c r="B171" s="422" t="s">
        <v>1868</v>
      </c>
      <c r="C171" s="418" t="s">
        <v>89</v>
      </c>
      <c r="D171" s="423">
        <v>0.72</v>
      </c>
      <c r="E171" s="423">
        <v>4.4999999999999998E-2</v>
      </c>
      <c r="F171" s="432">
        <f>(grains_table[[#This Row],[Extract %]]*46.214)/1000+1</f>
        <v>1.03327408</v>
      </c>
      <c r="G171" s="418">
        <v>507</v>
      </c>
      <c r="H171" s="433">
        <v>0</v>
      </c>
      <c r="I171" s="420" t="s">
        <v>1869</v>
      </c>
    </row>
    <row r="172" spans="1:9" ht="13.15" customHeight="1" x14ac:dyDescent="0.2">
      <c r="A172" s="415" t="s">
        <v>1250</v>
      </c>
      <c r="B172" s="415" t="s">
        <v>1247</v>
      </c>
      <c r="C172" s="365" t="s">
        <v>89</v>
      </c>
      <c r="D172" s="416">
        <v>0.62</v>
      </c>
      <c r="E172" s="416">
        <v>0.03</v>
      </c>
      <c r="F172" s="432">
        <f>(grains_table[[#This Row],[Extract %]]*46.214)/1000+1</f>
        <v>1.02865268</v>
      </c>
      <c r="G172" s="418">
        <v>600.6</v>
      </c>
      <c r="H172" s="433">
        <v>0</v>
      </c>
      <c r="I172" s="420" t="s">
        <v>1277</v>
      </c>
    </row>
    <row r="173" spans="1:9" ht="13.15" customHeight="1" x14ac:dyDescent="0.2">
      <c r="A173" s="415" t="s">
        <v>1251</v>
      </c>
      <c r="B173" s="415" t="s">
        <v>1246</v>
      </c>
      <c r="C173" s="365" t="s">
        <v>89</v>
      </c>
      <c r="D173" s="416">
        <v>0.65</v>
      </c>
      <c r="E173" s="416">
        <v>3.7999999999999999E-2</v>
      </c>
      <c r="F173" s="432">
        <f>(grains_table[[#This Row],[Extract %]]*46.214)/1000+1</f>
        <v>1.0300391</v>
      </c>
      <c r="G173" s="418">
        <v>431.5</v>
      </c>
      <c r="H173" s="433">
        <v>0</v>
      </c>
      <c r="I173" s="420" t="s">
        <v>1287</v>
      </c>
    </row>
    <row r="174" spans="1:9" ht="13.15" customHeight="1" x14ac:dyDescent="0.2">
      <c r="A174" s="415" t="s">
        <v>1449</v>
      </c>
      <c r="B174" s="415" t="s">
        <v>1291</v>
      </c>
      <c r="C174" s="365" t="s">
        <v>89</v>
      </c>
      <c r="D174" s="416"/>
      <c r="E174" s="416">
        <v>5.5E-2</v>
      </c>
      <c r="F174" s="432">
        <f>(grains_table[[#This Row],[Extract %]]*46.214)/1000+1</f>
        <v>1</v>
      </c>
      <c r="G174" s="418">
        <v>490</v>
      </c>
      <c r="H174" s="433">
        <v>0</v>
      </c>
      <c r="I174" s="421" t="s">
        <v>1329</v>
      </c>
    </row>
    <row r="175" spans="1:9" ht="13.15" customHeight="1" x14ac:dyDescent="0.2">
      <c r="A175" s="415" t="s">
        <v>1458</v>
      </c>
      <c r="B175" s="415" t="s">
        <v>1248</v>
      </c>
      <c r="C175" s="365" t="s">
        <v>89</v>
      </c>
      <c r="D175" s="416"/>
      <c r="E175" s="416">
        <v>0.06</v>
      </c>
      <c r="F175" s="432">
        <f>(grains_table[[#This Row],[Extract %]]*46.214)/1000+1</f>
        <v>1</v>
      </c>
      <c r="G175" s="418">
        <v>500</v>
      </c>
      <c r="H175" s="433">
        <v>0</v>
      </c>
      <c r="I175" s="420" t="s">
        <v>1492</v>
      </c>
    </row>
    <row r="176" spans="1:9" ht="13.15" customHeight="1" x14ac:dyDescent="0.2">
      <c r="A176" s="415" t="s">
        <v>1434</v>
      </c>
      <c r="B176" s="415" t="s">
        <v>1249</v>
      </c>
      <c r="C176" s="365" t="s">
        <v>89</v>
      </c>
      <c r="D176" s="416">
        <v>0.7</v>
      </c>
      <c r="E176" s="416">
        <v>4.4999999999999998E-2</v>
      </c>
      <c r="F176" s="432">
        <f>(grains_table[[#This Row],[Extract %]]*46.214)/1000+1</f>
        <v>1.0323498</v>
      </c>
      <c r="G176" s="418">
        <v>453</v>
      </c>
      <c r="H176" s="433">
        <v>0</v>
      </c>
      <c r="I176" s="421" t="s">
        <v>1286</v>
      </c>
    </row>
    <row r="177" spans="1:9" ht="13.15" customHeight="1" x14ac:dyDescent="0.2">
      <c r="A177" s="415" t="s">
        <v>1390</v>
      </c>
      <c r="B177" s="415" t="s">
        <v>1247</v>
      </c>
      <c r="C177" s="365" t="s">
        <v>89</v>
      </c>
      <c r="D177" s="416">
        <v>0.69</v>
      </c>
      <c r="E177" s="416">
        <v>0.05</v>
      </c>
      <c r="F177" s="432">
        <f>(grains_table[[#This Row],[Extract %]]*46.214)/1000+1</f>
        <v>1.03188766</v>
      </c>
      <c r="G177" s="418">
        <v>24</v>
      </c>
      <c r="H177" s="433">
        <v>0</v>
      </c>
      <c r="I177" s="420" t="s">
        <v>1273</v>
      </c>
    </row>
    <row r="178" spans="1:9" ht="13.15" customHeight="1" x14ac:dyDescent="0.2">
      <c r="A178" s="415" t="s">
        <v>1391</v>
      </c>
      <c r="B178" s="415" t="s">
        <v>1291</v>
      </c>
      <c r="C178" s="365" t="s">
        <v>89</v>
      </c>
      <c r="D178" s="416">
        <v>0.65</v>
      </c>
      <c r="E178" s="416">
        <v>4.4999999999999998E-2</v>
      </c>
      <c r="F178" s="432">
        <f>(grains_table[[#This Row],[Extract %]]*46.214)/1000+1</f>
        <v>1.0300391</v>
      </c>
      <c r="G178" s="418">
        <v>432.5</v>
      </c>
      <c r="H178" s="433">
        <v>0</v>
      </c>
      <c r="I178" s="421" t="s">
        <v>1323</v>
      </c>
    </row>
    <row r="179" spans="1:9" ht="13.15" customHeight="1" x14ac:dyDescent="0.2">
      <c r="A179" s="415" t="s">
        <v>1392</v>
      </c>
      <c r="B179" s="415" t="s">
        <v>1291</v>
      </c>
      <c r="C179" s="365" t="s">
        <v>89</v>
      </c>
      <c r="D179" s="416">
        <v>0.65</v>
      </c>
      <c r="E179" s="416">
        <v>4.4999999999999998E-2</v>
      </c>
      <c r="F179" s="432">
        <f>(grains_table[[#This Row],[Extract %]]*46.214)/1000+1</f>
        <v>1.0300391</v>
      </c>
      <c r="G179" s="418">
        <v>509.5</v>
      </c>
      <c r="H179" s="433">
        <v>0</v>
      </c>
      <c r="I179" s="421" t="s">
        <v>1324</v>
      </c>
    </row>
    <row r="180" spans="1:9" ht="13.15" customHeight="1" x14ac:dyDescent="0.2">
      <c r="A180" s="415" t="s">
        <v>1393</v>
      </c>
      <c r="B180" s="415" t="s">
        <v>1291</v>
      </c>
      <c r="C180" s="365" t="s">
        <v>89</v>
      </c>
      <c r="D180" s="416">
        <v>0.75</v>
      </c>
      <c r="E180" s="416">
        <v>4.4999999999999998E-2</v>
      </c>
      <c r="F180" s="432">
        <f>(grains_table[[#This Row],[Extract %]]*46.214)/1000+1</f>
        <v>1.0346605</v>
      </c>
      <c r="G180" s="418">
        <v>340</v>
      </c>
      <c r="H180" s="433">
        <v>0</v>
      </c>
      <c r="I180" s="420" t="s">
        <v>1502</v>
      </c>
    </row>
    <row r="181" spans="1:9" ht="13.15" customHeight="1" x14ac:dyDescent="0.2">
      <c r="A181" s="415" t="s">
        <v>1394</v>
      </c>
      <c r="B181" s="415" t="s">
        <v>1248</v>
      </c>
      <c r="C181" s="365" t="s">
        <v>89</v>
      </c>
      <c r="D181" s="416"/>
      <c r="E181" s="416">
        <v>0.06</v>
      </c>
      <c r="F181" s="432">
        <f>(grains_table[[#This Row],[Extract %]]*46.214)/1000+1</f>
        <v>1</v>
      </c>
      <c r="G181" s="418">
        <v>500</v>
      </c>
      <c r="H181" s="433">
        <v>0</v>
      </c>
      <c r="I181" s="420" t="s">
        <v>1501</v>
      </c>
    </row>
    <row r="182" spans="1:9" ht="13.15" customHeight="1" x14ac:dyDescent="0.2">
      <c r="A182" s="415" t="s">
        <v>1395</v>
      </c>
      <c r="B182" s="415" t="s">
        <v>1247</v>
      </c>
      <c r="C182" s="365" t="s">
        <v>89</v>
      </c>
      <c r="D182" s="416">
        <v>0.69</v>
      </c>
      <c r="E182" s="416">
        <v>0.03</v>
      </c>
      <c r="F182" s="432">
        <f>(grains_table[[#This Row],[Extract %]]*46.214)/1000+1</f>
        <v>1.03188766</v>
      </c>
      <c r="G182" s="418">
        <v>625.54999999999995</v>
      </c>
      <c r="H182" s="433">
        <v>0</v>
      </c>
      <c r="I182" s="420" t="s">
        <v>1276</v>
      </c>
    </row>
    <row r="183" spans="1:9" ht="13.15" customHeight="1" x14ac:dyDescent="0.2">
      <c r="A183" s="415" t="s">
        <v>1396</v>
      </c>
      <c r="B183" s="415" t="s">
        <v>1248</v>
      </c>
      <c r="C183" s="365" t="s">
        <v>89</v>
      </c>
      <c r="D183" s="416"/>
      <c r="E183" s="416">
        <v>0.06</v>
      </c>
      <c r="F183" s="432">
        <f>(grains_table[[#This Row],[Extract %]]*46.214)/1000+1</f>
        <v>1</v>
      </c>
      <c r="G183" s="418">
        <v>500</v>
      </c>
      <c r="H183" s="433">
        <v>0</v>
      </c>
      <c r="I183" s="420" t="s">
        <v>1501</v>
      </c>
    </row>
    <row r="184" spans="1:9" ht="13.15" customHeight="1" x14ac:dyDescent="0.2">
      <c r="A184" s="415" t="s">
        <v>1397</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1398</v>
      </c>
      <c r="B185" s="415" t="s">
        <v>1247</v>
      </c>
      <c r="C185" s="365" t="s">
        <v>89</v>
      </c>
      <c r="D185" s="416">
        <v>0.68700000000000006</v>
      </c>
      <c r="E185" s="416">
        <v>0.04</v>
      </c>
      <c r="F185" s="432">
        <f>(grains_table[[#This Row],[Extract %]]*46.214)/1000+1</f>
        <v>1.031749018</v>
      </c>
      <c r="G185" s="418">
        <v>193.7</v>
      </c>
      <c r="H185" s="433">
        <v>0</v>
      </c>
      <c r="I185" s="420" t="s">
        <v>1274</v>
      </c>
    </row>
    <row r="186" spans="1:9" ht="13.15" customHeight="1" x14ac:dyDescent="0.2">
      <c r="A186" s="415" t="s">
        <v>1399</v>
      </c>
      <c r="B186" s="415" t="s">
        <v>1248</v>
      </c>
      <c r="C186" s="365" t="s">
        <v>89</v>
      </c>
      <c r="D186" s="416">
        <v>0.79</v>
      </c>
      <c r="E186" s="416">
        <v>2.1999999999999999E-2</v>
      </c>
      <c r="F186" s="432">
        <f>(grains_table[[#This Row],[Extract %]]*46.214)/1000+1</f>
        <v>1.03650906</v>
      </c>
      <c r="G186" s="418">
        <v>55</v>
      </c>
      <c r="H186" s="433">
        <v>0</v>
      </c>
      <c r="I186" s="420" t="s">
        <v>1289</v>
      </c>
    </row>
    <row r="187" spans="1:9" ht="13.15" customHeight="1" x14ac:dyDescent="0.2">
      <c r="A187" s="415" t="s">
        <v>1400</v>
      </c>
      <c r="B187" s="415" t="s">
        <v>1248</v>
      </c>
      <c r="C187" s="365" t="s">
        <v>89</v>
      </c>
      <c r="D187" s="416">
        <v>0.6</v>
      </c>
      <c r="E187" s="416">
        <v>0</v>
      </c>
      <c r="F187" s="432">
        <f>(grains_table[[#This Row],[Extract %]]*46.214)/1000+1</f>
        <v>1.0277284</v>
      </c>
      <c r="G187" s="418">
        <v>350</v>
      </c>
      <c r="H187" s="433">
        <v>0</v>
      </c>
      <c r="I187" s="420" t="s">
        <v>1293</v>
      </c>
    </row>
    <row r="188" spans="1:9" ht="13.15" customHeight="1" x14ac:dyDescent="0.2">
      <c r="A188" s="415" t="s">
        <v>1401</v>
      </c>
      <c r="B188" s="415" t="s">
        <v>1247</v>
      </c>
      <c r="C188" s="365" t="s">
        <v>89</v>
      </c>
      <c r="D188" s="416">
        <v>0.69</v>
      </c>
      <c r="E188" s="416">
        <v>0.03</v>
      </c>
      <c r="F188" s="432">
        <f>(grains_table[[#This Row],[Extract %]]*46.214)/1000+1</f>
        <v>1.03188766</v>
      </c>
      <c r="G188" s="418">
        <v>444.4</v>
      </c>
      <c r="H188" s="433">
        <v>0</v>
      </c>
      <c r="I188" s="420" t="s">
        <v>1275</v>
      </c>
    </row>
    <row r="189" spans="1:9" ht="13.15" customHeight="1" x14ac:dyDescent="0.2">
      <c r="A189" s="415" t="s">
        <v>1427</v>
      </c>
      <c r="B189" s="415" t="s">
        <v>1246</v>
      </c>
      <c r="C189" s="365" t="s">
        <v>89</v>
      </c>
      <c r="D189" s="416">
        <v>0.65</v>
      </c>
      <c r="E189" s="416">
        <v>0.04</v>
      </c>
      <c r="F189" s="432">
        <f>(grains_table[[#This Row],[Extract %]]*46.214)/1000+1</f>
        <v>1.0300391</v>
      </c>
      <c r="G189" s="418">
        <v>244</v>
      </c>
      <c r="H189" s="433">
        <v>0</v>
      </c>
      <c r="I189" s="420" t="s">
        <v>1287</v>
      </c>
    </row>
    <row r="190" spans="1:9" ht="13.15" customHeight="1" x14ac:dyDescent="0.2">
      <c r="A190" s="415" t="s">
        <v>1428</v>
      </c>
      <c r="B190" s="415" t="s">
        <v>1246</v>
      </c>
      <c r="C190" s="365" t="s">
        <v>89</v>
      </c>
      <c r="D190" s="416">
        <v>0.65</v>
      </c>
      <c r="E190" s="416">
        <v>0.04</v>
      </c>
      <c r="F190" s="432">
        <f>(grains_table[[#This Row],[Extract %]]*46.214)/1000+1</f>
        <v>1.0300391</v>
      </c>
      <c r="G190" s="418">
        <v>273</v>
      </c>
      <c r="H190" s="433">
        <v>0</v>
      </c>
      <c r="I190" s="420" t="s">
        <v>1287</v>
      </c>
    </row>
    <row r="191" spans="1:9" ht="13.15" customHeight="1" x14ac:dyDescent="0.2">
      <c r="A191" s="415" t="s">
        <v>1429</v>
      </c>
      <c r="B191" s="415" t="s">
        <v>1246</v>
      </c>
      <c r="C191" s="365" t="s">
        <v>89</v>
      </c>
      <c r="D191" s="416">
        <v>0.65</v>
      </c>
      <c r="E191" s="416">
        <v>0.04</v>
      </c>
      <c r="F191" s="432">
        <f>(grains_table[[#This Row],[Extract %]]*46.214)/1000+1</f>
        <v>1.0300391</v>
      </c>
      <c r="G191" s="418">
        <v>394.5</v>
      </c>
      <c r="H191" s="433">
        <v>0</v>
      </c>
      <c r="I191" s="420" t="s">
        <v>1287</v>
      </c>
    </row>
    <row r="192" spans="1:9" ht="13.15" customHeight="1" x14ac:dyDescent="0.2">
      <c r="A192" s="415" t="s">
        <v>2385</v>
      </c>
      <c r="B192" s="422" t="s">
        <v>2384</v>
      </c>
      <c r="C192" s="418" t="s">
        <v>89</v>
      </c>
      <c r="D192" s="423">
        <v>0.76</v>
      </c>
      <c r="E192" s="423">
        <v>0.03</v>
      </c>
      <c r="F192" s="417">
        <f>(grains_table[[#This Row],[Extract %]]*46.214)/1000+1</f>
        <v>1.03512264</v>
      </c>
      <c r="G192" s="418">
        <v>225</v>
      </c>
      <c r="H192" s="419">
        <v>0</v>
      </c>
      <c r="I192" s="420" t="s">
        <v>2386</v>
      </c>
    </row>
    <row r="193" spans="1:9" ht="13.15" customHeight="1" x14ac:dyDescent="0.2">
      <c r="A193" s="415" t="s">
        <v>1402</v>
      </c>
      <c r="B193" s="415" t="s">
        <v>1248</v>
      </c>
      <c r="C193" s="365" t="s">
        <v>89</v>
      </c>
      <c r="D193" s="416"/>
      <c r="E193" s="416">
        <v>5.5E-2</v>
      </c>
      <c r="F193" s="432">
        <f>(grains_table[[#This Row],[Extract %]]*46.214)/1000+1</f>
        <v>1</v>
      </c>
      <c r="G193" s="418">
        <v>420</v>
      </c>
      <c r="H193" s="433">
        <v>0</v>
      </c>
      <c r="I193" s="420" t="s">
        <v>1493</v>
      </c>
    </row>
    <row r="194" spans="1:9" ht="13.15" customHeight="1" x14ac:dyDescent="0.2">
      <c r="A194" s="415" t="s">
        <v>1403</v>
      </c>
      <c r="B194" s="415" t="s">
        <v>1248</v>
      </c>
      <c r="C194" s="365" t="s">
        <v>89</v>
      </c>
      <c r="D194" s="416">
        <v>0.72</v>
      </c>
      <c r="E194" s="416">
        <v>2.5000000000000001E-2</v>
      </c>
      <c r="F194" s="432">
        <f>(grains_table[[#This Row],[Extract %]]*46.214)/1000+1</f>
        <v>1.03327408</v>
      </c>
      <c r="G194" s="418">
        <v>130</v>
      </c>
      <c r="H194" s="433">
        <v>0</v>
      </c>
      <c r="I194" s="420" t="s">
        <v>1294</v>
      </c>
    </row>
    <row r="195" spans="1:9" ht="13.15" customHeight="1" x14ac:dyDescent="0.2">
      <c r="A195" s="415" t="s">
        <v>1404</v>
      </c>
      <c r="B195" s="415" t="s">
        <v>1248</v>
      </c>
      <c r="C195" s="365" t="s">
        <v>89</v>
      </c>
      <c r="D195" s="416">
        <v>0.55000000000000004</v>
      </c>
      <c r="E195" s="416">
        <v>6.5000000000000002E-2</v>
      </c>
      <c r="F195" s="432">
        <f>(grains_table[[#This Row],[Extract %]]*46.214)/1000+1</f>
        <v>1.0254177</v>
      </c>
      <c r="G195" s="418">
        <v>550</v>
      </c>
      <c r="H195" s="433">
        <v>0</v>
      </c>
      <c r="I195" s="421" t="s">
        <v>1493</v>
      </c>
    </row>
    <row r="196" spans="1:9" ht="13.15" customHeight="1" x14ac:dyDescent="0.2">
      <c r="A196" s="415" t="s">
        <v>1436</v>
      </c>
      <c r="B196" s="415" t="s">
        <v>1246</v>
      </c>
      <c r="C196" s="365" t="s">
        <v>89</v>
      </c>
      <c r="D196" s="416">
        <v>0.65</v>
      </c>
      <c r="E196" s="416">
        <v>0.04</v>
      </c>
      <c r="F196" s="432">
        <f>(grains_table[[#This Row],[Extract %]]*46.214)/1000+1</f>
        <v>1.0300391</v>
      </c>
      <c r="G196" s="418">
        <v>244</v>
      </c>
      <c r="H196" s="433">
        <v>0</v>
      </c>
      <c r="I196" s="420" t="s">
        <v>1287</v>
      </c>
    </row>
    <row r="197" spans="1:9" ht="13.15" customHeight="1" x14ac:dyDescent="0.2">
      <c r="A197" s="415" t="s">
        <v>1897</v>
      </c>
      <c r="B197" s="422" t="s">
        <v>1868</v>
      </c>
      <c r="C197" s="418" t="s">
        <v>89</v>
      </c>
      <c r="D197" s="423">
        <v>0.78</v>
      </c>
      <c r="E197" s="423">
        <v>0.05</v>
      </c>
      <c r="F197" s="432">
        <f>(grains_table[[#This Row],[Extract %]]*46.214)/1000+1</f>
        <v>1.03604692</v>
      </c>
      <c r="G197" s="418">
        <v>120.6</v>
      </c>
      <c r="H197" s="433">
        <v>0</v>
      </c>
      <c r="I197" s="420" t="s">
        <v>1869</v>
      </c>
    </row>
    <row r="198" spans="1:9" ht="13.15" customHeight="1" x14ac:dyDescent="0.2">
      <c r="A198" s="415" t="s">
        <v>1405</v>
      </c>
      <c r="B198" s="415" t="s">
        <v>1249</v>
      </c>
      <c r="C198" s="365" t="s">
        <v>89</v>
      </c>
      <c r="D198" s="416">
        <v>0.83</v>
      </c>
      <c r="E198" s="416">
        <v>6.5000000000000002E-2</v>
      </c>
      <c r="F198" s="432">
        <f>(grains_table[[#This Row],[Extract %]]*46.214)/1000+1</f>
        <v>1.03835762</v>
      </c>
      <c r="G198" s="418">
        <v>12</v>
      </c>
      <c r="H198" s="433">
        <v>0</v>
      </c>
      <c r="I198" s="420" t="s">
        <v>1286</v>
      </c>
    </row>
    <row r="199" spans="1:9" ht="13.15" customHeight="1" x14ac:dyDescent="0.2">
      <c r="A199" s="415" t="s">
        <v>1892</v>
      </c>
      <c r="B199" s="422" t="s">
        <v>1868</v>
      </c>
      <c r="C199" s="418" t="s">
        <v>89</v>
      </c>
      <c r="D199" s="423">
        <v>0.71</v>
      </c>
      <c r="E199" s="423">
        <v>4.4999999999999998E-2</v>
      </c>
      <c r="F199" s="432">
        <f>(grains_table[[#This Row],[Extract %]]*46.214)/1000+1</f>
        <v>1.03281194</v>
      </c>
      <c r="G199" s="418">
        <v>207</v>
      </c>
      <c r="H199" s="433">
        <v>0</v>
      </c>
      <c r="I199" s="421" t="s">
        <v>1869</v>
      </c>
    </row>
    <row r="200" spans="1:9" ht="13.15" customHeight="1" x14ac:dyDescent="0.2">
      <c r="A200" s="415" t="s">
        <v>1893</v>
      </c>
      <c r="B200" s="422"/>
      <c r="C200" s="418" t="s">
        <v>89</v>
      </c>
      <c r="D200" s="423">
        <v>0</v>
      </c>
      <c r="E200" s="423">
        <v>0</v>
      </c>
      <c r="F200" s="432">
        <v>1.032</v>
      </c>
      <c r="G200" s="418">
        <v>2.5</v>
      </c>
      <c r="H200" s="433"/>
      <c r="I200" s="420"/>
    </row>
    <row r="201" spans="1:9" ht="13.15" customHeight="1" x14ac:dyDescent="0.2">
      <c r="A201" s="415" t="s">
        <v>1895</v>
      </c>
      <c r="B201" s="422" t="s">
        <v>1868</v>
      </c>
      <c r="C201" s="418" t="s">
        <v>89</v>
      </c>
      <c r="D201" s="423">
        <v>0.73</v>
      </c>
      <c r="E201" s="423">
        <v>0.03</v>
      </c>
      <c r="F201" s="432">
        <f>(grains_table[[#This Row],[Extract %]]*46.214)/1000+1</f>
        <v>1.03373622</v>
      </c>
      <c r="G201" s="418">
        <v>188</v>
      </c>
      <c r="H201" s="433">
        <v>0</v>
      </c>
      <c r="I201" s="420" t="s">
        <v>1869</v>
      </c>
    </row>
    <row r="202" spans="1:9" ht="13.15" customHeight="1" x14ac:dyDescent="0.2">
      <c r="A202" s="415" t="s">
        <v>1455</v>
      </c>
      <c r="B202" s="415" t="s">
        <v>1247</v>
      </c>
      <c r="C202" s="365" t="s">
        <v>89</v>
      </c>
      <c r="D202" s="416">
        <v>0.78</v>
      </c>
      <c r="E202" s="416">
        <v>7.0000000000000007E-2</v>
      </c>
      <c r="F202" s="432">
        <f>(grains_table[[#This Row],[Extract %]]*46.214)/1000+1</f>
        <v>1.03604692</v>
      </c>
      <c r="G202" s="418">
        <v>2.0499999999999998</v>
      </c>
      <c r="H202" s="433"/>
      <c r="I202" s="420" t="s">
        <v>1282</v>
      </c>
    </row>
    <row r="203" spans="1:9" ht="13.15" customHeight="1" x14ac:dyDescent="0.2">
      <c r="A203" s="415" t="s">
        <v>1433</v>
      </c>
      <c r="B203" s="415" t="s">
        <v>1246</v>
      </c>
      <c r="C203" s="365" t="s">
        <v>89</v>
      </c>
      <c r="D203" s="416">
        <v>0.81</v>
      </c>
      <c r="E203" s="416">
        <v>0.06</v>
      </c>
      <c r="F203" s="432">
        <f>(grains_table[[#This Row],[Extract %]]*46.214)/1000+1</f>
        <v>1.03743334</v>
      </c>
      <c r="G203" s="418">
        <v>3.15</v>
      </c>
      <c r="H203" s="433"/>
      <c r="I203" s="420" t="s">
        <v>1287</v>
      </c>
    </row>
    <row r="204" spans="1:9" ht="13.15" customHeight="1" x14ac:dyDescent="0.2">
      <c r="A204" s="415" t="s">
        <v>1457</v>
      </c>
      <c r="B204" s="415" t="s">
        <v>1248</v>
      </c>
      <c r="C204" s="365" t="s">
        <v>89</v>
      </c>
      <c r="D204" s="416">
        <v>0.8</v>
      </c>
      <c r="E204" s="416">
        <v>4.4999999999999998E-2</v>
      </c>
      <c r="F204" s="432">
        <f>(grains_table[[#This Row],[Extract %]]*46.214)/1000+1</f>
        <v>1.0369712</v>
      </c>
      <c r="G204" s="418">
        <v>3.7</v>
      </c>
      <c r="H204" s="433">
        <v>105</v>
      </c>
      <c r="I204" s="420" t="s">
        <v>1495</v>
      </c>
    </row>
    <row r="205" spans="1:9" ht="13.15" customHeight="1" x14ac:dyDescent="0.2">
      <c r="A205" s="415" t="s">
        <v>1894</v>
      </c>
      <c r="B205" s="422" t="s">
        <v>1868</v>
      </c>
      <c r="C205" s="418" t="s">
        <v>89</v>
      </c>
      <c r="D205" s="423">
        <v>0.81</v>
      </c>
      <c r="E205" s="423">
        <v>0.06</v>
      </c>
      <c r="F205" s="432">
        <f>(grains_table[[#This Row],[Extract %]]*46.214)/1000+1</f>
        <v>1.03743334</v>
      </c>
      <c r="G205" s="418">
        <v>3.2</v>
      </c>
      <c r="H205" s="433">
        <v>0</v>
      </c>
      <c r="I205" s="420" t="s">
        <v>1869</v>
      </c>
    </row>
    <row r="206" spans="1:9" ht="13.15" customHeight="1" x14ac:dyDescent="0.2">
      <c r="A206" s="415" t="s">
        <v>1410</v>
      </c>
      <c r="B206" s="415" t="s">
        <v>1248</v>
      </c>
      <c r="C206" s="365" t="s">
        <v>89</v>
      </c>
      <c r="D206" s="416">
        <v>0.80500000000000005</v>
      </c>
      <c r="E206" s="416">
        <v>0.06</v>
      </c>
      <c r="F206" s="432">
        <f>(grains_table[[#This Row],[Extract %]]*46.214)/1000+1</f>
        <v>1.0372022700000001</v>
      </c>
      <c r="G206" s="418">
        <v>6</v>
      </c>
      <c r="H206" s="433">
        <v>90</v>
      </c>
      <c r="I206" s="420" t="s">
        <v>1495</v>
      </c>
    </row>
    <row r="207" spans="1:9" ht="13.15" customHeight="1" x14ac:dyDescent="0.2">
      <c r="A207" s="415" t="s">
        <v>1411</v>
      </c>
      <c r="B207" s="415" t="s">
        <v>1246</v>
      </c>
      <c r="C207" s="365" t="s">
        <v>89</v>
      </c>
      <c r="D207" s="416">
        <v>0.77</v>
      </c>
      <c r="E207" s="416">
        <v>0.05</v>
      </c>
      <c r="F207" s="432">
        <f>(grains_table[[#This Row],[Extract %]]*46.214)/1000+1</f>
        <v>1.03558478</v>
      </c>
      <c r="G207" s="418">
        <v>2.85</v>
      </c>
      <c r="H207" s="433"/>
      <c r="I207" s="420" t="s">
        <v>1287</v>
      </c>
    </row>
    <row r="208" spans="1:9" ht="13.15" customHeight="1" x14ac:dyDescent="0.2">
      <c r="A208" s="415" t="s">
        <v>1412</v>
      </c>
      <c r="B208" s="415" t="s">
        <v>1291</v>
      </c>
      <c r="C208" s="365" t="s">
        <v>89</v>
      </c>
      <c r="D208" s="416">
        <v>0.78</v>
      </c>
      <c r="E208" s="416">
        <v>5.5E-2</v>
      </c>
      <c r="F208" s="432">
        <f>(grains_table[[#This Row],[Extract %]]*46.214)/1000+1</f>
        <v>1.03604692</v>
      </c>
      <c r="G208" s="418">
        <v>5.85</v>
      </c>
      <c r="H208" s="433">
        <f>(250+16)/3.5</f>
        <v>76</v>
      </c>
      <c r="I208" s="421" t="s">
        <v>1328</v>
      </c>
    </row>
    <row r="209" spans="1:9" ht="13.15" customHeight="1" x14ac:dyDescent="0.2">
      <c r="A209" s="415" t="s">
        <v>1413</v>
      </c>
      <c r="B209" s="415" t="s">
        <v>1291</v>
      </c>
      <c r="C209" s="365" t="s">
        <v>89</v>
      </c>
      <c r="D209" s="416">
        <v>0.77</v>
      </c>
      <c r="E209" s="416">
        <v>5.5E-2</v>
      </c>
      <c r="F209" s="432">
        <f>(grains_table[[#This Row],[Extract %]]*46.214)/1000+1</f>
        <v>1.03558478</v>
      </c>
      <c r="G209" s="418">
        <v>5.85</v>
      </c>
      <c r="H209" s="433">
        <f>(250+16)/3.5</f>
        <v>76</v>
      </c>
      <c r="I209" s="421" t="s">
        <v>1327</v>
      </c>
    </row>
    <row r="210" spans="1:9" ht="13.15" customHeight="1" x14ac:dyDescent="0.2">
      <c r="A210" s="415" t="s">
        <v>1414</v>
      </c>
      <c r="B210" s="415" t="s">
        <v>1248</v>
      </c>
      <c r="C210" s="365" t="s">
        <v>89</v>
      </c>
      <c r="D210" s="416">
        <v>0.80500000000000005</v>
      </c>
      <c r="E210" s="416">
        <v>0.06</v>
      </c>
      <c r="F210" s="432">
        <f>(grains_table[[#This Row],[Extract %]]*46.214)/1000+1</f>
        <v>1.0372022700000001</v>
      </c>
      <c r="G210" s="418">
        <v>5</v>
      </c>
      <c r="H210" s="433">
        <v>90</v>
      </c>
      <c r="I210" s="420" t="s">
        <v>1495</v>
      </c>
    </row>
    <row r="211" spans="1:9" ht="13.15" customHeight="1" x14ac:dyDescent="0.2">
      <c r="A211" s="415" t="s">
        <v>1885</v>
      </c>
      <c r="B211" s="422" t="s">
        <v>1868</v>
      </c>
      <c r="C211" s="418" t="s">
        <v>89</v>
      </c>
      <c r="D211" s="423">
        <v>0.81499999999999995</v>
      </c>
      <c r="E211" s="423">
        <v>3.7999999999999999E-2</v>
      </c>
      <c r="F211" s="432">
        <f>(grains_table[[#This Row],[Extract %]]*46.214)/1000+1</f>
        <v>1.0376644100000001</v>
      </c>
      <c r="G211" s="418">
        <v>2.02</v>
      </c>
      <c r="H211" s="433">
        <f>(250+16)/3.5</f>
        <v>76</v>
      </c>
      <c r="I211" s="420" t="s">
        <v>1869</v>
      </c>
    </row>
    <row r="212" spans="1:9" ht="13.15" customHeight="1" x14ac:dyDescent="0.2">
      <c r="A212" s="415" t="s">
        <v>1415</v>
      </c>
      <c r="B212" s="415" t="s">
        <v>1248</v>
      </c>
      <c r="C212" s="365" t="s">
        <v>89</v>
      </c>
      <c r="D212" s="416">
        <v>0.80500000000000005</v>
      </c>
      <c r="E212" s="416">
        <v>0.06</v>
      </c>
      <c r="F212" s="432">
        <f>(grains_table[[#This Row],[Extract %]]*46.214)/1000+1</f>
        <v>1.0372022700000001</v>
      </c>
      <c r="G212" s="418">
        <v>5</v>
      </c>
      <c r="H212" s="433">
        <v>90</v>
      </c>
      <c r="I212" s="420" t="s">
        <v>1495</v>
      </c>
    </row>
    <row r="213" spans="1:9" ht="13.15" customHeight="1" x14ac:dyDescent="0.2">
      <c r="A213" s="415" t="s">
        <v>1886</v>
      </c>
      <c r="B213" s="422" t="s">
        <v>1868</v>
      </c>
      <c r="C213" s="418" t="s">
        <v>89</v>
      </c>
      <c r="D213" s="423">
        <v>0.81</v>
      </c>
      <c r="E213" s="423">
        <v>3.5000000000000003E-2</v>
      </c>
      <c r="F213" s="432">
        <f>(grains_table[[#This Row],[Extract %]]*46.214)/1000+1</f>
        <v>1.03743334</v>
      </c>
      <c r="G213" s="418">
        <v>1.99</v>
      </c>
      <c r="H213" s="433">
        <f>(240+16)/3.5</f>
        <v>73.142857142857139</v>
      </c>
      <c r="I213" s="420" t="s">
        <v>1869</v>
      </c>
    </row>
    <row r="214" spans="1:9" ht="13.15" customHeight="1" x14ac:dyDescent="0.2">
      <c r="A214" s="415" t="s">
        <v>1416</v>
      </c>
      <c r="B214" s="415" t="s">
        <v>1246</v>
      </c>
      <c r="C214" s="365" t="s">
        <v>89</v>
      </c>
      <c r="D214" s="416">
        <v>0.82</v>
      </c>
      <c r="E214" s="416">
        <v>5.5E-2</v>
      </c>
      <c r="F214" s="432">
        <f>(grains_table[[#This Row],[Extract %]]*46.214)/1000+1</f>
        <v>1.03789548</v>
      </c>
      <c r="G214" s="418">
        <v>2.4500000000000002</v>
      </c>
      <c r="H214" s="433"/>
      <c r="I214" s="420" t="s">
        <v>1287</v>
      </c>
    </row>
    <row r="215" spans="1:9" ht="13.15" customHeight="1" x14ac:dyDescent="0.2">
      <c r="A215" s="415" t="s">
        <v>1252</v>
      </c>
      <c r="B215" s="415" t="s">
        <v>1246</v>
      </c>
      <c r="C215" s="365" t="s">
        <v>89</v>
      </c>
      <c r="D215" s="416">
        <v>0.8</v>
      </c>
      <c r="E215" s="416">
        <v>0.06</v>
      </c>
      <c r="F215" s="432">
        <f>(grains_table[[#This Row],[Extract %]]*46.214)/1000+1</f>
        <v>1.0369712</v>
      </c>
      <c r="G215" s="418">
        <v>2.4500000000000002</v>
      </c>
      <c r="H215" s="433"/>
      <c r="I215" s="420" t="s">
        <v>1287</v>
      </c>
    </row>
    <row r="216" spans="1:9" ht="13.15" customHeight="1" x14ac:dyDescent="0.2">
      <c r="A216" s="415" t="s">
        <v>1451</v>
      </c>
      <c r="B216" s="415" t="s">
        <v>1291</v>
      </c>
      <c r="C216" s="365" t="s">
        <v>89</v>
      </c>
      <c r="D216" s="416">
        <v>0.82</v>
      </c>
      <c r="E216" s="416">
        <v>5.5E-2</v>
      </c>
      <c r="F216" s="432">
        <f>(grains_table[[#This Row],[Extract %]]*46.214)/1000+1</f>
        <v>1.03789548</v>
      </c>
      <c r="G216" s="418">
        <v>2.25</v>
      </c>
      <c r="H216" s="433">
        <v>0</v>
      </c>
      <c r="I216" s="421" t="s">
        <v>1312</v>
      </c>
    </row>
    <row r="217" spans="1:9" ht="13.15" customHeight="1" x14ac:dyDescent="0.2">
      <c r="A217" s="415" t="s">
        <v>1498</v>
      </c>
      <c r="B217" s="415"/>
      <c r="C217" s="365" t="s">
        <v>702</v>
      </c>
      <c r="D217" s="416"/>
      <c r="E217" s="416"/>
      <c r="F217" s="432">
        <v>1.046</v>
      </c>
      <c r="G217" s="418">
        <v>50</v>
      </c>
      <c r="H217" s="433">
        <v>0</v>
      </c>
      <c r="I217" s="420" t="s">
        <v>1496</v>
      </c>
    </row>
    <row r="218" spans="1:9" ht="13.15" customHeight="1" x14ac:dyDescent="0.2">
      <c r="A218" s="415" t="s">
        <v>1497</v>
      </c>
      <c r="B218" s="415"/>
      <c r="C218" s="365" t="s">
        <v>702</v>
      </c>
      <c r="D218" s="416"/>
      <c r="E218" s="416"/>
      <c r="F218" s="432">
        <v>1.046</v>
      </c>
      <c r="G218" s="418">
        <v>8</v>
      </c>
      <c r="H218" s="433">
        <v>0</v>
      </c>
      <c r="I218" s="420" t="s">
        <v>1496</v>
      </c>
    </row>
    <row r="219" spans="1:9" ht="13.15" customHeight="1" x14ac:dyDescent="0.2">
      <c r="A219" s="415" t="s">
        <v>1910</v>
      </c>
      <c r="B219" s="415"/>
      <c r="C219" s="365" t="s">
        <v>702</v>
      </c>
      <c r="D219" s="416"/>
      <c r="E219" s="416"/>
      <c r="F219" s="432">
        <v>1.0449999999999999</v>
      </c>
      <c r="G219" s="418">
        <v>75</v>
      </c>
      <c r="H219" s="433">
        <v>0</v>
      </c>
      <c r="I219" s="420" t="s">
        <v>1908</v>
      </c>
    </row>
    <row r="220" spans="1:9" ht="13.15" customHeight="1" x14ac:dyDescent="0.2">
      <c r="A220" s="415" t="s">
        <v>1911</v>
      </c>
      <c r="B220" s="415"/>
      <c r="C220" s="365" t="s">
        <v>702</v>
      </c>
      <c r="D220" s="416"/>
      <c r="E220" s="416"/>
      <c r="F220" s="432">
        <v>1.0449999999999999</v>
      </c>
      <c r="G220" s="418">
        <v>1</v>
      </c>
      <c r="H220" s="433">
        <v>0</v>
      </c>
      <c r="I220" s="420" t="s">
        <v>1908</v>
      </c>
    </row>
    <row r="221" spans="1:9" ht="13.15" customHeight="1" x14ac:dyDescent="0.2">
      <c r="A221" s="415" t="s">
        <v>1912</v>
      </c>
      <c r="B221" s="415"/>
      <c r="C221" s="365" t="s">
        <v>702</v>
      </c>
      <c r="D221" s="416"/>
      <c r="E221" s="416"/>
      <c r="F221" s="432">
        <v>1.0449999999999999</v>
      </c>
      <c r="G221" s="418">
        <v>275</v>
      </c>
      <c r="H221" s="433">
        <v>0</v>
      </c>
      <c r="I221" s="420" t="s">
        <v>1908</v>
      </c>
    </row>
    <row r="222" spans="1:9" ht="13.15" customHeight="1" x14ac:dyDescent="0.2">
      <c r="A222" s="415" t="s">
        <v>1499</v>
      </c>
      <c r="B222" s="415"/>
      <c r="C222" s="365" t="s">
        <v>702</v>
      </c>
      <c r="D222" s="416"/>
      <c r="E222" s="416"/>
      <c r="F222" s="432">
        <v>1.042</v>
      </c>
      <c r="G222" s="418">
        <v>0</v>
      </c>
      <c r="H222" s="433">
        <v>0</v>
      </c>
      <c r="I222" s="420" t="s">
        <v>1908</v>
      </c>
    </row>
    <row r="223" spans="1:9" ht="13.15" customHeight="1" x14ac:dyDescent="0.2">
      <c r="A223" s="415" t="s">
        <v>1448</v>
      </c>
      <c r="B223" s="415"/>
      <c r="C223" s="365" t="s">
        <v>702</v>
      </c>
      <c r="D223" s="416"/>
      <c r="E223" s="416"/>
      <c r="F223" s="417">
        <v>1.046</v>
      </c>
      <c r="G223" s="418">
        <v>2</v>
      </c>
      <c r="H223" s="433">
        <v>0</v>
      </c>
      <c r="I223" s="420" t="s">
        <v>1496</v>
      </c>
    </row>
    <row r="224" spans="1:9" ht="13.15" customHeight="1" x14ac:dyDescent="0.2">
      <c r="A224" s="415" t="s">
        <v>1442</v>
      </c>
      <c r="B224" s="415"/>
      <c r="C224" s="365" t="s">
        <v>702</v>
      </c>
      <c r="D224" s="416"/>
      <c r="E224" s="416"/>
      <c r="F224" s="417">
        <v>1.036</v>
      </c>
      <c r="G224" s="418">
        <v>1</v>
      </c>
      <c r="H224" s="433">
        <v>0</v>
      </c>
      <c r="I224" s="420" t="s">
        <v>1908</v>
      </c>
    </row>
    <row r="225" spans="1:9" ht="13.15" customHeight="1" x14ac:dyDescent="0.2">
      <c r="A225" s="415" t="s">
        <v>1443</v>
      </c>
      <c r="B225" s="415"/>
      <c r="C225" s="365" t="s">
        <v>702</v>
      </c>
      <c r="D225" s="416"/>
      <c r="E225" s="416"/>
      <c r="F225" s="417">
        <v>1.036</v>
      </c>
      <c r="G225" s="418">
        <v>0</v>
      </c>
      <c r="H225" s="433">
        <v>0</v>
      </c>
      <c r="I225" s="420" t="s">
        <v>1496</v>
      </c>
    </row>
    <row r="226" spans="1:9" ht="13.15" customHeight="1" x14ac:dyDescent="0.2">
      <c r="A226" s="415" t="s">
        <v>1444</v>
      </c>
      <c r="B226" s="415"/>
      <c r="C226" s="365" t="s">
        <v>702</v>
      </c>
      <c r="D226" s="416"/>
      <c r="E226" s="416"/>
      <c r="F226" s="417">
        <v>1.046</v>
      </c>
      <c r="G226" s="418">
        <v>0</v>
      </c>
      <c r="H226" s="433">
        <v>0</v>
      </c>
      <c r="I226" s="420" t="s">
        <v>1908</v>
      </c>
    </row>
    <row r="227" spans="1:9" ht="13.15" customHeight="1" x14ac:dyDescent="0.2">
      <c r="A227" s="415" t="s">
        <v>1445</v>
      </c>
      <c r="B227" s="415"/>
      <c r="C227" s="365" t="s">
        <v>702</v>
      </c>
      <c r="D227" s="416"/>
      <c r="E227" s="416"/>
      <c r="F227" s="417">
        <v>1.0309999999999999</v>
      </c>
      <c r="G227" s="418">
        <v>35</v>
      </c>
      <c r="H227" s="433">
        <v>0</v>
      </c>
      <c r="I227" s="420" t="s">
        <v>1908</v>
      </c>
    </row>
    <row r="228" spans="1:9" ht="13.15" customHeight="1" x14ac:dyDescent="0.2">
      <c r="A228" s="415" t="s">
        <v>1446</v>
      </c>
      <c r="B228" s="415"/>
      <c r="C228" s="365" t="s">
        <v>702</v>
      </c>
      <c r="D228" s="416"/>
      <c r="E228" s="416"/>
      <c r="F228" s="417">
        <v>1.036</v>
      </c>
      <c r="G228" s="418">
        <v>80</v>
      </c>
      <c r="H228" s="433">
        <v>0</v>
      </c>
      <c r="I228" s="420" t="s">
        <v>1908</v>
      </c>
    </row>
    <row r="229" spans="1:9" ht="13.15" customHeight="1" x14ac:dyDescent="0.2">
      <c r="A229" s="415" t="s">
        <v>1447</v>
      </c>
      <c r="B229" s="415"/>
      <c r="C229" s="365" t="s">
        <v>702</v>
      </c>
      <c r="D229" s="416"/>
      <c r="E229" s="416"/>
      <c r="F229" s="417">
        <v>1.046</v>
      </c>
      <c r="G229" s="418">
        <v>1</v>
      </c>
      <c r="H229" s="433">
        <v>0</v>
      </c>
      <c r="I229" s="420" t="s">
        <v>1908</v>
      </c>
    </row>
    <row r="230" spans="1:9" ht="13.15" customHeight="1" x14ac:dyDescent="0.2">
      <c r="A230" s="415" t="s">
        <v>1235</v>
      </c>
      <c r="B230" s="415" t="s">
        <v>1248</v>
      </c>
      <c r="C230" s="365" t="s">
        <v>89</v>
      </c>
      <c r="D230" s="416">
        <v>0.76</v>
      </c>
      <c r="E230" s="416">
        <v>8.5000000000000006E-2</v>
      </c>
      <c r="F230" s="432">
        <f>(grains_table[[#This Row],[Extract %]]*46.214)/1000+1</f>
        <v>1.03512264</v>
      </c>
      <c r="G230" s="418">
        <v>1.5</v>
      </c>
      <c r="H230" s="433">
        <v>0</v>
      </c>
      <c r="I230" s="420" t="s">
        <v>1500</v>
      </c>
    </row>
    <row r="231" spans="1:9" ht="13.15" customHeight="1" x14ac:dyDescent="0.2">
      <c r="A231" s="415" t="s">
        <v>1406</v>
      </c>
      <c r="B231" s="415" t="s">
        <v>1291</v>
      </c>
      <c r="C231" s="365" t="s">
        <v>89</v>
      </c>
      <c r="D231" s="416">
        <v>0.80500000000000005</v>
      </c>
      <c r="E231" s="416">
        <v>4.9000000000000002E-2</v>
      </c>
      <c r="F231" s="432">
        <f>(grains_table[[#This Row],[Extract %]]*46.214)/1000+1</f>
        <v>1.0372022700000001</v>
      </c>
      <c r="G231" s="418">
        <v>3.85</v>
      </c>
      <c r="H231" s="433">
        <f>(250+16)/3.5</f>
        <v>76</v>
      </c>
      <c r="I231" s="420" t="s">
        <v>1305</v>
      </c>
    </row>
    <row r="232" spans="1:9" ht="13.15" customHeight="1" x14ac:dyDescent="0.2">
      <c r="A232" s="415" t="s">
        <v>1407</v>
      </c>
      <c r="B232" s="415" t="s">
        <v>1248</v>
      </c>
      <c r="C232" s="365" t="s">
        <v>89</v>
      </c>
      <c r="D232" s="416">
        <v>0.8</v>
      </c>
      <c r="E232" s="416">
        <v>3.5000000000000003E-2</v>
      </c>
      <c r="F232" s="432">
        <f>(grains_table[[#This Row],[Extract %]]*46.214)/1000+1</f>
        <v>1.0369712</v>
      </c>
      <c r="G232" s="418">
        <v>3.5</v>
      </c>
      <c r="H232" s="433">
        <v>80</v>
      </c>
      <c r="I232" s="420" t="s">
        <v>1299</v>
      </c>
    </row>
    <row r="233" spans="1:9" ht="13.15" customHeight="1" x14ac:dyDescent="0.2">
      <c r="A233" s="415" t="s">
        <v>2423</v>
      </c>
      <c r="B233" s="422" t="s">
        <v>1630</v>
      </c>
      <c r="C233" s="365" t="s">
        <v>89</v>
      </c>
      <c r="D233" s="416">
        <v>0.80500000000000005</v>
      </c>
      <c r="E233" s="416">
        <v>4.4999999999999998E-2</v>
      </c>
      <c r="F233" s="432">
        <f>(grains_table[[#This Row],[Extract %]]*46.214)/1000+1</f>
        <v>1.0372022700000001</v>
      </c>
      <c r="G233" s="418">
        <v>4.25</v>
      </c>
      <c r="H233" s="433">
        <v>50</v>
      </c>
      <c r="I233" s="420"/>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v>50</v>
      </c>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v>50</v>
      </c>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5"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7" r:id="rId20" xr:uid="{00000000-0004-0000-0600-000013000000}"/>
    <hyperlink ref="I185" r:id="rId21" xr:uid="{00000000-0004-0000-0600-000014000000}"/>
    <hyperlink ref="I188" r:id="rId22" xr:uid="{00000000-0004-0000-0600-000015000000}"/>
    <hyperlink ref="I182" r:id="rId23" xr:uid="{00000000-0004-0000-0600-000016000000}"/>
    <hyperlink ref="I172" r:id="rId24" xr:uid="{00000000-0004-0000-0600-000017000000}"/>
    <hyperlink ref="I126" r:id="rId25" xr:uid="{00000000-0004-0000-0600-000018000000}"/>
    <hyperlink ref="I243" r:id="rId26" xr:uid="{00000000-0004-0000-0600-000019000000}"/>
    <hyperlink ref="I125" r:id="rId27" xr:uid="{00000000-0004-0000-0600-00001A000000}"/>
    <hyperlink ref="I70" r:id="rId28" xr:uid="{00000000-0004-0000-0600-00001B000000}"/>
    <hyperlink ref="I202" r:id="rId29" xr:uid="{00000000-0004-0000-0600-00001C000000}"/>
    <hyperlink ref="I85" r:id="rId30" xr:uid="{00000000-0004-0000-0600-00001D000000}"/>
    <hyperlink ref="I160" r:id="rId31" xr:uid="{00000000-0004-0000-0600-00001E000000}"/>
    <hyperlink ref="I244"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6" r:id="rId44" xr:uid="{00000000-0004-0000-0600-00002B000000}"/>
    <hyperlink ref="I198" r:id="rId45" xr:uid="{00000000-0004-0000-0600-00002C000000}"/>
    <hyperlink ref="I5" r:id="rId46" xr:uid="{00000000-0004-0000-0600-00002D000000}"/>
    <hyperlink ref="I129" r:id="rId47" xr:uid="{00000000-0004-0000-0600-00002E000000}"/>
    <hyperlink ref="I2" r:id="rId48" xr:uid="{00000000-0004-0000-0600-00002F000000}"/>
    <hyperlink ref="I207"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4" r:id="rId58" xr:uid="{00000000-0004-0000-0600-00003A000000}"/>
    <hyperlink ref="I140" r:id="rId59" xr:uid="{00000000-0004-0000-0600-00003B000000}"/>
    <hyperlink ref="I165" r:id="rId60" location="Brewers" xr:uid="{00000000-0004-0000-0600-00003C000000}"/>
    <hyperlink ref="I161" r:id="rId61" xr:uid="{00000000-0004-0000-0600-00003D000000}"/>
    <hyperlink ref="I173" r:id="rId62" xr:uid="{00000000-0004-0000-0600-00003E000000}"/>
    <hyperlink ref="I196" r:id="rId63" xr:uid="{00000000-0004-0000-0600-00003F000000}"/>
    <hyperlink ref="I215" r:id="rId64" xr:uid="{00000000-0004-0000-0600-000040000000}"/>
    <hyperlink ref="I236" r:id="rId65" xr:uid="{00000000-0004-0000-0600-000041000000}"/>
    <hyperlink ref="I245" r:id="rId66" xr:uid="{00000000-0004-0000-0600-000042000000}"/>
    <hyperlink ref="I114" r:id="rId67" location="Aromatic" xr:uid="{00000000-0004-0000-0600-000043000000}"/>
    <hyperlink ref="I186"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7" r:id="rId83" location="2RowChocolate" xr:uid="{00000000-0004-0000-0600-000053000000}"/>
    <hyperlink ref="I194"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32" r:id="rId89" location="Goldpils" xr:uid="{00000000-0004-0000-0600-000059000000}"/>
    <hyperlink ref="I144" r:id="rId90" xr:uid="{00000000-0004-0000-0600-00005A000000}"/>
    <hyperlink ref="I246" r:id="rId91" xr:uid="{00000000-0004-0000-0600-00005B000000}"/>
    <hyperlink ref="I247"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31"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8" r:id="rId104" xr:uid="{00000000-0004-0000-0600-000068000000}"/>
    <hyperlink ref="I239" r:id="rId105" xr:uid="{00000000-0004-0000-0600-000069000000}"/>
    <hyperlink ref="I216" r:id="rId106" xr:uid="{00000000-0004-0000-0600-00006A000000}"/>
    <hyperlink ref="I237"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8" r:id="rId117" xr:uid="{00000000-0004-0000-0600-000075000000}"/>
    <hyperlink ref="I179" r:id="rId118" xr:uid="{00000000-0004-0000-0600-000076000000}"/>
    <hyperlink ref="I76" r:id="rId119" xr:uid="{00000000-0004-0000-0600-000077000000}"/>
    <hyperlink ref="I3" r:id="rId120" xr:uid="{00000000-0004-0000-0600-000078000000}"/>
    <hyperlink ref="I209" r:id="rId121" xr:uid="{00000000-0004-0000-0600-000079000000}"/>
    <hyperlink ref="I208" r:id="rId122" xr:uid="{00000000-0004-0000-0600-00007A000000}"/>
    <hyperlink ref="I174"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5" r:id="rId139" xr:uid="{00000000-0004-0000-0600-00008C000000}"/>
    <hyperlink ref="I193" r:id="rId140" xr:uid="{00000000-0004-0000-0600-00008D000000}"/>
    <hyperlink ref="I195" r:id="rId141" xr:uid="{00000000-0004-0000-0600-00008E000000}"/>
    <hyperlink ref="I14" r:id="rId142" xr:uid="{00000000-0004-0000-0600-00008F000000}"/>
    <hyperlink ref="I204" r:id="rId143" xr:uid="{00000000-0004-0000-0600-000090000000}"/>
    <hyperlink ref="I206" r:id="rId144" xr:uid="{00000000-0004-0000-0600-000091000000}"/>
    <hyperlink ref="I210" r:id="rId145" xr:uid="{00000000-0004-0000-0600-000092000000}"/>
    <hyperlink ref="I212" r:id="rId146" xr:uid="{00000000-0004-0000-0600-000093000000}"/>
    <hyperlink ref="I220" r:id="rId147" display="http://www.beersmith.com/Grains/Grains/GrainList.htm" xr:uid="{00000000-0004-0000-0600-000094000000}"/>
    <hyperlink ref="I219" r:id="rId148" display="http://www.beersmith.com/Grains/Grains/GrainList.htm" xr:uid="{00000000-0004-0000-0600-000095000000}"/>
    <hyperlink ref="I221" r:id="rId149" display="http://www.beersmith.com/Grains/Grains/GrainList.htm" xr:uid="{00000000-0004-0000-0600-000096000000}"/>
    <hyperlink ref="I218" r:id="rId150" xr:uid="{00000000-0004-0000-0600-000097000000}"/>
    <hyperlink ref="I217" r:id="rId151" xr:uid="{00000000-0004-0000-0600-000098000000}"/>
    <hyperlink ref="I222" r:id="rId152" display="http://www.beersmith.com/Grains/Grains/GrainList.htm" xr:uid="{00000000-0004-0000-0600-000099000000}"/>
    <hyperlink ref="I224" r:id="rId153" display="http://www.beersmith.com/Grains/Grains/GrainList.htm" xr:uid="{00000000-0004-0000-0600-00009A000000}"/>
    <hyperlink ref="I223" r:id="rId154" xr:uid="{00000000-0004-0000-0600-00009B000000}"/>
    <hyperlink ref="I225" r:id="rId155" xr:uid="{00000000-0004-0000-0600-00009C000000}"/>
    <hyperlink ref="I226" r:id="rId156" display="http://www.beersmith.com/Grains/Grains/GrainList.htm" xr:uid="{00000000-0004-0000-0600-00009D000000}"/>
    <hyperlink ref="I227" r:id="rId157" display="http://www.beersmith.com/Grains/Grains/GrainList.htm" xr:uid="{00000000-0004-0000-0600-00009E000000}"/>
    <hyperlink ref="I228" r:id="rId158" display="http://www.beersmith.com/Grains/Grains/GrainList.htm" xr:uid="{00000000-0004-0000-0600-00009F000000}"/>
    <hyperlink ref="I229" r:id="rId159" display="http://www.beersmith.com/Grains/Grains/GrainList.htm" xr:uid="{00000000-0004-0000-0600-0000A0000000}"/>
    <hyperlink ref="I230" r:id="rId160" location="TorrifiedWheat" xr:uid="{00000000-0004-0000-0600-0000A1000000}"/>
    <hyperlink ref="I183" r:id="rId161" xr:uid="{00000000-0004-0000-0600-0000A2000000}"/>
    <hyperlink ref="I184" r:id="rId162" xr:uid="{00000000-0004-0000-0600-0000A3000000}"/>
    <hyperlink ref="I181" r:id="rId163" xr:uid="{00000000-0004-0000-0600-0000A4000000}"/>
    <hyperlink ref="I180"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11" r:id="rId182" xr:uid="{BC7D9F85-5E58-4871-9070-80A69172F7EA}"/>
    <hyperlink ref="I170"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2021-12-28T17:00:43Z</cp:lastPrinted>
  <dcterms:created xsi:type="dcterms:W3CDTF">2003-11-09T22:26:20Z</dcterms:created>
  <dcterms:modified xsi:type="dcterms:W3CDTF">2022-08-20T21:18:51Z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