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embeddings/oleObject3.bin" ContentType="application/vnd.openxmlformats-officedocument.oleObject"/>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C:\Users\Larry\Documents\Hobbies\Beer\"/>
    </mc:Choice>
  </mc:AlternateContent>
  <xr:revisionPtr revIDLastSave="0" documentId="13_ncr:1_{B34BD8BC-FD6D-44EE-B13B-42AE67212F24}" xr6:coauthVersionLast="47" xr6:coauthVersionMax="47" xr10:uidLastSave="{00000000-0000-0000-0000-000000000000}"/>
  <bookViews>
    <workbookView xWindow="25935" yWindow="1170" windowWidth="25515" windowHeight="18735" tabRatio="805" activeTab="1" xr2:uid="{00000000-000D-0000-FFFF-FFFF00000000}"/>
  </bookViews>
  <sheets>
    <sheet name="Instructions" sheetId="29" r:id="rId1"/>
    <sheet name="Recipe Sheet" sheetId="28" r:id="rId2"/>
    <sheet name="Brewhouse Setup &amp; Calcs" sheetId="14" r:id="rId3"/>
    <sheet name="Equipment Profiles" sheetId="36" r:id="rId4"/>
    <sheet name="Grain &amp; Sugar Calcs" sheetId="13" r:id="rId5"/>
    <sheet name="Hop Calcs" sheetId="16" r:id="rId6"/>
    <sheet name="Water-English" sheetId="32" r:id="rId7"/>
    <sheet name="Water-Metric" sheetId="33" r:id="rId8"/>
    <sheet name="Grain &amp; Sugar List" sheetId="24" r:id="rId9"/>
    <sheet name="Hops List" sheetId="25" r:id="rId10"/>
    <sheet name="Yeast List" sheetId="26" r:id="rId11"/>
    <sheet name="Hydrometer Testing &amp; Correction" sheetId="31" r:id="rId12"/>
    <sheet name="Beer Line Length" sheetId="34" r:id="rId13"/>
    <sheet name="Carbonation" sheetId="7" r:id="rId14"/>
    <sheet name="Malt Sheet PPG Calcs" sheetId="30" r:id="rId15"/>
    <sheet name="Conversion Tables" sheetId="5" r:id="rId16"/>
    <sheet name="BJCP Guidelines" sheetId="35" r:id="rId17"/>
    <sheet name="Thermal Vol Exp Coef" sheetId="37" r:id="rId18"/>
    <sheet name="Unit Conversions" sheetId="38" r:id="rId19"/>
    <sheet name="Common Variables" sheetId="8" r:id="rId20"/>
  </sheets>
  <definedNames>
    <definedName name="_xlnm._FilterDatabase" localSheetId="16" hidden="1">'BJCP Guidelines'!$A$1:$K$126</definedName>
    <definedName name="_xlnm._FilterDatabase" localSheetId="4" hidden="1">'Grain &amp; Sugar Calcs'!$B$2:$N$17</definedName>
    <definedName name="_xlnm._FilterDatabase" localSheetId="8" hidden="1">'Grain &amp; Sugar List'!$A$1:$X$247</definedName>
    <definedName name="_xlnm._FilterDatabase" localSheetId="10" hidden="1">'Yeast List'!$A$1:$I$736</definedName>
    <definedName name="Category" localSheetId="1">'Recipe Sheet'!$B$1</definedName>
    <definedName name="col_num" localSheetId="16">#N/A</definedName>
    <definedName name="col_num" localSheetId="1">MATCH('Recipe Sheet'!Category,'Recipe Sheet'!BeerList_Headers,0)</definedName>
    <definedName name="col_num">MATCH('Recipe Sheet'!Category,BeerList_Headers,0)</definedName>
    <definedName name="_xlnm.Print_Area" localSheetId="2">'Brewhouse Setup &amp; Calcs'!$A:$J</definedName>
    <definedName name="_xlnm.Print_Area" localSheetId="1">'Recipe Sheet'!$A$1:$AC$51</definedName>
    <definedName name="Sugars_Only">'Grain &amp; Sugar List'!$A$88:$A$230</definedName>
    <definedName name="yeastlist_headers">yeast_table[#Headers]</definedName>
  </definedNames>
  <calcPr calcId="181029"/>
</workbook>
</file>

<file path=xl/calcChain.xml><?xml version="1.0" encoding="utf-8"?>
<calcChain xmlns="http://schemas.openxmlformats.org/spreadsheetml/2006/main">
  <c r="Z33" i="28" l="1"/>
  <c r="F78" i="24"/>
  <c r="E6" i="13"/>
  <c r="E7" i="13"/>
  <c r="E8" i="13"/>
  <c r="E9" i="13"/>
  <c r="E10" i="13"/>
  <c r="E11" i="13"/>
  <c r="E12" i="13"/>
  <c r="E13" i="13"/>
  <c r="E14" i="13"/>
  <c r="E5" i="13"/>
  <c r="F193" i="24"/>
  <c r="T2" i="28"/>
  <c r="F69" i="14" l="1"/>
  <c r="G20" i="16"/>
  <c r="C69" i="14" s="1"/>
  <c r="E69" i="14" s="1"/>
  <c r="F87" i="14"/>
  <c r="C87" i="14"/>
  <c r="E87" i="14" s="1"/>
  <c r="X35" i="28" l="1"/>
  <c r="AI26" i="28"/>
  <c r="AB35" i="28" l="1"/>
  <c r="Y31" i="28"/>
  <c r="C9" i="38"/>
  <c r="C7" i="38"/>
  <c r="C6" i="38"/>
  <c r="C4" i="38"/>
  <c r="C3" i="38"/>
  <c r="AA23" i="28"/>
  <c r="W5" i="28"/>
  <c r="Y23" i="28"/>
  <c r="M14" i="28" l="1"/>
  <c r="L14" i="28"/>
  <c r="Q24" i="28"/>
  <c r="AC25" i="28"/>
  <c r="AC44" i="28" l="1"/>
  <c r="U11" i="28"/>
  <c r="V11" i="28"/>
  <c r="X11" i="28"/>
  <c r="U12" i="28"/>
  <c r="V12" i="28"/>
  <c r="X12" i="28"/>
  <c r="U13" i="28"/>
  <c r="V13" i="28"/>
  <c r="X13" i="28"/>
  <c r="U14" i="28"/>
  <c r="V14" i="28"/>
  <c r="X14" i="28"/>
  <c r="V10" i="28"/>
  <c r="U10" i="28"/>
  <c r="AF10" i="28" s="1"/>
  <c r="AC37" i="28"/>
  <c r="AE13" i="28" l="1"/>
  <c r="AF13" i="28"/>
  <c r="AE12" i="28"/>
  <c r="AF12" i="28"/>
  <c r="AF14" i="28"/>
  <c r="AE14" i="28"/>
  <c r="AE11" i="28"/>
  <c r="AF11" i="28"/>
  <c r="AA31" i="28"/>
  <c r="K11" i="28"/>
  <c r="K10" i="28"/>
  <c r="J31" i="14" l="1"/>
  <c r="C25" i="14" s="1"/>
  <c r="Y41" i="28"/>
  <c r="X45" i="28"/>
  <c r="X31" i="28"/>
  <c r="C40" i="14" l="1"/>
  <c r="C50" i="14"/>
  <c r="C49" i="14"/>
  <c r="C48" i="14"/>
  <c r="C47" i="14"/>
  <c r="C45" i="14"/>
  <c r="C44" i="14"/>
  <c r="Z2" i="28"/>
  <c r="T1" i="28"/>
  <c r="U19" i="28" l="1"/>
  <c r="U20" i="28"/>
  <c r="B45" i="14"/>
  <c r="C77" i="14"/>
  <c r="X33" i="28"/>
  <c r="T18" i="28"/>
  <c r="E22" i="33" l="1"/>
  <c r="G22" i="33"/>
  <c r="E23" i="33"/>
  <c r="G23" i="33"/>
  <c r="E24" i="33"/>
  <c r="G24" i="33"/>
  <c r="E23" i="32"/>
  <c r="G23" i="32"/>
  <c r="E21" i="32"/>
  <c r="E22" i="32"/>
  <c r="I31" i="14"/>
  <c r="C54" i="14"/>
  <c r="J32" i="28"/>
  <c r="G32" i="28"/>
  <c r="F32" i="28"/>
  <c r="E32" i="28"/>
  <c r="A32" i="28"/>
  <c r="J22" i="28"/>
  <c r="J23" i="28"/>
  <c r="J24" i="28"/>
  <c r="J25" i="28"/>
  <c r="J26" i="28"/>
  <c r="J27" i="28"/>
  <c r="J28" i="28"/>
  <c r="J29" i="28"/>
  <c r="J30" i="28"/>
  <c r="J31" i="28"/>
  <c r="G22" i="28"/>
  <c r="G23" i="28"/>
  <c r="G24" i="28"/>
  <c r="G25" i="28"/>
  <c r="G26" i="28"/>
  <c r="G27" i="28"/>
  <c r="G28" i="28"/>
  <c r="G29" i="28"/>
  <c r="G30" i="28"/>
  <c r="G31" i="28"/>
  <c r="F22" i="28"/>
  <c r="F23" i="28"/>
  <c r="F24" i="28"/>
  <c r="F25" i="28"/>
  <c r="F26" i="28"/>
  <c r="F27" i="28"/>
  <c r="F28" i="28"/>
  <c r="F29" i="28"/>
  <c r="F30" i="28"/>
  <c r="F31" i="28"/>
  <c r="E22" i="28"/>
  <c r="E23" i="28"/>
  <c r="E24" i="28"/>
  <c r="E25" i="28"/>
  <c r="E26" i="28"/>
  <c r="E27" i="28"/>
  <c r="E28" i="28"/>
  <c r="E29" i="28"/>
  <c r="E30" i="28"/>
  <c r="E31" i="28"/>
  <c r="A22" i="28"/>
  <c r="A23" i="28"/>
  <c r="A24" i="28"/>
  <c r="A25" i="28"/>
  <c r="A26" i="28"/>
  <c r="A27" i="28"/>
  <c r="A28" i="28"/>
  <c r="A29" i="28"/>
  <c r="A30" i="28"/>
  <c r="A31" i="28"/>
  <c r="I10" i="16"/>
  <c r="I11" i="16"/>
  <c r="I12" i="16"/>
  <c r="I13" i="16"/>
  <c r="I14" i="16"/>
  <c r="I15" i="16"/>
  <c r="I16" i="16"/>
  <c r="I17" i="16"/>
  <c r="I18" i="16"/>
  <c r="M27" i="14" l="1"/>
  <c r="M28" i="14"/>
  <c r="M29" i="14"/>
  <c r="M30" i="14"/>
  <c r="M26" i="14"/>
  <c r="C24" i="14"/>
  <c r="C27" i="14"/>
  <c r="F89" i="14"/>
  <c r="F88" i="14"/>
  <c r="F103" i="14"/>
  <c r="F66" i="14"/>
  <c r="F65" i="14"/>
  <c r="C64" i="14"/>
  <c r="B59" i="14"/>
  <c r="E59" i="14" s="1"/>
  <c r="C46" i="14"/>
  <c r="X26" i="28" s="1"/>
  <c r="C35" i="14"/>
  <c r="C34" i="14"/>
  <c r="H26" i="14"/>
  <c r="K26" i="14" s="1"/>
  <c r="F96" i="14"/>
  <c r="F95" i="14"/>
  <c r="F94" i="14"/>
  <c r="F93" i="14"/>
  <c r="F85" i="14"/>
  <c r="F86" i="14"/>
  <c r="F91" i="14"/>
  <c r="D27" i="14"/>
  <c r="G5" i="36" s="1"/>
  <c r="F90" i="14"/>
  <c r="F78" i="14"/>
  <c r="C55" i="14"/>
  <c r="C68" i="14" s="1"/>
  <c r="F53" i="14"/>
  <c r="C53" i="14"/>
  <c r="E53" i="14" s="1"/>
  <c r="C43" i="14"/>
  <c r="C52" i="14"/>
  <c r="C51" i="14"/>
  <c r="C42" i="14"/>
  <c r="C85" i="14" s="1"/>
  <c r="C41" i="14"/>
  <c r="F121" i="24"/>
  <c r="F119" i="24"/>
  <c r="Y20" i="28" l="1"/>
  <c r="Y21" i="28"/>
  <c r="Y19" i="28"/>
  <c r="U32" i="28"/>
  <c r="AC24" i="28"/>
  <c r="X23" i="28"/>
  <c r="C86" i="14"/>
  <c r="E86" i="14" s="1"/>
  <c r="Y18" i="28"/>
  <c r="AB18" i="28" s="1"/>
  <c r="AC36" i="28"/>
  <c r="K8" i="28" s="1"/>
  <c r="Y22" i="28"/>
  <c r="AB22" i="28" s="1"/>
  <c r="AC43" i="28"/>
  <c r="K9" i="28" s="1"/>
  <c r="E85" i="14"/>
  <c r="C59" i="14"/>
  <c r="AB34" i="28" s="1"/>
  <c r="F5" i="36"/>
  <c r="G12" i="13"/>
  <c r="G13" i="13"/>
  <c r="G14" i="13"/>
  <c r="F6" i="13"/>
  <c r="F7" i="13"/>
  <c r="F8" i="13"/>
  <c r="F9" i="13"/>
  <c r="F10" i="13"/>
  <c r="F11" i="13"/>
  <c r="F12" i="13"/>
  <c r="F13" i="13"/>
  <c r="F14" i="13"/>
  <c r="F5" i="13"/>
  <c r="AC19" i="28" l="1"/>
  <c r="AB19" i="28"/>
  <c r="AC20" i="28"/>
  <c r="AB20" i="28"/>
  <c r="AC21" i="28"/>
  <c r="AB21" i="28"/>
  <c r="AE10" i="28"/>
  <c r="AH14" i="28"/>
  <c r="AG14" i="28" s="1"/>
  <c r="AH10" i="28"/>
  <c r="AH11" i="28"/>
  <c r="AG11" i="28" s="1"/>
  <c r="AH12" i="28"/>
  <c r="AG12" i="28" s="1"/>
  <c r="AH13" i="28"/>
  <c r="AG13" i="28" s="1"/>
  <c r="AC22" i="28"/>
  <c r="AC18" i="28"/>
  <c r="C65" i="14"/>
  <c r="E65" i="14" s="1"/>
  <c r="G22" i="16"/>
  <c r="G21" i="16" l="1"/>
  <c r="C72" i="14" s="1"/>
  <c r="C73" i="14" s="1"/>
  <c r="AG10" i="28"/>
  <c r="C66" i="14"/>
  <c r="C70" i="14" s="1"/>
  <c r="F52" i="14"/>
  <c r="E52" i="14"/>
  <c r="AG15" i="28" l="1"/>
  <c r="C74" i="14"/>
  <c r="X34" i="28" s="1"/>
  <c r="E66" i="14"/>
  <c r="O27" i="28"/>
  <c r="E68" i="14" l="1"/>
  <c r="F64" i="14"/>
  <c r="F68" i="14"/>
  <c r="F75" i="14"/>
  <c r="F73" i="14"/>
  <c r="F74" i="14"/>
  <c r="C4" i="14"/>
  <c r="AC35" i="28" l="1"/>
  <c r="M25" i="14"/>
  <c r="A84" i="14"/>
  <c r="AH9" i="28"/>
  <c r="Z9" i="28"/>
  <c r="AF9" i="28"/>
  <c r="AA35" i="28"/>
  <c r="Y35" i="28"/>
  <c r="AB24" i="28"/>
  <c r="AC5" i="28"/>
  <c r="X5" i="28"/>
  <c r="AA40" i="28"/>
  <c r="AB36" i="28"/>
  <c r="AC17" i="28"/>
  <c r="AA9" i="28"/>
  <c r="AB43" i="28"/>
  <c r="Y17" i="28"/>
  <c r="AA17" i="28"/>
  <c r="U9" i="28"/>
  <c r="X9" i="28"/>
  <c r="Y40" i="28"/>
  <c r="I25" i="14"/>
  <c r="K25" i="14"/>
  <c r="H25" i="14"/>
  <c r="A93" i="14"/>
  <c r="A89" i="14"/>
  <c r="A103" i="14"/>
  <c r="A75" i="14"/>
  <c r="A72" i="14"/>
  <c r="A66" i="14"/>
  <c r="A68" i="14"/>
  <c r="A65" i="14"/>
  <c r="A64" i="14"/>
  <c r="A79" i="14"/>
  <c r="A94" i="14"/>
  <c r="A76" i="14"/>
  <c r="A80" i="14"/>
  <c r="D20" i="14"/>
  <c r="D19" i="14"/>
  <c r="D31" i="14"/>
  <c r="Q29" i="28"/>
  <c r="M14" i="14"/>
  <c r="E64" i="14"/>
  <c r="E16" i="28"/>
  <c r="A16" i="28"/>
  <c r="E15" i="28"/>
  <c r="A15" i="28"/>
  <c r="E14" i="28"/>
  <c r="A14" i="28"/>
  <c r="H12" i="13"/>
  <c r="I12" i="13" s="1"/>
  <c r="J12" i="13"/>
  <c r="M15" i="28"/>
  <c r="L15" i="28"/>
  <c r="M13" i="28"/>
  <c r="L13" i="28"/>
  <c r="M9" i="28"/>
  <c r="L9" i="28"/>
  <c r="M8" i="28"/>
  <c r="L8" i="28"/>
  <c r="O18" i="16"/>
  <c r="M18" i="16"/>
  <c r="M16" i="16"/>
  <c r="K27" i="13"/>
  <c r="M29" i="13"/>
  <c r="K29" i="13"/>
  <c r="M31" i="13"/>
  <c r="K31" i="13"/>
  <c r="F165" i="24" l="1"/>
  <c r="H239" i="24" l="1"/>
  <c r="H238" i="24"/>
  <c r="H237" i="24"/>
  <c r="H209" i="24"/>
  <c r="H210" i="24"/>
  <c r="H76" i="24"/>
  <c r="H128" i="24"/>
  <c r="H117" i="24"/>
  <c r="H116" i="24"/>
  <c r="H232" i="24"/>
  <c r="H131" i="24"/>
  <c r="H151" i="24"/>
  <c r="H152" i="24"/>
  <c r="H164" i="24"/>
  <c r="H242" i="24"/>
  <c r="H234" i="24"/>
  <c r="H163" i="24"/>
  <c r="H122" i="24"/>
  <c r="H214" i="24"/>
  <c r="H212" i="24"/>
  <c r="H158" i="24"/>
  <c r="H157" i="24"/>
  <c r="H9" i="24"/>
  <c r="H144" i="24"/>
  <c r="H143" i="24"/>
  <c r="H161" i="24"/>
  <c r="F120" i="24"/>
  <c r="F79" i="24" l="1"/>
  <c r="F77" i="24"/>
  <c r="G10" i="13" s="1"/>
  <c r="J12" i="28" l="1"/>
  <c r="F70" i="14" l="1"/>
  <c r="E70" i="14"/>
  <c r="J4" i="7" l="1"/>
  <c r="F4" i="7"/>
  <c r="B4" i="7"/>
  <c r="F242" i="24" l="1"/>
  <c r="F234" i="24"/>
  <c r="F75" i="24"/>
  <c r="F74" i="24"/>
  <c r="F4" i="24"/>
  <c r="F198" i="24"/>
  <c r="F63" i="24"/>
  <c r="F202" i="24"/>
  <c r="F206" i="24"/>
  <c r="F200" i="24"/>
  <c r="F169" i="24"/>
  <c r="F172" i="24"/>
  <c r="F71" i="24"/>
  <c r="F163" i="24"/>
  <c r="F122" i="24"/>
  <c r="F214" i="24"/>
  <c r="F212" i="24"/>
  <c r="F83" i="24"/>
  <c r="F158" i="24"/>
  <c r="F87" i="24"/>
  <c r="F157" i="24"/>
  <c r="F16" i="24"/>
  <c r="F68" i="24"/>
  <c r="F65" i="24"/>
  <c r="F67" i="24"/>
  <c r="F81" i="24"/>
  <c r="F80" i="24"/>
  <c r="F13" i="24"/>
  <c r="F12" i="24"/>
  <c r="F9" i="24"/>
  <c r="F143" i="24"/>
  <c r="F144" i="24"/>
  <c r="Q14" i="28" l="1"/>
  <c r="Q34" i="28" l="1"/>
  <c r="J21" i="28" l="1"/>
  <c r="A12" i="16"/>
  <c r="A13" i="16"/>
  <c r="A17" i="16"/>
  <c r="A18" i="16"/>
  <c r="A7" i="16"/>
  <c r="A8" i="16"/>
  <c r="A9" i="16"/>
  <c r="Q23" i="28" l="1"/>
  <c r="Q22" i="28"/>
  <c r="Q21" i="28"/>
  <c r="Q20" i="28"/>
  <c r="Q19" i="28"/>
  <c r="Q18" i="28"/>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15" i="33"/>
  <c r="E15" i="32"/>
  <c r="E16" i="32"/>
  <c r="E17" i="32"/>
  <c r="E18" i="32"/>
  <c r="E19" i="32"/>
  <c r="E20" i="32"/>
  <c r="E14" i="32"/>
  <c r="E25" i="33" l="1"/>
  <c r="H40" i="33" s="1"/>
  <c r="H39" i="33"/>
  <c r="G21" i="33"/>
  <c r="G20" i="33"/>
  <c r="G19" i="33"/>
  <c r="G18" i="33"/>
  <c r="G17" i="33"/>
  <c r="G16" i="33"/>
  <c r="G15" i="33"/>
  <c r="E26" i="33" l="1"/>
  <c r="G22" i="32" l="1"/>
  <c r="G21" i="32"/>
  <c r="G20" i="32"/>
  <c r="G19" i="32"/>
  <c r="G18" i="32"/>
  <c r="G17" i="32"/>
  <c r="G16" i="32"/>
  <c r="G15" i="32"/>
  <c r="G14" i="32"/>
  <c r="E24" i="32" l="1"/>
  <c r="H38" i="32" l="1"/>
  <c r="F140" i="24"/>
  <c r="D29" i="14" l="1"/>
  <c r="E29" i="14" l="1"/>
  <c r="J11" i="28" l="1"/>
  <c r="X41" i="28" l="1"/>
  <c r="J10" i="28"/>
  <c r="J6" i="28"/>
  <c r="F29" i="14" l="1"/>
  <c r="F72" i="14"/>
  <c r="D50" i="14"/>
  <c r="G4" i="31"/>
  <c r="G3" i="31"/>
  <c r="B10" i="31"/>
  <c r="F6" i="31"/>
  <c r="B5" i="31"/>
  <c r="B6" i="31" s="1"/>
  <c r="B3" i="31"/>
  <c r="O5" i="36" l="1"/>
  <c r="AA33" i="28"/>
  <c r="Y33" i="28"/>
  <c r="E73" i="14"/>
  <c r="E72" i="14"/>
  <c r="C75" i="14" l="1"/>
  <c r="K14" i="28"/>
  <c r="K12" i="28"/>
  <c r="J9" i="7"/>
  <c r="J5" i="7"/>
  <c r="J7" i="7" s="1"/>
  <c r="F5" i="7"/>
  <c r="F9" i="7" s="1"/>
  <c r="F11" i="7" s="1"/>
  <c r="P4" i="7"/>
  <c r="E75" i="14" l="1"/>
  <c r="C76" i="14"/>
  <c r="E74" i="14"/>
  <c r="J8" i="7"/>
  <c r="J6" i="7"/>
  <c r="F7" i="7"/>
  <c r="F8" i="7" s="1"/>
  <c r="F6" i="7"/>
  <c r="F12" i="7"/>
  <c r="F10" i="7"/>
  <c r="F13" i="7"/>
  <c r="F15" i="7" s="1"/>
  <c r="F16" i="7" s="1"/>
  <c r="F17" i="7"/>
  <c r="F19" i="7" s="1"/>
  <c r="F20" i="7" s="1"/>
  <c r="F164" i="24"/>
  <c r="C78" i="14" l="1"/>
  <c r="C79" i="14" s="1"/>
  <c r="C80" i="14" s="1"/>
  <c r="K12" i="13" s="1"/>
  <c r="M12" i="13"/>
  <c r="L12" i="13"/>
  <c r="X32" i="28"/>
  <c r="M13" i="13"/>
  <c r="M14" i="13"/>
  <c r="M11" i="13"/>
  <c r="M10" i="13"/>
  <c r="M9" i="13"/>
  <c r="M5" i="13"/>
  <c r="M8" i="13"/>
  <c r="J11" i="7"/>
  <c r="J12" i="7" s="1"/>
  <c r="J10" i="7"/>
  <c r="F14" i="7"/>
  <c r="F18" i="7"/>
  <c r="F150" i="24"/>
  <c r="F76" i="14"/>
  <c r="F79" i="14"/>
  <c r="F77" i="14"/>
  <c r="F102" i="14"/>
  <c r="F101" i="14"/>
  <c r="F100" i="14"/>
  <c r="F99" i="14"/>
  <c r="F84" i="14"/>
  <c r="F83" i="14"/>
  <c r="F80" i="14"/>
  <c r="F55" i="14"/>
  <c r="E55" i="14"/>
  <c r="F49" i="14"/>
  <c r="E49" i="14"/>
  <c r="F42" i="14"/>
  <c r="E42" i="14"/>
  <c r="F47" i="14"/>
  <c r="E47" i="14"/>
  <c r="F40" i="14"/>
  <c r="E40" i="14"/>
  <c r="F43" i="14"/>
  <c r="E43" i="14"/>
  <c r="F23" i="14"/>
  <c r="E23" i="14"/>
  <c r="F18" i="14"/>
  <c r="E18" i="14"/>
  <c r="G19" i="8"/>
  <c r="E19" i="8"/>
  <c r="C19" i="8"/>
  <c r="A19" i="8"/>
  <c r="M13" i="14" l="1"/>
  <c r="E78" i="14"/>
  <c r="C12" i="30"/>
  <c r="C6" i="30"/>
  <c r="X30" i="28" l="1"/>
  <c r="X22" i="28"/>
  <c r="F247" i="24"/>
  <c r="F246" i="24"/>
  <c r="F245" i="24"/>
  <c r="F244" i="24"/>
  <c r="F243" i="24"/>
  <c r="F241" i="24"/>
  <c r="F240" i="24"/>
  <c r="F239" i="24"/>
  <c r="F238" i="24"/>
  <c r="F237" i="24"/>
  <c r="F236" i="24"/>
  <c r="F235" i="24"/>
  <c r="F233" i="24"/>
  <c r="F232" i="24"/>
  <c r="F231" i="24"/>
  <c r="F217" i="24"/>
  <c r="F216" i="24"/>
  <c r="F215" i="24"/>
  <c r="F213" i="24"/>
  <c r="F211" i="24"/>
  <c r="F210" i="24"/>
  <c r="F209" i="24"/>
  <c r="F208" i="24"/>
  <c r="F207" i="24"/>
  <c r="F205" i="24"/>
  <c r="F204" i="24"/>
  <c r="F203" i="24"/>
  <c r="F15" i="24"/>
  <c r="F199" i="24"/>
  <c r="F14" i="24"/>
  <c r="F197" i="24"/>
  <c r="F82" i="24"/>
  <c r="F17" i="24"/>
  <c r="F196" i="24"/>
  <c r="G11" i="13" s="1"/>
  <c r="F195" i="24"/>
  <c r="F194" i="24"/>
  <c r="F192" i="24"/>
  <c r="F191" i="24"/>
  <c r="F190" i="24"/>
  <c r="F189" i="24"/>
  <c r="F188" i="24"/>
  <c r="F187" i="24"/>
  <c r="F186" i="24"/>
  <c r="F185" i="24"/>
  <c r="F184" i="24"/>
  <c r="F183" i="24"/>
  <c r="F182" i="24"/>
  <c r="F11" i="24"/>
  <c r="F181" i="24"/>
  <c r="F180" i="24"/>
  <c r="F179" i="24"/>
  <c r="F178" i="24"/>
  <c r="F177" i="24"/>
  <c r="F176" i="24"/>
  <c r="F175" i="24"/>
  <c r="F174" i="24"/>
  <c r="F173" i="24"/>
  <c r="F166" i="24"/>
  <c r="F162" i="24"/>
  <c r="F161" i="24"/>
  <c r="F160" i="24"/>
  <c r="F159" i="24"/>
  <c r="F156" i="24"/>
  <c r="F155" i="24"/>
  <c r="F154" i="24"/>
  <c r="F153" i="24"/>
  <c r="F152" i="24"/>
  <c r="F151" i="24"/>
  <c r="F149" i="24"/>
  <c r="F148" i="24"/>
  <c r="F146" i="24"/>
  <c r="F145" i="24"/>
  <c r="F142" i="24"/>
  <c r="F141" i="24"/>
  <c r="F139" i="24"/>
  <c r="F138" i="24"/>
  <c r="F137" i="24"/>
  <c r="F136" i="24"/>
  <c r="F135" i="24"/>
  <c r="F134" i="24"/>
  <c r="F133" i="24"/>
  <c r="F132" i="24"/>
  <c r="F131" i="24"/>
  <c r="F130" i="24"/>
  <c r="F129" i="24"/>
  <c r="F128" i="24"/>
  <c r="F127" i="24"/>
  <c r="F126" i="24"/>
  <c r="F124" i="24"/>
  <c r="F123" i="24"/>
  <c r="F118" i="24"/>
  <c r="G5" i="13" s="1"/>
  <c r="F117" i="24"/>
  <c r="F116" i="24"/>
  <c r="F115" i="24"/>
  <c r="F114" i="24"/>
  <c r="F113" i="24"/>
  <c r="F112" i="24"/>
  <c r="F105" i="24"/>
  <c r="F104" i="24"/>
  <c r="F103" i="24"/>
  <c r="F102" i="24"/>
  <c r="F101" i="24"/>
  <c r="F100" i="24"/>
  <c r="G8" i="13" s="1"/>
  <c r="F99" i="24"/>
  <c r="F97" i="24"/>
  <c r="F86" i="24"/>
  <c r="F85" i="24"/>
  <c r="F84" i="24"/>
  <c r="F76" i="24"/>
  <c r="F73" i="24"/>
  <c r="F72" i="24"/>
  <c r="F70" i="24"/>
  <c r="F69" i="24"/>
  <c r="F66" i="24"/>
  <c r="F64" i="24"/>
  <c r="F62" i="24"/>
  <c r="F61" i="24"/>
  <c r="F60" i="24"/>
  <c r="F59" i="24"/>
  <c r="F58" i="24"/>
  <c r="F57" i="24"/>
  <c r="F56" i="24"/>
  <c r="F55" i="24"/>
  <c r="F54" i="24"/>
  <c r="F53" i="24"/>
  <c r="F52" i="24"/>
  <c r="F51" i="24"/>
  <c r="F50" i="24"/>
  <c r="F49" i="24"/>
  <c r="F48" i="24"/>
  <c r="F47" i="24"/>
  <c r="F46" i="24"/>
  <c r="F45" i="24"/>
  <c r="F44" i="24"/>
  <c r="F43" i="24"/>
  <c r="F42" i="24"/>
  <c r="G9" i="13" s="1"/>
  <c r="F41" i="24"/>
  <c r="F40" i="24"/>
  <c r="F39" i="24"/>
  <c r="F38" i="24"/>
  <c r="F37" i="24"/>
  <c r="F36" i="24"/>
  <c r="F35" i="24"/>
  <c r="M7" i="13" s="1"/>
  <c r="F34" i="24"/>
  <c r="F33" i="24"/>
  <c r="F32" i="24"/>
  <c r="F31" i="24"/>
  <c r="F30" i="24"/>
  <c r="F29" i="24"/>
  <c r="F28" i="24"/>
  <c r="F27" i="24"/>
  <c r="F26" i="24"/>
  <c r="F25" i="24"/>
  <c r="F24" i="24"/>
  <c r="F23" i="24"/>
  <c r="F22" i="24"/>
  <c r="F21" i="24"/>
  <c r="F20" i="24"/>
  <c r="F19" i="24"/>
  <c r="F18" i="24"/>
  <c r="F5" i="24"/>
  <c r="F10" i="24"/>
  <c r="F8" i="24"/>
  <c r="F7" i="24"/>
  <c r="F6" i="24"/>
  <c r="F3" i="24"/>
  <c r="F2" i="24"/>
  <c r="G7" i="13" l="1"/>
  <c r="G6" i="13"/>
  <c r="M6" i="13"/>
  <c r="M17" i="13" s="1"/>
  <c r="M19" i="13" s="1"/>
  <c r="C8" i="14"/>
  <c r="R34" i="28" s="1"/>
  <c r="J15" i="28" l="1"/>
  <c r="K15" i="28"/>
  <c r="G35" i="7"/>
  <c r="H6" i="13" l="1"/>
  <c r="H7" i="13"/>
  <c r="H8" i="13"/>
  <c r="H9" i="13"/>
  <c r="H10" i="13"/>
  <c r="H11" i="13"/>
  <c r="H13" i="13"/>
  <c r="H14" i="13"/>
  <c r="D43" i="14" l="1"/>
  <c r="E5" i="36" s="1"/>
  <c r="D23" i="14"/>
  <c r="G11" i="5" l="1"/>
  <c r="H7" i="5"/>
  <c r="I11" i="13" l="1"/>
  <c r="I13" i="13"/>
  <c r="I14" i="13"/>
  <c r="E10" i="28" l="1"/>
  <c r="E11" i="28"/>
  <c r="E12" i="28"/>
  <c r="E13" i="28"/>
  <c r="E7" i="28" l="1"/>
  <c r="E8" i="28"/>
  <c r="E9" i="28"/>
  <c r="A13" i="28"/>
  <c r="A12" i="28"/>
  <c r="A11" i="28"/>
  <c r="A10" i="28"/>
  <c r="A9" i="28"/>
  <c r="A8" i="28"/>
  <c r="G21" i="28"/>
  <c r="F21" i="28"/>
  <c r="A21" i="28"/>
  <c r="E21" i="28"/>
  <c r="A7" i="28"/>
  <c r="G19" i="28"/>
  <c r="F19" i="28"/>
  <c r="A19" i="28"/>
  <c r="E19" i="28"/>
  <c r="J19" i="28"/>
  <c r="J9" i="13"/>
  <c r="J10" i="13"/>
  <c r="J11" i="13"/>
  <c r="J13" i="13"/>
  <c r="J14" i="13"/>
  <c r="C7" i="14"/>
  <c r="C5" i="14"/>
  <c r="N25" i="14" s="1"/>
  <c r="C6" i="14"/>
  <c r="AC34" i="28" l="1"/>
  <c r="D69" i="14"/>
  <c r="D87" i="14"/>
  <c r="AG9" i="28"/>
  <c r="Y9" i="28"/>
  <c r="AE9" i="28"/>
  <c r="AA34" i="28"/>
  <c r="Y45" i="28"/>
  <c r="Y34" i="28"/>
  <c r="AA5" i="28"/>
  <c r="V5" i="28"/>
  <c r="Y32" i="28"/>
  <c r="AA30" i="28"/>
  <c r="AB17" i="28"/>
  <c r="AJ28" i="28"/>
  <c r="Z40" i="28"/>
  <c r="X17" i="28"/>
  <c r="C4" i="13"/>
  <c r="D82" i="14" s="1"/>
  <c r="AJ27" i="28"/>
  <c r="AA32" i="28"/>
  <c r="Z17" i="28"/>
  <c r="W9" i="28"/>
  <c r="Y30" i="28"/>
  <c r="X40" i="28"/>
  <c r="AA45" i="28"/>
  <c r="O25" i="14"/>
  <c r="L25" i="14"/>
  <c r="D103" i="14"/>
  <c r="D89" i="14"/>
  <c r="D88" i="14"/>
  <c r="D66" i="14"/>
  <c r="D65" i="14"/>
  <c r="D96" i="14"/>
  <c r="D94" i="14"/>
  <c r="D95" i="14"/>
  <c r="D93" i="14"/>
  <c r="D91" i="14"/>
  <c r="D85" i="14"/>
  <c r="D86" i="14"/>
  <c r="D90" i="14"/>
  <c r="D78" i="14"/>
  <c r="D53" i="14"/>
  <c r="D45" i="14"/>
  <c r="D52" i="14"/>
  <c r="T5" i="36" s="1"/>
  <c r="D68" i="14"/>
  <c r="D73" i="14"/>
  <c r="D64" i="14"/>
  <c r="D75" i="14"/>
  <c r="D74" i="14"/>
  <c r="D70" i="14"/>
  <c r="R29" i="28"/>
  <c r="D72" i="14"/>
  <c r="D34" i="14"/>
  <c r="AB5" i="36" s="1"/>
  <c r="L14" i="13"/>
  <c r="L13" i="13"/>
  <c r="K13" i="13"/>
  <c r="K11" i="13"/>
  <c r="L11" i="13"/>
  <c r="R33" i="28"/>
  <c r="D40" i="14"/>
  <c r="B5" i="36" s="1"/>
  <c r="D49" i="14"/>
  <c r="N5" i="36" s="1"/>
  <c r="D47" i="14"/>
  <c r="D55" i="14"/>
  <c r="D42" i="14"/>
  <c r="D5" i="36" s="1"/>
  <c r="D80" i="14"/>
  <c r="D84" i="14"/>
  <c r="D83" i="14"/>
  <c r="D99" i="14"/>
  <c r="D100" i="14"/>
  <c r="D102" i="14"/>
  <c r="D101" i="14"/>
  <c r="G20" i="28"/>
  <c r="G6" i="16"/>
  <c r="D24" i="14"/>
  <c r="D22" i="14"/>
  <c r="E6" i="28"/>
  <c r="D21" i="14"/>
  <c r="D18" i="14"/>
  <c r="D76" i="14"/>
  <c r="D77" i="14"/>
  <c r="D79" i="14"/>
  <c r="J6" i="13"/>
  <c r="J7" i="13"/>
  <c r="J8" i="13"/>
  <c r="J5" i="13"/>
  <c r="I9" i="13"/>
  <c r="I10" i="13"/>
  <c r="K5" i="36" l="1"/>
  <c r="U21" i="28"/>
  <c r="L5" i="36"/>
  <c r="P5" i="36"/>
  <c r="H13" i="16"/>
  <c r="I27" i="28" s="1"/>
  <c r="H17" i="16"/>
  <c r="I31" i="28" s="1"/>
  <c r="H14" i="16"/>
  <c r="I28" i="28" s="1"/>
  <c r="H10" i="16"/>
  <c r="I24" i="28" s="1"/>
  <c r="H18" i="16"/>
  <c r="I32" i="28" s="1"/>
  <c r="H12" i="16"/>
  <c r="I26" i="28" s="1"/>
  <c r="H11" i="16"/>
  <c r="I25" i="28" s="1"/>
  <c r="H15" i="16"/>
  <c r="I29" i="28" s="1"/>
  <c r="H16" i="16"/>
  <c r="I30" i="28" s="1"/>
  <c r="W5" i="36"/>
  <c r="Y5" i="36"/>
  <c r="G4" i="7"/>
  <c r="C4" i="7"/>
  <c r="K4" i="7"/>
  <c r="H8" i="16"/>
  <c r="I22" i="28" s="1"/>
  <c r="H7" i="16"/>
  <c r="I21" i="28" s="1"/>
  <c r="H9" i="16"/>
  <c r="I23" i="28" s="1"/>
  <c r="I8" i="13"/>
  <c r="I7" i="13"/>
  <c r="H5" i="13"/>
  <c r="I5" i="13" s="1"/>
  <c r="I6" i="13"/>
  <c r="C15" i="13"/>
  <c r="C16" i="13"/>
  <c r="C82" i="14" l="1"/>
  <c r="C84" i="14" s="1"/>
  <c r="C88" i="14" s="1"/>
  <c r="C89" i="14" s="1"/>
  <c r="U5" i="28" s="1"/>
  <c r="Z23" i="28"/>
  <c r="F15" i="13"/>
  <c r="I16" i="13"/>
  <c r="I15" i="13"/>
  <c r="N26" i="14" l="1"/>
  <c r="L26" i="14" s="1"/>
  <c r="C83" i="14"/>
  <c r="C96" i="14" s="1"/>
  <c r="C97" i="14" s="1"/>
  <c r="C98" i="14" s="1"/>
  <c r="X10" i="28"/>
  <c r="E88" i="14"/>
  <c r="E84" i="14"/>
  <c r="I8" i="16"/>
  <c r="I9" i="16"/>
  <c r="I7" i="16"/>
  <c r="C15" i="5"/>
  <c r="D5" i="5"/>
  <c r="C13" i="5"/>
  <c r="C11" i="5"/>
  <c r="C9" i="5"/>
  <c r="C3" i="5"/>
  <c r="C5" i="5"/>
  <c r="D3" i="5"/>
  <c r="D5" i="8"/>
  <c r="C14" i="8"/>
  <c r="E14" i="8"/>
  <c r="G14" i="8"/>
  <c r="P5" i="7"/>
  <c r="P6" i="7"/>
  <c r="P7" i="7"/>
  <c r="P8" i="7"/>
  <c r="P9" i="7"/>
  <c r="P10" i="7"/>
  <c r="P11" i="7"/>
  <c r="P12" i="7"/>
  <c r="P13" i="7"/>
  <c r="P14" i="7"/>
  <c r="P15" i="7"/>
  <c r="E83" i="14" l="1"/>
  <c r="O24" i="14"/>
  <c r="O26" i="14" s="1"/>
  <c r="L27" i="14"/>
  <c r="N27" i="14" s="1"/>
  <c r="E89" i="14"/>
  <c r="E96" i="14"/>
  <c r="E76" i="14"/>
  <c r="B5" i="7"/>
  <c r="B13" i="7" s="1"/>
  <c r="L10" i="13"/>
  <c r="L9" i="13"/>
  <c r="L8" i="13"/>
  <c r="L7" i="13"/>
  <c r="L5" i="13"/>
  <c r="L6" i="13"/>
  <c r="C17" i="13"/>
  <c r="E77" i="14"/>
  <c r="O27" i="14" l="1"/>
  <c r="D13" i="13"/>
  <c r="F15" i="28" s="1"/>
  <c r="D12" i="13"/>
  <c r="F14" i="28" s="1"/>
  <c r="W11" i="28"/>
  <c r="L28" i="14"/>
  <c r="D14" i="13"/>
  <c r="F16" i="28" s="1"/>
  <c r="D11" i="13"/>
  <c r="F13" i="28" s="1"/>
  <c r="E79" i="14"/>
  <c r="B7" i="7"/>
  <c r="B8" i="7" s="1"/>
  <c r="B9" i="7"/>
  <c r="B6" i="7"/>
  <c r="B17" i="7"/>
  <c r="B19" i="7" s="1"/>
  <c r="B20" i="7" s="1"/>
  <c r="B15" i="7"/>
  <c r="B16" i="7" s="1"/>
  <c r="B14" i="7"/>
  <c r="L16" i="13"/>
  <c r="D9" i="13"/>
  <c r="F11" i="28" s="1"/>
  <c r="D10" i="13"/>
  <c r="F12" i="28" s="1"/>
  <c r="D8" i="13"/>
  <c r="F10" i="28" s="1"/>
  <c r="D7" i="13"/>
  <c r="D6" i="13"/>
  <c r="D5" i="13"/>
  <c r="W12" i="28" l="1"/>
  <c r="N28" i="14"/>
  <c r="L29" i="14"/>
  <c r="K14" i="13"/>
  <c r="B18" i="7"/>
  <c r="B10" i="7"/>
  <c r="B11" i="7"/>
  <c r="B12" i="7" s="1"/>
  <c r="E80" i="14"/>
  <c r="D16" i="13"/>
  <c r="K6" i="13"/>
  <c r="K10" i="13"/>
  <c r="K5" i="13"/>
  <c r="K7" i="13"/>
  <c r="K8" i="13"/>
  <c r="K9" i="13"/>
  <c r="F8" i="28"/>
  <c r="F9" i="28"/>
  <c r="F7" i="28"/>
  <c r="L15" i="13"/>
  <c r="L17" i="13"/>
  <c r="D15" i="13"/>
  <c r="O28" i="14" l="1"/>
  <c r="W13" i="28"/>
  <c r="N29" i="14"/>
  <c r="L30" i="14"/>
  <c r="X43" i="28"/>
  <c r="X44" i="28" s="1"/>
  <c r="L21" i="13"/>
  <c r="J9" i="28"/>
  <c r="K20" i="13"/>
  <c r="K16" i="13"/>
  <c r="K19" i="13"/>
  <c r="I17" i="13"/>
  <c r="K7" i="28" s="1"/>
  <c r="D17" i="13"/>
  <c r="O29" i="14" l="1"/>
  <c r="W14" i="28"/>
  <c r="N30" i="14"/>
  <c r="N31" i="14" s="1"/>
  <c r="J8" i="28"/>
  <c r="J7" i="28" s="1"/>
  <c r="X36" i="28"/>
  <c r="X37" i="28" s="1"/>
  <c r="X24" i="28"/>
  <c r="AI25" i="28" s="1"/>
  <c r="AI27" i="28" s="1"/>
  <c r="K17" i="13"/>
  <c r="K15" i="13"/>
  <c r="Z26" i="28" s="1"/>
  <c r="K21" i="13"/>
  <c r="O30" i="14" l="1"/>
  <c r="D8" i="32"/>
  <c r="D8" i="33"/>
  <c r="C93" i="14"/>
  <c r="C90" i="14"/>
  <c r="C94" i="14"/>
  <c r="E8" i="33" s="1"/>
  <c r="X25" i="28"/>
  <c r="Z27" i="28"/>
  <c r="K6" i="28" s="1"/>
  <c r="N34" i="14"/>
  <c r="X18" i="28" s="1"/>
  <c r="J14" i="28"/>
  <c r="K17" i="28"/>
  <c r="J10" i="16"/>
  <c r="K10" i="16" s="1"/>
  <c r="J12" i="16"/>
  <c r="K12" i="16" s="1"/>
  <c r="J14" i="16"/>
  <c r="K14" i="16" s="1"/>
  <c r="J16" i="16"/>
  <c r="K16" i="16" s="1"/>
  <c r="J18" i="16"/>
  <c r="K18" i="16" s="1"/>
  <c r="J11" i="16"/>
  <c r="K11" i="16" s="1"/>
  <c r="J15" i="16"/>
  <c r="K15" i="16" s="1"/>
  <c r="J13" i="16"/>
  <c r="K13" i="16" s="1"/>
  <c r="J17" i="16"/>
  <c r="K17" i="16" s="1"/>
  <c r="C99" i="14"/>
  <c r="J7" i="16"/>
  <c r="K7" i="16" s="1"/>
  <c r="J8" i="16"/>
  <c r="K8" i="16" s="1"/>
  <c r="J9" i="16"/>
  <c r="K9" i="16" s="1"/>
  <c r="AI28" i="28" l="1"/>
  <c r="E99" i="14"/>
  <c r="E8" i="32"/>
  <c r="K19" i="16"/>
  <c r="K13" i="28" l="1"/>
  <c r="K16" i="28" s="1"/>
  <c r="J13" i="28"/>
  <c r="J16" i="28" s="1"/>
  <c r="AE30" i="28"/>
  <c r="C91" i="14"/>
  <c r="C95" i="14" s="1"/>
  <c r="M12" i="14"/>
  <c r="C100" i="14"/>
  <c r="C101" i="14" s="1"/>
  <c r="E46" i="32"/>
  <c r="D46" i="32"/>
  <c r="C102" i="14" l="1"/>
  <c r="F46" i="32"/>
  <c r="C103" i="14" l="1"/>
  <c r="X21" i="28"/>
  <c r="E9" i="33" l="1"/>
  <c r="E27" i="33" l="1"/>
  <c r="D39" i="32"/>
  <c r="E25" i="32" l="1"/>
  <c r="F39" i="32"/>
  <c r="E39" i="32"/>
  <c r="D47" i="33"/>
  <c r="R21" i="28" s="1"/>
  <c r="G51" i="32"/>
  <c r="F47" i="33"/>
  <c r="R23" i="28" s="1"/>
  <c r="F40" i="33"/>
  <c r="D40" i="33"/>
  <c r="R18" i="28" s="1"/>
  <c r="F51" i="32"/>
  <c r="H51" i="32"/>
  <c r="D51" i="32"/>
  <c r="E51" i="32"/>
  <c r="D32" i="32"/>
  <c r="E40" i="33"/>
  <c r="E47" i="33"/>
  <c r="R22" i="28" s="1"/>
  <c r="D9" i="33"/>
  <c r="R19" i="28" l="1"/>
  <c r="R20" i="28"/>
  <c r="E52" i="32"/>
  <c r="I51" i="32"/>
  <c r="F52" i="32"/>
  <c r="H52" i="32"/>
  <c r="G52" i="32"/>
  <c r="D52" i="32"/>
  <c r="E32" i="32"/>
  <c r="F32" i="32" s="1"/>
  <c r="E52" i="33"/>
  <c r="E53" i="33" s="1"/>
  <c r="E28" i="33"/>
  <c r="F52" i="33"/>
  <c r="G52" i="33"/>
  <c r="G53" i="33" s="1"/>
  <c r="D52" i="33"/>
  <c r="D53" i="33" s="1"/>
  <c r="H52" i="33"/>
  <c r="H53" i="33" s="1"/>
  <c r="F53" i="33"/>
  <c r="D33" i="33"/>
  <c r="R8" i="28" l="1"/>
  <c r="R11" i="28"/>
  <c r="R12" i="28"/>
  <c r="R10" i="28"/>
  <c r="R9" i="28"/>
  <c r="I52" i="32"/>
  <c r="I52" i="33"/>
  <c r="E33" i="33"/>
  <c r="F33" i="33" s="1"/>
  <c r="AB10" i="28" s="1"/>
  <c r="I53" i="33"/>
  <c r="I54" i="33" s="1"/>
  <c r="R14" i="28" l="1"/>
  <c r="I53" i="32"/>
  <c r="E90" i="14" l="1"/>
  <c r="E91" i="14"/>
  <c r="C19" i="13" l="1"/>
  <c r="E95" i="14"/>
  <c r="X19" i="28" l="1"/>
  <c r="E93" i="14"/>
  <c r="E94" i="14"/>
  <c r="E100" i="14" l="1"/>
  <c r="E101" i="14" l="1"/>
  <c r="X20" i="28"/>
  <c r="E102" i="14" l="1"/>
  <c r="E103" i="14"/>
  <c r="P30" i="14"/>
  <c r="P29" i="14"/>
  <c r="P28" i="14"/>
  <c r="P27" i="14"/>
  <c r="W10" i="28"/>
  <c r="P2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<sst xmlns="http://schemas.openxmlformats.org/spreadsheetml/2006/main" count="4840" uniqueCount="2456">
  <si>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</si>
  <si>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</si>
  <si>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</si>
  <si>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</si>
  <si>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</si>
  <si>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</si>
  <si>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</si>
  <si>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</si>
  <si>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</si>
  <si>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</si>
  <si>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</si>
  <si>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</si>
  <si>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</si>
  <si>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</si>
  <si>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</si>
  <si>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</si>
  <si>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</si>
  <si>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</si>
  <si>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</si>
  <si>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</si>
  <si>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</si>
  <si>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</si>
  <si>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</si>
  <si>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</si>
  <si>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</si>
  <si>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</si>
  <si>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</si>
  <si>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</si>
  <si>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</si>
  <si>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</si>
  <si>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</si>
  <si>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</si>
  <si>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</si>
  <si>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</si>
  <si>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</si>
  <si>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</si>
  <si>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</si>
  <si>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</si>
  <si>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</si>
  <si>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</si>
  <si>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</si>
  <si>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</si>
  <si>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</si>
  <si>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</si>
  <si>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</si>
  <si>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</si>
  <si>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</si>
  <si>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</si>
  <si>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</si>
  <si>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</si>
  <si>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</si>
  <si>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</si>
  <si>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</si>
  <si>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</si>
  <si>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</si>
  <si>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</si>
  <si>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</si>
  <si>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</si>
  <si>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</si>
  <si>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</si>
  <si>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</si>
  <si>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</si>
  <si>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</si>
  <si>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</si>
  <si>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</si>
  <si>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</si>
  <si>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</si>
  <si>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</si>
  <si>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</si>
  <si>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</si>
  <si>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</si>
  <si>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</si>
  <si>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</si>
  <si>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</si>
  <si>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</si>
  <si>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</si>
  <si>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</si>
  <si>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</si>
  <si>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</si>
  <si>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</si>
  <si>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</si>
  <si>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</si>
  <si>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</si>
  <si>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</si>
  <si>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</si>
  <si>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</si>
  <si>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</si>
  <si>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</si>
  <si>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</si>
  <si>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</si>
  <si>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</si>
  <si>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</si>
  <si>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</si>
  <si>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</si>
  <si>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</si>
  <si>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</si>
  <si>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</si>
  <si>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</si>
  <si>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</si>
  <si>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</si>
  <si>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</si>
  <si>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Value</t>
  </si>
  <si>
    <t>%</t>
  </si>
  <si>
    <t>Evaporation Loss</t>
  </si>
  <si>
    <t>Adjustment Factors:</t>
  </si>
  <si>
    <t>Pellet:</t>
  </si>
  <si>
    <t>Plug:</t>
  </si>
  <si>
    <t>Leaf:</t>
  </si>
  <si>
    <t>Optimize # steps</t>
  </si>
  <si>
    <t>Brewer:</t>
  </si>
  <si>
    <t>Brew Date:</t>
  </si>
  <si>
    <t>Hop Bill &amp; Schedule</t>
  </si>
  <si>
    <t>FWH:</t>
  </si>
  <si>
    <t>Name</t>
  </si>
  <si>
    <t>Other Ingredients/Additions</t>
  </si>
  <si>
    <t>ABV:</t>
  </si>
  <si>
    <t>Grain Bill, Adjunct, &amp; Extract Yield Calculations</t>
  </si>
  <si>
    <t>Total Combined</t>
  </si>
  <si>
    <t>Mash S.G. Contribution</t>
  </si>
  <si>
    <t>Actual</t>
  </si>
  <si>
    <t>Total S.G.</t>
  </si>
  <si>
    <t>° Brix</t>
  </si>
  <si>
    <t>PayPal Donation for BEER-N-BBQ by Larry</t>
  </si>
  <si>
    <t xml:space="preserve">Amount </t>
  </si>
  <si>
    <t>Qty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</si>
  <si>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</si>
  <si>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</si>
  <si>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</si>
  <si>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</si>
  <si>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</si>
  <si>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</si>
  <si>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</si>
  <si>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</si>
  <si>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</si>
  <si>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</si>
  <si>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</si>
  <si>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</si>
  <si>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</si>
  <si>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</si>
  <si>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</si>
  <si>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</si>
  <si>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</si>
  <si>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</si>
  <si>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</si>
  <si>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</si>
  <si>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</si>
  <si>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</si>
  <si>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</si>
  <si>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</si>
  <si>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</si>
  <si>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</si>
  <si>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</si>
  <si>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</si>
  <si>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</si>
  <si>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</si>
  <si>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</si>
  <si>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</si>
  <si>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</si>
  <si>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</si>
  <si>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</si>
  <si>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</si>
  <si>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</si>
  <si>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</si>
  <si>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</si>
  <si>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</si>
  <si>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</si>
  <si>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</si>
  <si>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</si>
  <si>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</si>
  <si>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</si>
  <si>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</si>
  <si>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</si>
  <si>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</si>
  <si>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</si>
  <si>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</si>
  <si>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</si>
  <si>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</si>
  <si>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</si>
  <si>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</si>
  <si>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</si>
  <si>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</si>
  <si>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</si>
  <si>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</si>
  <si>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</si>
  <si>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</si>
  <si>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</si>
  <si>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</si>
  <si>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</si>
  <si>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</si>
  <si>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</si>
  <si>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</si>
  <si>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</si>
  <si>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</si>
  <si>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</si>
  <si>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</si>
  <si>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</si>
  <si>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</si>
  <si>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</si>
  <si>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</si>
  <si>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</si>
  <si>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</si>
  <si>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</si>
  <si>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</si>
  <si>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</si>
  <si>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</si>
  <si>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</si>
  <si>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</si>
  <si>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</si>
  <si>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</si>
  <si>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</si>
  <si>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</si>
  <si>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</si>
  <si>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</si>
  <si>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</si>
  <si>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</si>
  <si>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</si>
  <si>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</si>
  <si>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</si>
  <si>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</si>
  <si>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</si>
  <si>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</si>
  <si>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</si>
  <si>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</si>
  <si>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</si>
  <si>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</si>
  <si>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</si>
  <si>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</si>
  <si>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</si>
  <si>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</si>
  <si>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</si>
  <si>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</si>
  <si>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</si>
  <si>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</si>
  <si>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</si>
  <si>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</si>
  <si>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</si>
  <si>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</si>
  <si>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</si>
  <si>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</si>
  <si>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</si>
  <si>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</si>
  <si>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</si>
  <si>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</si>
  <si>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</si>
  <si>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</si>
  <si>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</si>
  <si>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</si>
  <si>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</si>
  <si>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</si>
  <si>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</si>
  <si>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</si>
  <si>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</si>
  <si>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</si>
  <si>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</si>
  <si>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</si>
  <si>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</si>
  <si>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</si>
  <si>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</si>
  <si>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</si>
  <si>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</si>
  <si>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</si>
  <si>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</si>
  <si>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</si>
  <si>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</si>
  <si>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</si>
  <si>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</si>
  <si>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</si>
  <si>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</si>
  <si>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</si>
  <si>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</si>
  <si>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</si>
  <si>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</si>
  <si>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</si>
  <si>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</si>
  <si>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</si>
  <si>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</si>
  <si>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</si>
  <si>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</si>
  <si>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</si>
  <si>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</si>
  <si>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</si>
  <si>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</si>
  <si>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</si>
  <si>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</si>
  <si>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</si>
  <si>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</si>
  <si>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</si>
  <si>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</si>
  <si>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</si>
  <si>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</si>
  <si>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</si>
  <si>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</si>
  <si>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</si>
  <si>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</si>
  <si>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</si>
  <si>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</si>
  <si>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</si>
  <si>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</si>
  <si>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</si>
  <si>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</si>
  <si>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</si>
  <si>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</si>
  <si>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</si>
  <si>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</si>
  <si>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</si>
  <si>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</si>
  <si>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</si>
  <si>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</si>
  <si>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</si>
  <si>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</si>
  <si>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</si>
  <si>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</si>
  <si>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</si>
  <si>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</si>
  <si>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</si>
  <si>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</si>
  <si>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</si>
  <si>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</si>
  <si>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</si>
  <si>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</si>
  <si>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</si>
  <si>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</si>
  <si>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</si>
  <si>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</si>
  <si>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</si>
  <si>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</si>
  <si>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</si>
  <si>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</si>
  <si>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</si>
  <si>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</si>
  <si>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</si>
  <si>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</si>
  <si>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</si>
  <si>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</si>
  <si>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</si>
  <si>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</si>
  <si>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</si>
  <si>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</si>
  <si>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</si>
  <si>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</si>
  <si>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</si>
  <si>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</si>
  <si>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</si>
  <si>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</si>
  <si>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</si>
  <si>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</si>
  <si>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</si>
  <si>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</si>
  <si>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</si>
  <si>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</si>
  <si>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</si>
  <si>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</si>
  <si>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</si>
  <si>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</si>
  <si>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</si>
  <si>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</si>
  <si>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</si>
  <si>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</si>
  <si>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</si>
  <si>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</si>
  <si>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</si>
  <si>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</si>
  <si>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</si>
  <si>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</si>
  <si>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</si>
  <si>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</si>
  <si>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</si>
  <si>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</si>
  <si>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</si>
  <si>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</si>
  <si>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</si>
  <si>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</si>
  <si>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</si>
  <si>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</si>
  <si>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</si>
  <si>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</si>
  <si>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</si>
  <si>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</si>
  <si>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</si>
  <si>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</si>
  <si>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</si>
  <si>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</si>
  <si>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</si>
  <si>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</si>
  <si>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</si>
  <si>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</si>
  <si>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</si>
  <si>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</si>
  <si>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</si>
  <si>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</si>
  <si>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</si>
  <si>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</si>
  <si>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</si>
  <si>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</si>
  <si>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</si>
  <si>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</si>
  <si>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</si>
  <si>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</si>
  <si>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</si>
  <si>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</si>
  <si>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</si>
  <si>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</si>
  <si>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</si>
  <si>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</si>
  <si>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</si>
  <si>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</si>
  <si>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</si>
  <si>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</si>
  <si>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</si>
  <si>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</si>
  <si>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</si>
  <si>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</si>
  <si>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</si>
  <si>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</si>
  <si>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</si>
  <si>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</si>
  <si>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</si>
  <si>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</si>
  <si>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</si>
  <si>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</si>
  <si>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</si>
  <si>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</si>
  <si>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</si>
  <si>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</si>
  <si>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</si>
  <si>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</si>
  <si>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</si>
  <si>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</si>
  <si>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</si>
  <si>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</si>
  <si>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</si>
  <si>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</si>
  <si>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</si>
  <si>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</si>
  <si>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</si>
  <si>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</si>
  <si>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</si>
  <si>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</si>
  <si>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</si>
  <si>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</si>
  <si>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</si>
  <si>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</si>
  <si>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</si>
  <si>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</si>
  <si>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</si>
  <si>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</si>
  <si>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</si>
  <si>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</si>
  <si>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</si>
  <si>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</si>
  <si>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</si>
  <si>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</si>
  <si>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</si>
  <si>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</si>
  <si>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</si>
  <si>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</si>
  <si>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</si>
  <si>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</si>
  <si>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</si>
  <si>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</si>
  <si>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</si>
  <si>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</si>
  <si>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</si>
  <si>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</si>
  <si>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</si>
  <si>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</si>
  <si>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</si>
  <si>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</si>
  <si>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</si>
  <si>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</si>
  <si>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</si>
  <si>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</si>
  <si>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</si>
  <si>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</si>
  <si>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</si>
  <si>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</si>
  <si>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</si>
  <si>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</si>
  <si>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</si>
  <si>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</si>
  <si>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</si>
  <si>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</si>
  <si>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</si>
  <si>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</si>
  <si>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</si>
  <si>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</si>
  <si>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</si>
  <si>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</si>
  <si>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</si>
  <si>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</si>
  <si>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</si>
  <si>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</si>
  <si>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</si>
  <si>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</si>
  <si>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</si>
  <si>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</si>
  <si>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</si>
  <si>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</si>
  <si>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</si>
  <si>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</si>
  <si>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</si>
  <si>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</si>
  <si>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</si>
  <si>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</si>
  <si>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</si>
  <si>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</si>
  <si>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</si>
  <si>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</si>
  <si>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</si>
  <si>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</si>
  <si>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</si>
  <si>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</si>
  <si>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</si>
  <si>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</si>
  <si>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</si>
  <si>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</si>
  <si>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</si>
  <si>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</si>
  <si>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</si>
  <si>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</si>
  <si>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</si>
  <si>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</si>
  <si>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</si>
  <si>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</si>
  <si>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</si>
  <si>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</si>
  <si>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</si>
  <si>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</si>
  <si>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</si>
  <si>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</si>
  <si>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</si>
  <si>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</si>
  <si>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</si>
  <si>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</si>
  <si>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</si>
  <si>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</si>
  <si>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</si>
  <si>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</si>
  <si>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</si>
  <si>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</si>
  <si>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</si>
  <si>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</si>
  <si>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</si>
  <si>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</si>
  <si>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</si>
  <si>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</si>
  <si>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</si>
  <si>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</si>
  <si>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</si>
  <si>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</si>
  <si>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</si>
  <si>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</si>
  <si>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</si>
  <si>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</si>
  <si>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</si>
  <si>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</si>
  <si>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</si>
  <si>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</si>
  <si>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</si>
  <si>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</si>
  <si>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</si>
  <si>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</si>
  <si>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</si>
  <si>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</si>
  <si>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</si>
  <si>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</si>
  <si>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</si>
  <si>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</si>
  <si>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</si>
  <si>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</si>
  <si>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</si>
  <si>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</si>
  <si>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</si>
  <si>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</si>
  <si>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</si>
  <si>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</si>
  <si>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</si>
  <si>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</si>
  <si>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</si>
  <si>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</si>
  <si>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</si>
  <si>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</si>
  <si>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</si>
  <si>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</si>
  <si>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</si>
  <si>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</si>
  <si>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</si>
  <si>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</si>
  <si>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</si>
  <si>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</si>
  <si>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</si>
  <si>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</si>
  <si>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67-73%</t>
  </si>
  <si>
    <t>Brittish style, slightly fruity with a hint of sulfur.</t>
  </si>
  <si>
    <t>Full-bodied, fruity English ale.</t>
  </si>
  <si>
    <t>1A. American Light Lager</t>
  </si>
  <si>
    <t>1B. American Lager</t>
  </si>
  <si>
    <t>1C. Cream Ale</t>
  </si>
  <si>
    <t>1D. American Wheat Beer</t>
  </si>
  <si>
    <t>2A. International Pale Lager</t>
  </si>
  <si>
    <t>2B. International Amber Lager</t>
  </si>
  <si>
    <t>2C. International Dark Lager</t>
  </si>
  <si>
    <t>3A. Czech Pale Lager</t>
  </si>
  <si>
    <t>3B. Czech Premium Pale Lager</t>
  </si>
  <si>
    <t>3C. Czech Amber Lager</t>
  </si>
  <si>
    <t>3D. Czech Dark Lager</t>
  </si>
  <si>
    <t>4A. Munich Helles</t>
  </si>
  <si>
    <t>4B. Festbier</t>
  </si>
  <si>
    <t>4C. Helles Bock</t>
  </si>
  <si>
    <t>5A. German Leichtbier</t>
  </si>
  <si>
    <t>5B. Kölsch</t>
  </si>
  <si>
    <t>5C. German Helles Exportbier</t>
  </si>
  <si>
    <t>5D. German Pils</t>
  </si>
  <si>
    <t>7A. Vienna Lager</t>
  </si>
  <si>
    <t>7B. Altbier</t>
  </si>
  <si>
    <t>6A. Märzen</t>
  </si>
  <si>
    <t>6B. Rauchbier</t>
  </si>
  <si>
    <t>6C. Dunkles Bock</t>
  </si>
  <si>
    <t>8A. Munich Dunkel</t>
  </si>
  <si>
    <t>8B. Schwarzbier</t>
  </si>
  <si>
    <t>9A. Doppelbock</t>
  </si>
  <si>
    <t>9B. Eisbock</t>
  </si>
  <si>
    <t>9C. Baltic Porter</t>
  </si>
  <si>
    <t>10A. Weissbier</t>
  </si>
  <si>
    <t>10B. Dunkles Weissbier</t>
  </si>
  <si>
    <t>10C. Weizenbock</t>
  </si>
  <si>
    <t>11A. Ordinary Bitter</t>
  </si>
  <si>
    <t>11B. Best Bitter</t>
  </si>
  <si>
    <t>11C. Strong Bitter</t>
  </si>
  <si>
    <t>12A. British Golden Ale</t>
  </si>
  <si>
    <t>12B. Australian Sparkling Ale</t>
  </si>
  <si>
    <t>12C. English IPA</t>
  </si>
  <si>
    <t>13A. Dark Mild</t>
  </si>
  <si>
    <t>13B. British Brown Ale</t>
  </si>
  <si>
    <t>13C. English Porter</t>
  </si>
  <si>
    <t>14A. Scottish Light</t>
  </si>
  <si>
    <t>14B. Scottish Heavy</t>
  </si>
  <si>
    <t>14C. Scottish Export</t>
  </si>
  <si>
    <t>15A. Irish Red Ale</t>
  </si>
  <si>
    <t>15B. Irish Stout</t>
  </si>
  <si>
    <t>15C. Irish Extra Stout</t>
  </si>
  <si>
    <t>16A. Sweet Stout</t>
  </si>
  <si>
    <t>16B. Oatmeal Stout</t>
  </si>
  <si>
    <t>16C. Tropical Stout</t>
  </si>
  <si>
    <t>16D. Foreign Extra Stout</t>
  </si>
  <si>
    <t>17A. British Strong Ale</t>
  </si>
  <si>
    <t>17B. Old Ale</t>
  </si>
  <si>
    <t>17C. Wee Heavy</t>
  </si>
  <si>
    <t>17D. English Barleywine</t>
  </si>
  <si>
    <t>18A. Blonde Ale</t>
  </si>
  <si>
    <t>18B. American Pale Ale</t>
  </si>
  <si>
    <t>19A. American Amber Ale</t>
  </si>
  <si>
    <t>19B. California Common</t>
  </si>
  <si>
    <t>19C. American Brown Ale</t>
  </si>
  <si>
    <t>20A. American Porter</t>
  </si>
  <si>
    <t>20B. American Stout</t>
  </si>
  <si>
    <t>20C. Imperial Stout</t>
  </si>
  <si>
    <t>21A. American IPA</t>
  </si>
  <si>
    <t>21B. Specialty IPA: Belgian IPA</t>
  </si>
  <si>
    <t>21B. Specialty IPA: Black IPA</t>
  </si>
  <si>
    <t>21B. Specialty IPA: Brown IPA</t>
  </si>
  <si>
    <t>21B. Specialty IPA: Red IPA</t>
  </si>
  <si>
    <t>21B. Specialty IPA: Rye IPA</t>
  </si>
  <si>
    <t>21B. Specialty IPA: White IPA</t>
  </si>
  <si>
    <t>22A. Double IPA</t>
  </si>
  <si>
    <t>22B. American Strong Ale</t>
  </si>
  <si>
    <t>22C. American Barleywine</t>
  </si>
  <si>
    <t>22D. Wheatwine</t>
  </si>
  <si>
    <t>23A. Berliner Weisse</t>
  </si>
  <si>
    <t>23B. Flanders Red Ale</t>
  </si>
  <si>
    <t>23C. Oud Bruin</t>
  </si>
  <si>
    <t>23D. Lambic</t>
  </si>
  <si>
    <t>23E. Gueuze</t>
  </si>
  <si>
    <t>23F. Fruit Lambic</t>
  </si>
  <si>
    <t>24A. Witbier</t>
  </si>
  <si>
    <t>24B. Belgian Pale Ale</t>
  </si>
  <si>
    <t>24C. Bière de Garde</t>
  </si>
  <si>
    <t>25A. Belgian Blond Ale</t>
  </si>
  <si>
    <t>25B. Saison</t>
  </si>
  <si>
    <t>25C. Belgian Golden Strong Ale</t>
  </si>
  <si>
    <t>26A. Trappist Single</t>
  </si>
  <si>
    <t>26B. Belgian Dubbel</t>
  </si>
  <si>
    <t>26C. Belgian Tripel</t>
  </si>
  <si>
    <t>26D. Belgian Dark Strong Ale</t>
  </si>
  <si>
    <t>28A. Brett Beer</t>
  </si>
  <si>
    <t>28B. Mixed-Fermentation Sour Beer</t>
  </si>
  <si>
    <t>28C. Wild Specialty Beer</t>
  </si>
  <si>
    <t>29A. Fruit Beer</t>
  </si>
  <si>
    <t>29B. Fruit and Spice Beer</t>
  </si>
  <si>
    <t>29C. Specialty Fruit Beer</t>
  </si>
  <si>
    <t>30A. Spice, Herb, or Vegetable Beer</t>
  </si>
  <si>
    <t>30B. Autumn Seasonal Beer</t>
  </si>
  <si>
    <t>30C. Winter Seasonal Beer</t>
  </si>
  <si>
    <t>31A. Alternative Grain Beer</t>
  </si>
  <si>
    <t>31B. Alternative Sugar Beer</t>
  </si>
  <si>
    <t>32A. Classic Style Smoked Beer</t>
  </si>
  <si>
    <t>32B. Specialty Smoked Beer</t>
  </si>
  <si>
    <t>33A. Wood-Aged Beer</t>
  </si>
  <si>
    <t>33B. Specialty Wood-Aged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</si>
  <si>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</si>
  <si>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</si>
  <si>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</si>
  <si>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</si>
  <si>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</si>
  <si>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</si>
  <si>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</si>
  <si>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</si>
  <si>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</si>
  <si>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</si>
  <si>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</si>
  <si>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</si>
  <si>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</si>
  <si>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</si>
  <si>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</si>
  <si>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</si>
  <si>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</si>
  <si>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</si>
  <si>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</si>
  <si>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</si>
  <si>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</si>
  <si>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</si>
  <si>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</si>
  <si>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</si>
  <si>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</si>
  <si>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</si>
  <si>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</si>
  <si>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</si>
  <si>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</si>
  <si>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</si>
  <si>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</si>
  <si>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</si>
  <si>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</si>
  <si>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</si>
  <si>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</si>
  <si>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</si>
  <si>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</si>
  <si>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</si>
  <si>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</si>
  <si>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</si>
  <si>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</si>
  <si>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</si>
  <si>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</si>
  <si>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</si>
  <si>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</si>
  <si>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</si>
  <si>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</si>
  <si>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</si>
  <si>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</si>
  <si>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</si>
  <si>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</si>
  <si>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</si>
  <si>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</si>
  <si>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</si>
  <si>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</si>
  <si>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</si>
  <si>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</si>
  <si>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</si>
  <si>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</si>
  <si>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</si>
  <si>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</si>
  <si>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</si>
  <si>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</si>
  <si>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</si>
  <si>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</si>
  <si>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</si>
  <si>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</si>
  <si>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</si>
  <si>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</si>
  <si>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</si>
  <si>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</si>
  <si>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</si>
  <si>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</si>
  <si>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</si>
  <si>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</si>
  <si>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</si>
  <si>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</si>
  <si>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</si>
  <si>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</si>
  <si>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</si>
  <si>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</si>
  <si>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</si>
  <si>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</si>
  <si>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</si>
  <si>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</si>
  <si>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</si>
  <si>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</si>
  <si>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</si>
  <si>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</si>
  <si>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</si>
  <si>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</si>
  <si>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</si>
  <si>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</si>
  <si>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</si>
  <si>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</si>
  <si>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</si>
  <si>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</si>
  <si>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</si>
  <si>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</si>
  <si>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</si>
  <si>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</si>
  <si>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</si>
  <si>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</si>
  <si>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</si>
  <si>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</si>
  <si>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</si>
  <si>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</si>
  <si>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</si>
  <si>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</si>
  <si>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</si>
  <si>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</si>
  <si>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</si>
  <si>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</si>
  <si>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</si>
  <si>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</si>
  <si>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</si>
  <si>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</si>
  <si>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</si>
  <si>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</si>
  <si>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</si>
  <si>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</si>
  <si>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</si>
  <si>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</si>
  <si>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</si>
  <si>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</si>
  <si>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</si>
  <si>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</si>
  <si>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</si>
  <si>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</si>
  <si>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</si>
  <si>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</si>
  <si>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</si>
  <si>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</si>
  <si>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</si>
  <si>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</si>
  <si>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</si>
  <si>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</si>
  <si>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</si>
  <si>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</si>
  <si>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</si>
  <si>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</si>
  <si>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</si>
  <si>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</si>
  <si>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</si>
  <si>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</si>
  <si>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</si>
  <si>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</si>
  <si>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</si>
  <si>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</si>
  <si>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</si>
  <si>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</si>
  <si>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</si>
  <si>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</si>
  <si>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</si>
  <si>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</si>
  <si>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</si>
  <si>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</si>
  <si>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</si>
  <si>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</si>
  <si>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</si>
  <si>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</si>
  <si>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</si>
  <si>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</si>
  <si>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</si>
  <si>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</si>
  <si>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</si>
  <si>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</si>
  <si>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</si>
  <si>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</si>
  <si>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</si>
  <si>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</si>
  <si>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</si>
  <si>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</si>
  <si>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</si>
  <si>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</si>
  <si>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</si>
  <si>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</si>
  <si>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</si>
  <si>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</si>
  <si>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</si>
  <si>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</si>
  <si>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</si>
  <si>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</si>
  <si>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</si>
  <si>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</si>
  <si>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</si>
  <si>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</si>
  <si>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</si>
  <si>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</si>
  <si>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</si>
  <si>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</si>
  <si>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</si>
  <si>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</si>
  <si>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</si>
  <si>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</si>
  <si>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</si>
  <si>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</si>
  <si>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</si>
  <si>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</si>
  <si>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</si>
  <si>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</si>
  <si>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</si>
  <si>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</si>
  <si>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</si>
  <si>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</si>
  <si>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</si>
  <si>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</si>
  <si>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</si>
  <si>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</si>
  <si>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</si>
  <si>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</si>
  <si>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</si>
  <si>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</si>
  <si>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</si>
  <si>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</si>
  <si>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</si>
  <si>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</si>
  <si>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</si>
  <si>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</si>
  <si>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</si>
  <si>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</si>
  <si>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</si>
  <si>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</si>
  <si>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</si>
  <si>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</si>
  <si>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</si>
  <si>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</si>
  <si>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</si>
  <si>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</si>
  <si>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</si>
  <si>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</si>
  <si>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</si>
  <si>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</si>
  <si>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</si>
  <si>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</si>
  <si>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</si>
  <si>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</si>
  <si>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</si>
  <si>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</si>
  <si>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</si>
  <si>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</si>
  <si>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</si>
  <si>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</si>
  <si>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</si>
  <si>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</si>
  <si>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</si>
  <si>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</si>
  <si>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</si>
  <si>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</si>
  <si>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</si>
  <si>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</si>
  <si>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</si>
  <si>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</si>
  <si>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</si>
  <si>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</si>
  <si>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</si>
  <si>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</si>
  <si>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</si>
  <si>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</si>
  <si>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</si>
  <si>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</si>
  <si>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</si>
  <si>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</si>
  <si>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</si>
  <si>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</si>
  <si>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</si>
  <si>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</si>
  <si>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</si>
  <si>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</si>
  <si>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</si>
  <si>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</si>
  <si>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</si>
  <si>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</si>
  <si>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</si>
  <si>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</si>
  <si>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</si>
  <si>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</si>
  <si>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</si>
  <si>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</si>
  <si>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</si>
  <si>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</si>
  <si>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</si>
  <si>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</si>
  <si>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</si>
  <si>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</si>
  <si>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</si>
  <si>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</si>
  <si>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</si>
  <si>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</si>
  <si>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</si>
  <si>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</si>
  <si>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</si>
  <si>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</si>
  <si>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</si>
  <si>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</si>
  <si>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</si>
  <si>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</si>
  <si>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</si>
  <si>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</si>
  <si>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</si>
  <si>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</si>
  <si>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</si>
  <si>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</si>
  <si>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</si>
  <si>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</si>
  <si>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</si>
  <si>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</si>
  <si>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</si>
  <si>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</si>
  <si>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</si>
  <si>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</si>
  <si>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</si>
  <si>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</si>
  <si>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</si>
  <si>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</si>
  <si>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</si>
  <si>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</si>
  <si>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</si>
  <si>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</si>
  <si>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</si>
  <si>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</si>
  <si>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</si>
  <si>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</si>
  <si>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</si>
  <si>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</si>
  <si>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</si>
  <si>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</si>
  <si>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</si>
  <si>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</si>
  <si>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</si>
  <si>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</si>
  <si>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</si>
  <si>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</si>
  <si>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</si>
  <si>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</si>
  <si>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</si>
  <si>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</si>
  <si>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</si>
  <si>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</si>
  <si>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</si>
  <si>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</si>
  <si>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</si>
  <si>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</si>
  <si>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</si>
  <si>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</si>
  <si>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</si>
  <si>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</si>
  <si>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</si>
  <si>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</si>
  <si>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</si>
  <si>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</si>
  <si>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</si>
  <si>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</si>
  <si>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</si>
  <si>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</si>
  <si>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</si>
  <si>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</si>
  <si>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</si>
  <si>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</si>
  <si>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</si>
  <si>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</si>
  <si>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</si>
  <si>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</si>
  <si>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</si>
  <si>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</si>
  <si>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</si>
  <si>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</si>
  <si>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</si>
  <si>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</si>
  <si>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</si>
  <si>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</si>
  <si>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</si>
  <si>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</si>
  <si>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</si>
  <si>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</si>
  <si>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</si>
  <si>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</si>
  <si>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</si>
  <si>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</si>
  <si>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</si>
  <si>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</si>
  <si>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</si>
  <si>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</si>
  <si>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</si>
  <si>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</si>
  <si>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</si>
  <si>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</si>
  <si>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</si>
  <si>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</si>
  <si>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</si>
  <si>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</si>
  <si>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</si>
  <si>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</si>
  <si>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</si>
  <si>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</si>
  <si>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</si>
  <si>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Process Parameters</t>
  </si>
  <si>
    <t>Temperature</t>
  </si>
  <si>
    <t>Volume</t>
  </si>
  <si>
    <t>Mass (grain)</t>
  </si>
  <si>
    <t>Mass (hops)</t>
  </si>
  <si>
    <t>From Grain</t>
  </si>
  <si>
    <t>From Sugar</t>
  </si>
  <si>
    <t>Sugar S.G. Contribution</t>
  </si>
  <si>
    <t>IBUs:</t>
  </si>
  <si>
    <t>% of Bill</t>
  </si>
  <si>
    <t>PPG</t>
  </si>
  <si>
    <t>Max Th Yield for batch</t>
  </si>
  <si>
    <t>AAU</t>
  </si>
  <si>
    <t>Avg Atten</t>
  </si>
  <si>
    <t>Yeast Information</t>
  </si>
  <si>
    <t>min</t>
  </si>
  <si>
    <t>3. Rename the Excel file to the name of your recipe.</t>
  </si>
  <si>
    <t>Version History:</t>
  </si>
  <si>
    <t>&lt;2.0 Various updates not tracked.</t>
  </si>
  <si>
    <t>How To Use This Recipe Calculator Template</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</si>
  <si>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</si>
  <si>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</si>
  <si>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</si>
  <si>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</si>
  <si>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</si>
  <si>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</si>
  <si>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</si>
  <si>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</si>
  <si>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</si>
  <si>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</si>
  <si>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</si>
  <si>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</si>
  <si>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</si>
  <si>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</si>
  <si>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</si>
  <si>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</si>
  <si>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</si>
  <si>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</si>
  <si>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</si>
  <si>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</si>
  <si>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</si>
  <si>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</si>
  <si>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</si>
  <si>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</si>
  <si>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</si>
  <si>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</si>
  <si>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</si>
  <si>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</si>
  <si>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</si>
  <si>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</si>
  <si>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</si>
  <si>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</si>
  <si>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</si>
  <si>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</si>
  <si>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</si>
  <si>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</si>
  <si>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</si>
  <si>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</si>
  <si>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</si>
  <si>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</si>
  <si>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</si>
  <si>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</si>
  <si>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</si>
  <si>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</si>
  <si>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</si>
  <si>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</si>
  <si>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</si>
  <si>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</si>
  <si>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</si>
  <si>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</si>
  <si>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</si>
  <si>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</si>
  <si>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</si>
  <si>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</si>
  <si>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</si>
  <si>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</si>
  <si>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</si>
  <si>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</si>
  <si>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</si>
  <si>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</si>
  <si>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</si>
  <si>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</si>
  <si>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</si>
  <si>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</si>
  <si>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</si>
  <si>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</si>
  <si>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</si>
  <si>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</si>
  <si>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</si>
  <si>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</si>
  <si>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</si>
  <si>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</si>
  <si>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</si>
  <si>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</si>
  <si>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</si>
  <si>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</si>
  <si>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</si>
  <si>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</si>
  <si>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</si>
  <si>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</si>
  <si>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</si>
  <si>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</si>
  <si>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</si>
  <si>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</si>
  <si>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</si>
  <si>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</si>
  <si>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</si>
  <si>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</si>
  <si>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</si>
  <si>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</si>
  <si>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</si>
  <si>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</si>
  <si>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</si>
  <si>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</si>
  <si>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</si>
  <si>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</si>
  <si>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</si>
  <si>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</si>
  <si>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</si>
  <si>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</si>
  <si>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</si>
  <si>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</si>
  <si>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</si>
  <si>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</si>
  <si>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</si>
  <si>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Optimize water vol per step</t>
  </si>
  <si>
    <t>Capacity Checks</t>
  </si>
  <si>
    <t>Mash Tun</t>
  </si>
  <si>
    <t>Boil Kettle</t>
  </si>
  <si>
    <t>Inputs</t>
  </si>
  <si>
    <t>Equipment Parameters</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</si>
  <si>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</si>
  <si>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</si>
  <si>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</si>
  <si>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</si>
  <si>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</si>
  <si>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</si>
  <si>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</si>
  <si>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</si>
  <si>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</si>
  <si>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</si>
  <si>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</si>
  <si>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</si>
  <si>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</si>
  <si>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</si>
  <si>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</si>
  <si>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</si>
  <si>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</si>
  <si>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</si>
  <si>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</si>
  <si>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</si>
  <si>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</si>
  <si>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</si>
  <si>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</si>
  <si>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</si>
  <si>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</si>
  <si>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</si>
  <si>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</si>
  <si>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</si>
  <si>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</si>
  <si>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</si>
  <si>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</si>
  <si>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</si>
  <si>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</si>
  <si>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</si>
  <si>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</si>
  <si>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</si>
  <si>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</si>
  <si>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</si>
  <si>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</si>
  <si>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</si>
  <si>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</si>
  <si>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</si>
  <si>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</si>
  <si>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</si>
  <si>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</si>
  <si>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</si>
  <si>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</si>
  <si>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</si>
  <si>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</si>
  <si>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</si>
  <si>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</si>
  <si>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</si>
  <si>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</si>
  <si>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</si>
  <si>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</si>
  <si>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</si>
  <si>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</si>
  <si>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</si>
  <si>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</si>
  <si>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</si>
  <si>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</si>
  <si>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</si>
  <si>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</si>
  <si>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</si>
  <si>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</si>
  <si>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</si>
  <si>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</si>
  <si>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</si>
  <si>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</si>
  <si>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</si>
  <si>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</si>
  <si>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</si>
  <si>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</si>
  <si>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</si>
  <si>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</si>
  <si>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</si>
  <si>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</si>
  <si>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</si>
  <si>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</si>
  <si>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</si>
  <si>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</si>
  <si>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</si>
  <si>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</si>
  <si>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</si>
  <si>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</si>
  <si>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</si>
  <si>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</si>
  <si>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</si>
  <si>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</si>
  <si>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</si>
  <si>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</si>
  <si>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</si>
  <si>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</si>
  <si>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</si>
  <si>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</si>
  <si>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</si>
  <si>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</si>
  <si>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</si>
  <si>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</si>
  <si>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</si>
  <si>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</si>
  <si>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</si>
  <si>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</si>
  <si>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</si>
  <si>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</si>
  <si>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</si>
  <si>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</si>
  <si>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</si>
  <si>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</si>
  <si>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</si>
  <si>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</si>
  <si>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</si>
  <si>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</si>
  <si>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</si>
  <si>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</si>
  <si>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</si>
  <si>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</si>
  <si>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</si>
  <si>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</si>
  <si>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</si>
  <si>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</si>
  <si>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</si>
  <si>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</si>
  <si>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</si>
  <si>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</si>
  <si>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</si>
  <si>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</si>
  <si>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</si>
  <si>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</si>
  <si>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</si>
  <si>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</si>
  <si>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</si>
  <si>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</si>
  <si>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</si>
  <si>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</si>
  <si>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</si>
  <si>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</si>
  <si>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</si>
  <si>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</si>
  <si>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</si>
  <si>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</si>
  <si>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</si>
  <si>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</si>
  <si>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</si>
  <si>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</si>
  <si>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</si>
  <si>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</si>
  <si>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</si>
  <si>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</si>
  <si>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</si>
  <si>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</si>
  <si>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</si>
  <si>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</si>
  <si>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</si>
  <si>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</si>
  <si>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</si>
  <si>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</si>
  <si>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</si>
  <si>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</si>
  <si>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</si>
  <si>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</si>
  <si>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</si>
  <si>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</si>
  <si>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</si>
  <si>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</si>
  <si>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</si>
  <si>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</si>
  <si>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</si>
  <si>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</si>
  <si>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</si>
  <si>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</si>
  <si>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</si>
  <si>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</si>
  <si>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</si>
  <si>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</si>
  <si>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</si>
  <si>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</si>
  <si>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</si>
  <si>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</si>
  <si>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</si>
  <si>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</si>
  <si>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</si>
  <si>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</si>
  <si>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</si>
  <si>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</si>
  <si>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</si>
  <si>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</si>
  <si>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</si>
  <si>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</si>
  <si>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</si>
  <si>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</si>
  <si>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</si>
  <si>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</si>
  <si>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</si>
  <si>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</si>
  <si>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</si>
  <si>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</si>
  <si>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</si>
  <si>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</si>
  <si>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</si>
  <si>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</si>
  <si>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</si>
  <si>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</si>
  <si>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</si>
  <si>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</si>
  <si>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</si>
  <si>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</si>
  <si>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</si>
  <si>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</si>
  <si>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</si>
  <si>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</si>
  <si>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</si>
  <si>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</si>
  <si>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</si>
  <si>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</si>
  <si>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</si>
  <si>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</si>
  <si>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</si>
  <si>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</si>
  <si>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</si>
  <si>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</si>
  <si>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</si>
  <si>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</si>
  <si>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</si>
  <si>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</si>
  <si>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</si>
  <si>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</si>
  <si>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</si>
  <si>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</si>
  <si>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</si>
  <si>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</si>
  <si>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</si>
  <si>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</si>
  <si>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</si>
  <si>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</si>
  <si>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</si>
  <si>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</si>
  <si>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</si>
  <si>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</si>
  <si>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</si>
  <si>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</si>
  <si>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</si>
  <si>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</si>
  <si>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</si>
  <si>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</si>
  <si>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</si>
  <si>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</si>
  <si>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</si>
  <si>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</si>
  <si>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</si>
  <si>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</si>
  <si>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</si>
  <si>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</si>
  <si>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</si>
  <si>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</si>
  <si>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</si>
  <si>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</si>
  <si>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</si>
  <si>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</si>
  <si>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</si>
  <si>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</si>
  <si>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</si>
  <si>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</si>
  <si>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</si>
  <si>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</si>
  <si>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</si>
  <si>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</si>
  <si>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</si>
  <si>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</si>
  <si>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</si>
  <si>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</si>
  <si>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</si>
  <si>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</si>
  <si>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</si>
  <si>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</si>
  <si>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</si>
  <si>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</si>
  <si>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</si>
  <si>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</si>
  <si>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</si>
  <si>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</si>
  <si>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</si>
  <si>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</si>
  <si>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</si>
  <si>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</si>
  <si>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</si>
  <si>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</si>
  <si>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</si>
  <si>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</si>
  <si>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</si>
  <si>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</si>
  <si>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</si>
  <si>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</si>
  <si>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</si>
  <si>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</si>
  <si>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</si>
  <si>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</si>
  <si>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</si>
  <si>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</si>
  <si>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</si>
  <si>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</si>
  <si>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</si>
  <si>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</si>
  <si>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</si>
  <si>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</si>
  <si>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</si>
  <si>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</si>
  <si>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</si>
  <si>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</si>
  <si>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</si>
  <si>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</si>
  <si>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</si>
  <si>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</si>
  <si>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</si>
  <si>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</si>
  <si>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</si>
  <si>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</si>
  <si>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</si>
  <si>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</si>
  <si>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</si>
  <si>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</si>
  <si>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</si>
  <si>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</si>
  <si>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</si>
  <si>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</si>
  <si>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</si>
  <si>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</si>
  <si>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</si>
  <si>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</si>
  <si>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</si>
  <si>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</si>
  <si>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</si>
  <si>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</si>
  <si>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</si>
  <si>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</si>
  <si>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</si>
  <si>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</si>
  <si>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</si>
  <si>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</si>
  <si>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</si>
  <si>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</si>
  <si>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</si>
  <si>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</si>
  <si>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</si>
  <si>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</si>
  <si>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</si>
  <si>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</si>
  <si>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</si>
  <si>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</si>
  <si>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</si>
  <si>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</si>
  <si>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</si>
  <si>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</si>
  <si>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</si>
  <si>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</si>
  <si>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</si>
  <si>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</si>
  <si>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</si>
  <si>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</si>
  <si>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</si>
  <si>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</si>
  <si>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</si>
  <si>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</si>
  <si>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</si>
  <si>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</si>
  <si>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</si>
  <si>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</si>
  <si>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</si>
  <si>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</si>
  <si>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</si>
  <si>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</si>
  <si>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</si>
  <si>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</si>
  <si>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</si>
  <si>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</si>
  <si>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</si>
  <si>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</si>
  <si>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</si>
  <si>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</si>
  <si>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</si>
  <si>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</si>
  <si>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</si>
  <si>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</si>
  <si>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</si>
  <si>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</si>
  <si>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</si>
  <si>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</si>
  <si>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</si>
  <si>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</si>
  <si>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</si>
  <si>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</si>
  <si>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</si>
  <si>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</si>
  <si>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</si>
  <si>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</si>
  <si>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</si>
  <si>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</si>
  <si>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</si>
  <si>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</si>
  <si>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</si>
  <si>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</si>
  <si>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</si>
  <si>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</si>
  <si>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</si>
  <si>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</si>
  <si>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</si>
  <si>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</si>
  <si>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</si>
  <si>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</si>
  <si>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</si>
  <si>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</si>
  <si>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</si>
  <si>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</si>
  <si>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</si>
  <si>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</si>
  <si>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</si>
  <si>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</si>
  <si>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</si>
  <si>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</si>
  <si>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</si>
  <si>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</si>
  <si>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</si>
  <si>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</si>
  <si>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</si>
  <si>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</si>
  <si>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</si>
  <si>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</si>
  <si>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</si>
  <si>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</si>
  <si>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</si>
  <si>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</si>
  <si>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</si>
  <si>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</si>
  <si>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Mash pH</t>
  </si>
  <si>
    <t>Hop Absorption Rate</t>
  </si>
  <si>
    <t>Design</t>
  </si>
  <si>
    <t>Total Hops</t>
  </si>
  <si>
    <t>Ferm Temp:</t>
  </si>
  <si>
    <t>When</t>
  </si>
  <si>
    <t>O.G.:</t>
  </si>
  <si>
    <t>F.G.:</t>
  </si>
  <si>
    <t>Batch Vol:</t>
  </si>
  <si>
    <t>Ferm Vol:</t>
  </si>
  <si>
    <t>Extract Eff.:</t>
  </si>
  <si>
    <t>Recipe Outputs</t>
  </si>
  <si>
    <t>Grain Absorption Rate</t>
  </si>
  <si>
    <t>Pale Ale Malt: Pale Ale Malt (Rahr)</t>
  </si>
  <si>
    <t>https://www.mydigitalpublication.com/publication/?m=53118&amp;l=1&amp;p=&amp;pn=#{%22issue_id%22:453924,%22page%22:50}</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</si>
  <si>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</si>
  <si>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</si>
  <si>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</si>
  <si>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</si>
  <si>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</si>
  <si>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</si>
  <si>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</si>
  <si>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</si>
  <si>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</si>
  <si>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</si>
  <si>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</si>
  <si>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</si>
  <si>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</si>
  <si>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</si>
  <si>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</si>
  <si>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</si>
  <si>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</si>
  <si>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</si>
  <si>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</si>
  <si>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</si>
  <si>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</si>
  <si>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</si>
  <si>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</si>
  <si>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</si>
  <si>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</si>
  <si>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</si>
  <si>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</si>
  <si>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</si>
  <si>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</si>
  <si>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</si>
  <si>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</si>
  <si>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</si>
  <si>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</si>
  <si>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</si>
  <si>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</si>
  <si>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</si>
  <si>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</si>
  <si>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</si>
  <si>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</si>
  <si>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</si>
  <si>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</si>
  <si>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</si>
  <si>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</si>
  <si>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</si>
  <si>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</si>
  <si>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</si>
  <si>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</si>
  <si>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</si>
  <si>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</si>
  <si>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</si>
  <si>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</si>
  <si>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</si>
  <si>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</si>
  <si>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</si>
  <si>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</si>
  <si>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</si>
  <si>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</si>
  <si>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</si>
  <si>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</si>
  <si>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</si>
  <si>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</si>
  <si>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</si>
  <si>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</si>
  <si>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</si>
  <si>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</si>
  <si>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</si>
  <si>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</si>
  <si>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</si>
  <si>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</si>
  <si>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</si>
  <si>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</si>
  <si>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</si>
  <si>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</si>
  <si>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</si>
  <si>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</si>
  <si>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</si>
  <si>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</si>
  <si>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</si>
  <si>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</si>
  <si>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</si>
  <si>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</si>
  <si>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</si>
  <si>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</si>
  <si>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</si>
  <si>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</si>
  <si>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</si>
  <si>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</si>
  <si>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</si>
  <si>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</si>
  <si>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</si>
  <si>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</si>
  <si>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</si>
  <si>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</si>
  <si>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</si>
  <si>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</si>
  <si>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</si>
  <si>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</si>
  <si>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</si>
  <si>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</si>
  <si>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</si>
  <si>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</si>
  <si>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</si>
  <si>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</si>
  <si>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</si>
  <si>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</si>
  <si>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</si>
  <si>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</si>
  <si>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</si>
  <si>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</si>
  <si>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</si>
  <si>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</si>
  <si>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</si>
  <si>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</si>
  <si>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</si>
  <si>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</si>
  <si>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</si>
  <si>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</si>
  <si>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</si>
  <si>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</si>
  <si>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</si>
  <si>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</si>
  <si>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</si>
  <si>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</si>
  <si>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</si>
  <si>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</si>
  <si>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</si>
  <si>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</si>
  <si>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</si>
  <si>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</si>
  <si>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</si>
  <si>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</si>
  <si>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</si>
  <si>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</si>
  <si>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</si>
  <si>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</si>
  <si>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</si>
  <si>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</si>
  <si>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</si>
  <si>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</si>
  <si>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</si>
  <si>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</si>
  <si>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</si>
  <si>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</si>
  <si>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</si>
  <si>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</si>
  <si>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</si>
  <si>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</si>
  <si>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</si>
  <si>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</si>
  <si>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</si>
  <si>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</si>
  <si>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</si>
  <si>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</si>
  <si>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</si>
  <si>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</si>
  <si>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</si>
  <si>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</si>
  <si>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</si>
  <si>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</si>
  <si>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</si>
  <si>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</si>
  <si>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</si>
  <si>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</si>
  <si>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</si>
  <si>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</si>
  <si>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</si>
  <si>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</si>
  <si>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</si>
  <si>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</si>
  <si>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</si>
  <si>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</si>
  <si>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</si>
  <si>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</si>
  <si>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</si>
  <si>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</si>
  <si>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</si>
  <si>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</si>
  <si>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</si>
  <si>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</si>
  <si>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</si>
  <si>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</si>
  <si>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</si>
  <si>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</si>
  <si>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</si>
  <si>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</si>
  <si>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</si>
  <si>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Sparge Method</t>
  </si>
  <si>
    <t>Hop Stand:</t>
  </si>
  <si>
    <t>CTZ</t>
  </si>
  <si>
    <t>14.5-16.5%</t>
  </si>
  <si>
    <t>Columbus, Tomahawk, and Zeus. High on the bittering scale yet also valued for its oil content.</t>
  </si>
  <si>
    <t>Brewhouse Eff:</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</si>
  <si>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</si>
  <si>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</si>
  <si>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</si>
  <si>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</si>
  <si>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</si>
  <si>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</si>
  <si>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</si>
  <si>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</si>
  <si>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</si>
  <si>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</si>
  <si>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</si>
  <si>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</si>
  <si>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</si>
  <si>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</si>
  <si>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</si>
  <si>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</si>
  <si>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</si>
  <si>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</si>
  <si>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</si>
  <si>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</si>
  <si>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</si>
  <si>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</si>
  <si>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</si>
  <si>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</si>
  <si>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</si>
  <si>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</si>
  <si>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</si>
  <si>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</si>
  <si>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</si>
  <si>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</si>
  <si>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</si>
  <si>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</si>
  <si>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</si>
  <si>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</si>
  <si>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</si>
  <si>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</si>
  <si>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</si>
  <si>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</si>
  <si>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</si>
  <si>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3.0.1 - Unlocked protected cells for Distilled/RO water on EZ water tabs.</t>
  </si>
  <si>
    <t>3.0.2 - Unlocked more protected cells on EX Water Metric tab.</t>
  </si>
  <si>
    <t>3.0.3 - More locked cells requiring unlock.</t>
  </si>
  <si>
    <t>https://byo.com/article/sweetness-brewing-sugars-how-to-use-them/</t>
  </si>
  <si>
    <t>3.0.4 - Updated PPG values for some sugars</t>
  </si>
  <si>
    <t>Sugar: Candi Sugar, Rock, Amber</t>
  </si>
  <si>
    <t>Sugar: Candi Sugar, Rock, Clear</t>
  </si>
  <si>
    <t>Sugar: Candi Sugar, Rock, Dark</t>
  </si>
  <si>
    <t>HotHead™ Ale OYL-057</t>
  </si>
  <si>
    <t>Omega Yeast</t>
  </si>
  <si>
    <t>75-85</t>
  </si>
  <si>
    <t>A highly flocculent Norwegian ale strain with an astoundingly wide temperature range and little change in flavor across the range, Hothead™ is clean enough for both American and English styles. It has a unique honey-like aroma with overripe mango which is complementary to modern, fruity hops. Temperature control is unnecessary with this strain. Non-phenolic and no fusels, even at higher temperatures.</t>
  </si>
  <si>
    <t xml:space="preserve">Voss Kveik OYL-061 </t>
  </si>
  <si>
    <t>75-82</t>
  </si>
  <si>
    <t>A traditional Norwegian kveik directly from the Gjernes farmstead, Voss Kveik’s orange-citrus notes present throughout its wide temperature range. So, like the mango-honey profile of HotHead™ Ale (OYL-057), Voss Kveik’s orange-citrus is relatively clean across its fermentation temperature range and pairs well with citrusy, fruity hops. Fermentation speed takes off at higher temperatures. Non-phenolic.</t>
  </si>
  <si>
    <t>Hornindal Kveik OYL-091</t>
  </si>
  <si>
    <t>A wonderfully unique Norwegian farmstead “kveik,” Hornindal produces a tropical flavor and complex aroma that can present itself as stonefruit, pineapple, and dried fruit leather, which complement fruit-forward hops. Add even more dimension to “C” hops and increase ester intensity with a high fermentation temperature. Ferments well at 90° F/32° C or higher. Non-phenolic and no fusels, even at higher temps.</t>
  </si>
  <si>
    <t>Jovaru™ Lithuanian Farmhouse OYL-033</t>
  </si>
  <si>
    <t>80-85</t>
  </si>
  <si>
    <t>Borne from an exclusive partnership with the famed Jovaru™ Brewery’s “queen of Lithuanian farmhouse beer,” this unique yeast complements farmhouse beers with citrusy esters and restrained phenols. The strain produces a character of lemon pith, black pepper, and a soft mouthfeel. I sveikata!
This strain tests positive for the STA1 gene, an indicator of Saccharomyces cerevisiae var. diastaticus. This strain may have the ability to metabolize dextrins over time, resulting in higher than expected attenuation.</t>
  </si>
  <si>
    <t>72-80</t>
  </si>
  <si>
    <t>A strong fermenter popularly referred to as “Conan.” Its peach, apricot and pineapple notes are steroids for hops, complementing modern fruity hop profiles in particular. A diacetyl rest is suggested if fermented in the lower temperature range.</t>
  </si>
  <si>
    <t>Hefeweizen Ale I OYL-021</t>
  </si>
  <si>
    <t>A classic German wheat strain, it’s a cloudy, big top cropper. Presenting banana and clove, the esters turn up with increased temps, wort density and decreased pitch rate, or stay muted at lower temps where clove stands out. Over-pitching can lessen the banana. Sulfur conditions out. See also Belgian Ale A (OYL-024)for an alternate complexity.</t>
  </si>
  <si>
    <t>DIPA Ale OYL-052</t>
  </si>
  <si>
    <t>Kolsch II OYL-044</t>
  </si>
  <si>
    <t>This Kolsch strain is warmer fermenting than Kolsch I (OYL-017), flocculates much better and clears more quickly, so it is a little easier to manage. It is a lager-like ale strain that’s lightly fruity, crisp and clean with a hint of sulfur that disappears with age to leave a clean ale. Accentuates hop flavors.</t>
  </si>
  <si>
    <t>Tropical IPA OYL-200</t>
  </si>
  <si>
    <t>85-100</t>
  </si>
  <si>
    <t>Tropical IPA is a unique Saccharomyces strain formerly classified as a Brettanomyces strain, that produces delicate, tart, tropical mango and pineapple fruit characteristics with a clean finish. Try it at its higher temperatures to bring out the tropical profile. It’s stubbornly non-flocculent, but worth it.
This strain tests positive for the STA1 gene, an indicator of Saccharomyces cerevisiae var. diastaticus, and is capable of fermenting dextrins, resulting in very high attenuation.</t>
  </si>
  <si>
    <t>West Coast Ale I OYL-004</t>
  </si>
  <si>
    <t>73-80</t>
  </si>
  <si>
    <t>Popularly called “Chico,” West Coast Ale I is a reliable, versatile and popular neutral foundation for displays of malts and hops. Often used as a house strain, it is highly attenuative and moderately flocculent. And it ferments crisp and clean with light citrus notes under 66° F (19° C). Also try DIPA (OYL-052) or British I (OYL-006) to highlight hops more, or West Coast II (OYL-009) and Scottish Ale (OYL-015) for malt displays.</t>
  </si>
  <si>
    <t>British Ale I OYL-006</t>
  </si>
  <si>
    <t>70-80</t>
  </si>
  <si>
    <t>A productive, brewer-friendly top cropper attributed to a historic London brewery whose lab once hosted Louis Pasteur, British Ale I drops fast and clear, and is clean and crisp at low temperatures with heightened esters and a lightly tart, dry finish at the upper range. Try also British Ale II (OYL-007) for less attenuation and enhanced malts or British VIII (OYL-016).</t>
  </si>
  <si>
    <t>British Ale V OYL-011</t>
  </si>
  <si>
    <t>A good top cropper thought to be from a famous Manchester bitter maker, British V’s lingering haze and residual sweetness pairs popularly with the signature look and huge, fruity hop profile of the New England IPAs (NEIPA). Alternately, try DIPA (OYL-052) for slightly less residual sweetness.</t>
  </si>
  <si>
    <t>British Ale VIII OYL-016</t>
  </si>
  <si>
    <t>A ridiculously thorough flocculator thought to be from a highly regarded English ESB, British Ale VIII has unique fruitiness and noticeable finishing sweetness. It drops out quickly and completely. It is easy to crop, but needs a diacetyl rest. To enhance the fruit, ferment at the recommended temperature ceiling.</t>
  </si>
  <si>
    <t>Irish Ale OYL-005</t>
  </si>
  <si>
    <t>69-75</t>
  </si>
  <si>
    <t>Ireland’s storied stout is thought to be balanced by this dry, crisp, lightly fruity, versatile and powerful strain. The Irish Ale strain is a good fermenter with reliable, average flocculation and a hint of fruit at the lowest recommended temperatures, which increases in complexity at higher temperatures (64° F/18° C and higher). Some diacetyl possible. Successful in dark and high gravity beers. Sláinte!</t>
  </si>
  <si>
    <t>Belgian Ale A OYL-024</t>
  </si>
  <si>
    <t>72-85</t>
  </si>
  <si>
    <t>As one of the few highly flocculent Belgian ale strains, Belgian Ale A is thought to originate from a Wallonian brewery whose reputation dwarfs the small village in which it is located. It makes a great Belgian house strain. It is brewery friendly, crops easily and has a well-rounded flavor profile with balanced fruitiness and phenolics. Esters increase with upward temperatures.</t>
  </si>
  <si>
    <t>Belgian Ale W OYL-028</t>
  </si>
  <si>
    <t>An eruptive top cropper displaying nice fruit and rustic phenolics, the reliable Belgian Ale W is thought to be from a famous tripel brewer. A good flocculator with a wide temperature range. Three famous brewers ferment this on vastly different schedules, showing the versatile outcomes available.</t>
  </si>
  <si>
    <t>3.0.5 - Added Omega Yeasts to Yeast List</t>
  </si>
  <si>
    <t>Thought to originate from a small, sophisticated, Belgian brewer’s spelt saison, Belgian Saison II is earthy, spicy, peppery, tart and dry, with tropical fruit and citrus at warm fermentation temperatures. It is a perfect strain for farmhouse ales and saisons. It favors pitching in the upper 60s or low 70s and being allowed free-rise from there.
This strain tests positive for the STA1 gene, an indicator of Saccharomyces cerevisiae var. diastaticus. This strain may have the ability to metabolize dextrins over time, resulting in higher than expected attenuation.</t>
  </si>
  <si>
    <t>Belgian Saison II OYL-042</t>
  </si>
  <si>
    <t>Saisonstein's Monster OYL-500</t>
  </si>
  <si>
    <t>80-90</t>
  </si>
  <si>
    <t>Saisonstein's Monster is an Omega-original, genetic hybrid of two Saison strains, the French (OYL-026) and Belgian (OYL-027). It is versatile, aromatic and attenuative with a silky mouthfeel. It excels in high gravity and it ferments more reliably and thoroughly than its parents. It is spicy, complex, tart, dry and crisp with some bubblegum character present from its Belgian parent, and more fruit and fewer phenolics than its French parent. Attenuation is 80-90% or more.
This strain tests positive for the STA1 gene, an indicator of Saccharomyces cerevisiae var. diastaticus, and is capable of fermenting dextrins, resulting in very high attenuation.</t>
  </si>
  <si>
    <t>Bayern Lager OYL-114</t>
  </si>
  <si>
    <t>Thought to come from Munich’s oldest, traditional and vintage-vibed brewery. The Bayern Lager strain is clean, crisp and ferments well at a wide range. It has good flocculation, and has both low sulfur and low diacetyl production.</t>
  </si>
  <si>
    <t>C2C American Farmhouse OYL-217</t>
  </si>
  <si>
    <t>C2C American Farmhouse is a coast to coast blend of one saison strain from a famous Northeast U.S. brewery and one Brettanomyces strain from a Northwest U.S. brewery. The blend results in a fast developing fruity and funky farmhouse ale.
This strain tests positive for the STA1 gene, an indicator that this strain may have the ability to metabolize dextrins over time, resulting in higher than expected attenuation.</t>
  </si>
  <si>
    <t>78-88</t>
  </si>
  <si>
    <t>One Brett-famous Colorado brewery strain, plus two strains that were formerly classified as Brett (but are now known to be Saccharomyces), result in huge tropical fruit aromas that mingle well with fruity aroma hops. Note that aroma intensity fades a bit during conditioning. Brett Blend #1: Where Da Funk? has a wide temperature range, finishes very dry, and leaves neither much funk nor much body (consider adding flaked oats for body). Mild funk level and low acidity is consistent even with extended aging
This strain tests positive for the STA1 gene, an indicator of Saccharomyces cerevisiae var. diastaticus, and is capable of fermenting dextrins, resulting in very high attenuation.</t>
  </si>
  <si>
    <t>Brett Blend #1 Where Da Funk? OYL-210</t>
  </si>
  <si>
    <t>Brett Blend #2 Bit O’ Funk OYL-211</t>
  </si>
  <si>
    <t>Brett Blend #2: Bit O’ Funk contains the two Saccharomyces strains from Brett Blend #1 (OYL-210) for primary fermentation and is spiked with Brettanomyces bruxellensis for development of classic, funkforward Brett character during secondary fermentation. The bit ‘o funkiness will take extended time to develop (3 months or more)
This strain tests positive for the STA1 gene, an indicator of Saccharomyces cerevisiae var. diastaticus, and is capable of fermenting dextrins, resulting in very high attenuation.</t>
  </si>
  <si>
    <t>Brett Blend #3 Bring On Da Funk OYL-212</t>
  </si>
  <si>
    <t>Brett Blend #3: Bring on Da Funk consists of two Saccharomyces strains from Brett Blend #1 (OYL-210) spiked with both Brettanomyces bruxellensis and Brettanomyces lambicus, plus two additional Brettanomyces isolates from a Brett-famous Colorado brewery, plus two Brett isolates from an “intense” Belgian source to equal a funky, fruity, complex 8-strain composition. The Brett character will develop over time, as will acid production if exposed to oxygen.
This strain tests positive for the STA1 gene, an indicator of Saccharomyces cerevisiae var. diastaticus, and is capable of fermenting dextrins, resulting in very high attenuation.</t>
  </si>
  <si>
    <t>All the Bretts</t>
  </si>
  <si>
    <t>A blend of nearly every Brett in our collection. Use All the Bretts in secondary and expect high attenuation and a fruity and funky complexity that continues to develop over time. This evolving blend always contains at least 10 Brett strains.</t>
  </si>
  <si>
    <t>3.0.6 - Fixed VLOOKUP error in Yeast field on Recipe tab.</t>
  </si>
  <si>
    <t>Diamond Lager</t>
  </si>
  <si>
    <t>Neutral Flavor and Aroma, typical of traditional Lagers</t>
  </si>
  <si>
    <t>London ESB</t>
  </si>
  <si>
    <t>Neutral to slightly fruity and estery flavor and aroma, allowing Malt aromas and flavors to shine through</t>
  </si>
  <si>
    <t>Munich Classic Wheat</t>
  </si>
  <si>
    <t>Med-High</t>
  </si>
  <si>
    <t>Aroma and flavor is balanced with prominent fruity esters and spicy phenol notes of banana and clove.</t>
  </si>
  <si>
    <t>LalBrew New England</t>
  </si>
  <si>
    <t>Neutral to slightly fruity and estery flavor and aroma</t>
  </si>
  <si>
    <t>3.0.7 - Added/Updated Lallemand yeasts. Reset filter on grain list. Expanded notes section.</t>
  </si>
  <si>
    <t>Boil-Off Rate</t>
  </si>
  <si>
    <t>3.1 - Rearranged formulas to calculate some losses.
- Add Mash Time and Boil-Off Rate entries.
- Added Predicted Brix fields to recipe sheet.
- Separated Pre-Boil SG contributions from grains and sugars on recipe sheet for recipes that use a cominbation of both.
- Added actual Grain Absorption Rate to recipe sheet to compare with assumed rate.
- Added actual Hop Absorption Rate to recipe sheet to compare with assumed rate.
- Greyed out unnecessary actual Total Water and Sparge Water fields on recipe sheet. Has caused some confusion for some users.</t>
  </si>
  <si>
    <t>3.1.1 - Fixed Actual Grain Absorption Rate Calculation on Recipe Sheet to account for Fly Sparging.
 - Fixed inaccurate FG calcucation from refractometer reading.</t>
  </si>
  <si>
    <t>3.1.2 - Fixed incorrect reporting of actual extract efficiency for recipes with both grains and sugars added.</t>
  </si>
  <si>
    <t>3.2 - Updated to work with LibreOffice for Linux.</t>
  </si>
  <si>
    <t>Chocolate Malt: Chocolate Malt (Briess)</t>
  </si>
  <si>
    <t>http://brewingwithbriess.com/Products/Dark_Roasted.htm#2RowChocolate</t>
  </si>
  <si>
    <t>Chocolate Malt: Dark Chocolate Malt (Briess)</t>
  </si>
  <si>
    <t>SAB 98J1763 (South Africa)</t>
  </si>
  <si>
    <t>One of the best experimental variety from SAB hop farms. Citrus aroma like Cascade, Simcoe and Summit, Ect</t>
  </si>
  <si>
    <t>SAB XJA2/436 (South Africa)</t>
  </si>
  <si>
    <t>Experimental variety from SAB hop farms</t>
  </si>
  <si>
    <t>12-13%</t>
  </si>
  <si>
    <t>Southern Aroma (South Africa)</t>
  </si>
  <si>
    <t>3.5-4.5%</t>
  </si>
  <si>
    <t>Hop variety with a herbal and floral flavour profile</t>
  </si>
  <si>
    <t>Southern Dawn (South Africa)</t>
  </si>
  <si>
    <t>A versatile aromatic and bittering hop. Originating from the original Southern Brewer. A more aromatic hop than Southern Promise. It profiles good plum, and pineapple notes.</t>
  </si>
  <si>
    <t>Southern Passion (South Africa)</t>
  </si>
  <si>
    <t>Previously known as US 4/78, this hop is known for prominent granadilla/passion fruit notes and solid bittering potential. This hop originates from a Saaz and Halletauer crossing.</t>
  </si>
  <si>
    <t>Southern Promise (South Africa)</t>
  </si>
  <si>
    <t>9.5-11.5%</t>
  </si>
  <si>
    <t xml:space="preserve"> A versatile bittering and aroma hop. With smooth earthy, woody fragrances. A clean bitterness is created with a hoppy bouquet profiling grapefruit, apricot, and ginger</t>
  </si>
  <si>
    <t>Southern Star (South Africa)</t>
  </si>
  <si>
    <t>An effective and good bittering hop, showing off some fine smooth bitterness. The prominent flavours and aromas available are apricot, celery, and grapefruit</t>
  </si>
  <si>
    <t>3.2.1 - Added more grain and hop varieties.</t>
  </si>
  <si>
    <t>Diastatic
Power</t>
  </si>
  <si>
    <t>3.3 - Added Diastatic Power information and calculations.</t>
  </si>
  <si>
    <t>Color (° L)</t>
  </si>
  <si>
    <t>Diastatic Power
(° Lintner)</t>
  </si>
  <si>
    <t>Munich Malt: Dark Munich Malt 30L (Briess)</t>
  </si>
  <si>
    <t>°L-lb</t>
  </si>
  <si>
    <t>May take longer to convert</t>
  </si>
  <si>
    <t>&lt;30</t>
  </si>
  <si>
    <t>Not enough DP to convert</t>
  </si>
  <si>
    <t>&gt;=70</t>
  </si>
  <si>
    <t>30-69</t>
  </si>
  <si>
    <t>Has plenty DP to convert</t>
  </si>
  <si>
    <t>Diastatic
Power Legend</t>
  </si>
  <si>
    <t xml:space="preserve">    Min Requirement for designing recipes: Excel 2010 (2016 preferred) or LibreOffice</t>
  </si>
  <si>
    <t xml:space="preserve">    Min Requirement for viewing recipes: Excel 2010 (2016 preferred) or LibreOffice but Google Sheets and iOS Numbers have worked well enough.</t>
  </si>
  <si>
    <t>London Fog Ale WLP066</t>
  </si>
  <si>
    <t>75-82%</t>
  </si>
  <si>
    <t>for New England-style IPAs. It produces a medium ester profile similar to WLP008 East Coast Ale Yeast. It leaves some residual sweetness, helping accentuate both malt and hop flavors and aromas, while retaining a velvety mouthfeel.</t>
  </si>
  <si>
    <t>German Ale II WLP003</t>
  </si>
  <si>
    <t xml:space="preserve">A great strain for clean ales such as kölsch, altbier, and German-style pale ales. </t>
  </si>
  <si>
    <t>Whitbread II Ale WLP017</t>
  </si>
  <si>
    <t>California IV Ale WLP019</t>
  </si>
  <si>
    <t>Moderately clean strain with a low ester profile and less sulfur production than WLP051.</t>
  </si>
  <si>
    <t>Southwold Ale WLP025</t>
  </si>
  <si>
    <t>68-75%</t>
  </si>
  <si>
    <t>From Suffolk County, England. This yeast produces complex fruit, citrus, and spice flavors. Great for British-style bitters and pale ales.</t>
  </si>
  <si>
    <t>Premium Bitter Ale WLP026</t>
  </si>
  <si>
    <t>From Staffordshire, England. Fermentation gives a mild but complex estery character. Ferments strong and dry and is good for high-gravity beers</t>
  </si>
  <si>
    <t>Thames Valley Ale WLP030</t>
  </si>
  <si>
    <t xml:space="preserve">Very flocculant strain for all things English. Great for porters, stouts and ESBs. Lower ester production than most English strains </t>
  </si>
  <si>
    <t>66-74%</t>
  </si>
  <si>
    <t>Traditional English single-strain yeast. Produces signature ester characters and does not mask hop flavors. Leaves ales with a slightly sweet malt</t>
  </si>
  <si>
    <t>Tennessee Whiskey WLP050</t>
  </si>
  <si>
    <t>California V Ale WLP051</t>
  </si>
  <si>
    <t>A yeast isolated from Australia in the early 1900s, it is a clean fermenting strain well suited for many American and English beer styles.</t>
  </si>
  <si>
    <t>Buchner Ale Blend WLP064</t>
  </si>
  <si>
    <t xml:space="preserve">A blend of two strains that adds creaminess with a hint of crispness. Great for pale ales, cream ales and American wheats. </t>
  </si>
  <si>
    <t>New England-style IPA strains is great for producing beers with a hazy appearance and tropical, fruit-forward esters.</t>
  </si>
  <si>
    <t>From a traditional distillery in the heart of Bourbon Country, this strain produces a malty caramel character with a balanced ester profile</t>
  </si>
  <si>
    <t>Kentucky Bourbon WLP070</t>
  </si>
  <si>
    <t>Klassic Ale WLP033</t>
  </si>
  <si>
    <t>A classic Bière de Garde strain, it produces slight esters and mild phenols, while preserving the sweet aromatics from the malt bill</t>
  </si>
  <si>
    <t>This is a blend of many IPA strain favorites. It has the attenuation of WLP090 San Diego Super Ale Yeast and the character of WLP007 Dry English</t>
  </si>
  <si>
    <t>Hansen Ale Blend WLP075</t>
  </si>
  <si>
    <t>Sonoma Ale WLP076</t>
  </si>
  <si>
    <t>From a historic brewery in Northern California.</t>
  </si>
  <si>
    <t xml:space="preserve">This yeast is the signature strain for a brewery in the Northeast United States, making it ideal for New England-style IPAs. </t>
  </si>
  <si>
    <t>Burlington Ale WLP099</t>
  </si>
  <si>
    <t>Charlie's Fist Bump WLP1983</t>
  </si>
  <si>
    <t>Previously called WLP862 Cry Havoc Lager Yeast, this strain is licensed from Charlie Papazian and can ferment at both ale and lager temperatures</t>
  </si>
  <si>
    <t>American Hefeweizen Ale WLP320</t>
  </si>
  <si>
    <t>70-75</t>
  </si>
  <si>
    <t>This strain ferments much cleaner than it’s hefeweizen strain counterparts. It produces very slight banana and clove notes and has low flocculation</t>
  </si>
  <si>
    <t>Monastery Ale WLP500</t>
  </si>
  <si>
    <t>Sourced from a Belgian monastery, this strain is ideal for Belgian quads, trippels and dubbels due to its high alcohol tolerance.</t>
  </si>
  <si>
    <t>Sourced from our friend Lars Marius Garshol, this kveik strain was isolated from a mixed culture which belonged to Harald Opshaug</t>
  </si>
  <si>
    <t>Opshaug Kviek Ale WLP5</t>
  </si>
  <si>
    <t>Maranon Canyon Wild Cacao WLP546</t>
  </si>
  <si>
    <t>65-70</t>
  </si>
  <si>
    <t>This yeast was isolated from the thought to be extinct Pure Nacional variety of cacao</t>
  </si>
  <si>
    <t>76-82</t>
  </si>
  <si>
    <t xml:space="preserve">A blend of two saison strains and a low phenolic Belgian strain, developed for the White Labs in-house saisons. </t>
  </si>
  <si>
    <t>French Saison WLP590</t>
  </si>
  <si>
    <t>78-85</t>
  </si>
  <si>
    <t>One of our most popular saison strains, it is great for farmhouse-style beers because it produces flavors and aromas of pear, apple and cracked</t>
  </si>
  <si>
    <t>White Labs now offers WLP600 Kombucha SCOBY, a symbiotic culture of bacteria and yeast that is used for fermenting sweet tea into kombucha</t>
  </si>
  <si>
    <t>30-50</t>
  </si>
  <si>
    <t>Wild yeast isolated from fruit trees in Denmark. This is one of the three strains that make up WLP611</t>
  </si>
  <si>
    <t>Torulaspora Delbrueckll WLP603</t>
  </si>
  <si>
    <t>New Nordic Ale WLP611</t>
  </si>
  <si>
    <t>65-75</t>
  </si>
  <si>
    <t>Isolated from spontaneously fermented apples on a remote island off the coast of Denmark in the fall of 2009</t>
  </si>
  <si>
    <t>Funky Cider Blend WLP616</t>
  </si>
  <si>
    <t>Brettanomyces Anomalus WLP640</t>
  </si>
  <si>
    <t>Typical barnyard funk character with some fruitiness. Acidity is medium.</t>
  </si>
  <si>
    <t xml:space="preserve">This Belgian strain, traditionally used for wild yeast fermentations, produces a slightly tart beer with delicate mango and pineapple... </t>
  </si>
  <si>
    <t>Saccharomyces "Bruxellensis" Trois WLP644</t>
  </si>
  <si>
    <t>Brettanomyces Bruxellensis Trois Vrai WLP648</t>
  </si>
  <si>
    <t>The vrai (“true” in French) Brettanomyces bruxellensis Trois.</t>
  </si>
  <si>
    <t>Pediococcus Damnosus WLP661</t>
  </si>
  <si>
    <t>low</t>
  </si>
  <si>
    <t>Perfect for use in any sour program, this is a cocci bacteria known for its souring capabilities through the production of lactic acid.</t>
  </si>
  <si>
    <t>Lactobacillus Paracollinoides WLP669</t>
  </si>
  <si>
    <t xml:space="preserve">This strain has been isolated from Belgian lambics. Originally referred to as Lactobacillus pastorianous, it has now been reclassified. </t>
  </si>
  <si>
    <t xml:space="preserve">This is a rod-shaped Lactobacillus bacteria used for souring beers through either traditional or kettle souring techniques. </t>
  </si>
  <si>
    <t>Lactobacillus Brevis WLP672</t>
  </si>
  <si>
    <t>Lactobacillus Buchneri WLP673</t>
  </si>
  <si>
    <t>This strain is recommended for souring. Can be used for sour kettle/mash or in secondary fermentation.</t>
  </si>
  <si>
    <t>Malolactic Cultures WLP675</t>
  </si>
  <si>
    <t>Lactobacillus Delbrueckii Bacteria WLP677</t>
  </si>
  <si>
    <t>This lactic acid bacteria produces moderate levels of acidity and sour flavors found in lambics, Berliner Weisse, sour brown ales and gueuze.</t>
  </si>
  <si>
    <t>Lactobacillus Hilgardii WLP678</t>
  </si>
  <si>
    <t xml:space="preserve">Lactic acid bacteria that produces medium acidity. Low hop tolerance (&lt;10). Great for Berliner weisse, gueuze and lambics. </t>
  </si>
  <si>
    <t xml:space="preserve">Debaryomyces is one of the wild yeasts isolated from lambics in Belgium. </t>
  </si>
  <si>
    <t>Flor Sherry WLP700</t>
  </si>
  <si>
    <t>80-100</t>
  </si>
  <si>
    <t>Creates green almond, Granny Smith apple and nougat characteristics found in sherry. For use in secondary fermentation.</t>
  </si>
  <si>
    <t>GermanX Lager WLP835</t>
  </si>
  <si>
    <t>Classic yeast from a famous Bavarian monastery. This strain develops a creamy, malty beer profile with low sulfur production and low esters.</t>
  </si>
  <si>
    <t>75-78</t>
  </si>
  <si>
    <t xml:space="preserve">Use this strain when you need a lager sooner rather than later. Low sulfur production and medium flocculation characteristics. </t>
  </si>
  <si>
    <t>This northern European lager strain emphasizes clean and crisp characteristics. Malt flavors tend to be secondary, promoting clean drinkability.</t>
  </si>
  <si>
    <t>Copenhagen Lager WLP850</t>
  </si>
  <si>
    <t>Fast Lager Yeast WLP845</t>
  </si>
  <si>
    <t>High Pressure Lager WLP925</t>
  </si>
  <si>
    <t>73-82</t>
  </si>
  <si>
    <t>Used to ferment lager beer in one week. Ferment at room temperature; 62-68°F (17-20°C) under 1.0 bar (14.7 PSI) until final gravity is obtained</t>
  </si>
  <si>
    <t>Artisanal Country Ale WLP073</t>
  </si>
  <si>
    <t>Coastal Haze Ale Blend WLP067</t>
  </si>
  <si>
    <t>Debaryomyces HansenII WLP692</t>
  </si>
  <si>
    <t>Kombucha Scoby WLP600</t>
  </si>
  <si>
    <t>Leeuwenhoek Saison Blend WLP564</t>
  </si>
  <si>
    <t>Melbourne Ale WLP059</t>
  </si>
  <si>
    <t>Scotch Whisky WLP045</t>
  </si>
  <si>
    <t>3.3.1 - Added several newer White Labs yeast strains.</t>
  </si>
  <si>
    <t>Pilsner Malt: Premium Pilsener Malt (Rahr)</t>
  </si>
  <si>
    <t>http://rahrmaltingco.com/rahr-premium-pilsner</t>
  </si>
  <si>
    <t>3.3.2 - Added Rahr Pilsner Malt to grain list.</t>
  </si>
  <si>
    <t>3.4 - Added better support for BIAB.
- Clarified valid fields to use for various brew methods via conditional formatting on Recipe Sheet.</t>
  </si>
  <si>
    <t>OG</t>
  </si>
  <si>
    <t>SRM</t>
  </si>
  <si>
    <t>OG Min</t>
  </si>
  <si>
    <t>OG Max</t>
  </si>
  <si>
    <t>FG Min</t>
  </si>
  <si>
    <t>FG Max</t>
  </si>
  <si>
    <t>IBU Min</t>
  </si>
  <si>
    <t>IBU Max</t>
  </si>
  <si>
    <t>ABV Min</t>
  </si>
  <si>
    <t>ABV Max</t>
  </si>
  <si>
    <t>SRM Max</t>
  </si>
  <si>
    <t>SRM Min</t>
  </si>
  <si>
    <t>-</t>
  </si>
  <si>
    <t>Meets BJCP Guideline</t>
  </si>
  <si>
    <r>
      <t xml:space="preserve">Does </t>
    </r>
    <r>
      <rPr>
        <b/>
        <sz val="10"/>
        <rFont val="Arial"/>
        <family val="2"/>
      </rPr>
      <t>NOT</t>
    </r>
    <r>
      <rPr>
        <sz val="10"/>
        <rFont val="Arial"/>
        <family val="2"/>
      </rPr>
      <t xml:space="preserve"> Meet BJCP Guideline</t>
    </r>
  </si>
  <si>
    <t>Color Legend</t>
  </si>
  <si>
    <t>3.5 - Added BJCP 2015 Style Guidelines
Reconfigured Total &amp; Strike Water Volume calculation in support of no sparge brewing.</t>
  </si>
  <si>
    <t>Min</t>
  </si>
  <si>
    <t>BJCP Guide</t>
  </si>
  <si>
    <t>Boil Volume</t>
  </si>
  <si>
    <t>3.6 - More accurately account for volumetric changes in boil kettle due to temperature changes at various points in the process.
- Added fields for entering in temperatures of measured volumes which are used in adjusting volumes based on the temperature change to align with predicted values.
- Added two more rows for the hops bill.
-Fixed bug in Diastatic Power calcs.</t>
  </si>
  <si>
    <t>https://www.avangard-malz.de/en/downloads/</t>
  </si>
  <si>
    <t>Munich Malt: Dark Munich Malt (Avangard Malz)</t>
  </si>
  <si>
    <t>Munich Malt: Munich Malt (Avangard Malz)</t>
  </si>
  <si>
    <t>Immersion</t>
  </si>
  <si>
    <t>3.7 - Fixed boundary condition error for batch sparging steps of larger grain bills under certain conditions.
- Fixed calcs for sparge and total water volumes by adding lauter tun dead space loss.</t>
  </si>
  <si>
    <t>3.7.1 - Added some addition informational text in regards to volumes to clarify the temperature for each volume calculated.
- NOTE to self: Still want to add the expected and real measured temperature for total water requred field on recipe tab.</t>
  </si>
  <si>
    <t>Grainfather</t>
  </si>
  <si>
    <t>Max Fill</t>
  </si>
  <si>
    <t>Fly Sparge Flow Rate</t>
  </si>
  <si>
    <t>Mash/Lauter Tun Details</t>
  </si>
  <si>
    <t>Boil Off Rate</t>
  </si>
  <si>
    <t>Chiller</t>
  </si>
  <si>
    <t>Brew System Configuration</t>
  </si>
  <si>
    <t>DIY 3/8 x 50'</t>
  </si>
  <si>
    <t>JaDeD Scylla</t>
  </si>
  <si>
    <t>Displacement</t>
  </si>
  <si>
    <t>Counterflow</t>
  </si>
  <si>
    <t>JaDeD Hydra</t>
  </si>
  <si>
    <t>Kettle Details</t>
  </si>
  <si>
    <t>Fermenter</t>
  </si>
  <si>
    <t>Dead Space</t>
  </si>
  <si>
    <t>6.5 Gal Carboy, One</t>
  </si>
  <si>
    <t>Spike Flex+</t>
  </si>
  <si>
    <t>Fermentasaurus</t>
  </si>
  <si>
    <t>FermZilla</t>
  </si>
  <si>
    <t>Capacity</t>
  </si>
  <si>
    <t>Target Batch Size (Packaged)</t>
  </si>
  <si>
    <t>Grain Temperature</t>
  </si>
  <si>
    <t>Time</t>
  </si>
  <si>
    <t>Boil Temperature</t>
  </si>
  <si>
    <t>Boil</t>
  </si>
  <si>
    <t>Fermenter Profiles</t>
  </si>
  <si>
    <t>Chiller Profiles</t>
  </si>
  <si>
    <t>Brew System Profiles</t>
  </si>
  <si>
    <t>Mash / Lauter Tun</t>
  </si>
  <si>
    <t>Calibration Temp</t>
  </si>
  <si>
    <t>Correction</t>
  </si>
  <si>
    <t xml:space="preserve">Select </t>
  </si>
  <si>
    <t>Units of Measure:</t>
  </si>
  <si>
    <t>JaDeD Concentric Hydra</t>
  </si>
  <si>
    <t>JaDeD King Cobra</t>
  </si>
  <si>
    <t>JaDeD Mantis</t>
  </si>
  <si>
    <t>Hydrometer Profiles</t>
  </si>
  <si>
    <t>Configuration</t>
  </si>
  <si>
    <t>Offset</t>
  </si>
  <si>
    <t>Hydrometer #3</t>
  </si>
  <si>
    <t>Brewing America Hydrometer #2</t>
  </si>
  <si>
    <t>Brewing American Precision</t>
  </si>
  <si>
    <t>Refractrometer Correction Factor</t>
  </si>
  <si>
    <t>Strike Water</t>
  </si>
  <si>
    <t>Post-Boil</t>
  </si>
  <si>
    <t>Dead Space Loss</t>
  </si>
  <si>
    <t>Room Temperature</t>
  </si>
  <si>
    <t>Hop Absorption Loss</t>
  </si>
  <si>
    <t>Post-Boil Volume</t>
  </si>
  <si>
    <t>6.5 Gal Carboys, Two</t>
  </si>
  <si>
    <t>Environment</t>
  </si>
  <si>
    <t>Water Temperature</t>
  </si>
  <si>
    <t>Hops Handling</t>
  </si>
  <si>
    <t>Cooled Temperature</t>
  </si>
  <si>
    <t>Cooling Loss</t>
  </si>
  <si>
    <t>Heating Gain</t>
  </si>
  <si>
    <t>Boil Off Loss</t>
  </si>
  <si>
    <t>Lid</t>
  </si>
  <si>
    <t>OFF</t>
  </si>
  <si>
    <t>Evaporation Rate</t>
  </si>
  <si>
    <t>Grain Absorption Loss</t>
  </si>
  <si>
    <t>Tun Deadspace Loss</t>
  </si>
  <si>
    <t>[°F]</t>
  </si>
  <si>
    <r>
      <t>[</t>
    </r>
    <r>
      <rPr>
        <b/>
        <vertAlign val="subscript"/>
        <sz val="10"/>
        <rFont val="Arial"/>
        <family val="2"/>
      </rPr>
      <t>*</t>
    </r>
    <r>
      <rPr>
        <b/>
        <sz val="10"/>
        <rFont val="Arial"/>
        <family val="2"/>
      </rPr>
      <t>10</t>
    </r>
    <r>
      <rPr>
        <b/>
        <vertAlign val="superscript"/>
        <sz val="10"/>
        <rFont val="Arial"/>
        <family val="2"/>
      </rPr>
      <t>- 4</t>
    </r>
    <r>
      <rPr>
        <b/>
        <sz val="10"/>
        <rFont val="Arial"/>
        <family val="2"/>
      </rPr>
      <t xml:space="preserve"> K</t>
    </r>
    <r>
      <rPr>
        <b/>
        <vertAlign val="superscript"/>
        <sz val="10"/>
        <rFont val="Arial"/>
        <family val="2"/>
      </rPr>
      <t>-1</t>
    </r>
    <r>
      <rPr>
        <b/>
        <sz val="10"/>
        <rFont val="Arial"/>
        <family val="2"/>
      </rPr>
      <t>]</t>
    </r>
  </si>
  <si>
    <t>[°C]</t>
  </si>
  <si>
    <t>https://www.engineeringtoolbox.com/water-density-specific-weight-d_595.html</t>
  </si>
  <si>
    <t>Sparge Water Req</t>
  </si>
  <si>
    <t>1/F</t>
  </si>
  <si>
    <t>1/C</t>
  </si>
  <si>
    <t>T1</t>
  </si>
  <si>
    <t>T2</t>
  </si>
  <si>
    <t>Brew System:</t>
  </si>
  <si>
    <t>Chiller:</t>
  </si>
  <si>
    <t>Fermenter:</t>
  </si>
  <si>
    <t>Hydrometer:</t>
  </si>
  <si>
    <t>Measuring Tool Calibration</t>
  </si>
  <si>
    <t>Supporting Calculations</t>
  </si>
  <si>
    <t>Brew Day Equipment Profiles</t>
  </si>
  <si>
    <t>ON</t>
  </si>
  <si>
    <t>No Sparge</t>
  </si>
  <si>
    <t>20 Gal Spike Kettle, Coleman 72 qt Cooler, Gas, Pump</t>
  </si>
  <si>
    <t>20 Gal Spike Kettle, Coleman 72 qt Cooler, Gas, Gravity</t>
  </si>
  <si>
    <t>Blichmann BrewEasy, 10 Gal, Electric, 75% Power</t>
  </si>
  <si>
    <t>Spike Solo, 66% Power</t>
  </si>
  <si>
    <t>Evaporation Rate w/ Lid…</t>
  </si>
  <si>
    <t>Final Temperature</t>
  </si>
  <si>
    <t>Calculation</t>
  </si>
  <si>
    <t>Total Diastatic Power (°Lintner)</t>
  </si>
  <si>
    <t>Mash Tun Check</t>
  </si>
  <si>
    <t>1. Watch Recipe Calculator Tutorials and related What's New videos on my YouTube Channel</t>
  </si>
  <si>
    <t>Infusion</t>
  </si>
  <si>
    <t>Displacement   Volume</t>
  </si>
  <si>
    <t>Chiller Configuration</t>
  </si>
  <si>
    <t>JaDed Prototype Cobra for Solo</t>
  </si>
  <si>
    <t>Fermenter Configuration</t>
  </si>
  <si>
    <t>Thermal Expansion Coefficient</t>
  </si>
  <si>
    <t>Source:</t>
  </si>
  <si>
    <t xml:space="preserve">y = 0.00000205x - 0.00001596
</t>
  </si>
  <si>
    <t>US Units</t>
  </si>
  <si>
    <t>Metric Units</t>
  </si>
  <si>
    <t xml:space="preserve">y = 0.00000633x + 0.00011120
</t>
  </si>
  <si>
    <t>Linear Trendline</t>
  </si>
  <si>
    <t>Volumetric Coefficient of Thermal Expansion</t>
  </si>
  <si>
    <t>Slope</t>
  </si>
  <si>
    <t>Trendline</t>
  </si>
  <si>
    <t>Metric</t>
  </si>
  <si>
    <t>Unit Dependent Constants</t>
  </si>
  <si>
    <t>Vol Coeff of Thermal Exp</t>
  </si>
  <si>
    <t>Packaging</t>
  </si>
  <si>
    <t>Packaged Beer</t>
  </si>
  <si>
    <t>Packageable Beer</t>
  </si>
  <si>
    <t xml:space="preserve"> Volume</t>
  </si>
  <si>
    <t>Dry Grain</t>
  </si>
  <si>
    <t>Add/Drain</t>
  </si>
  <si>
    <t>Drain</t>
  </si>
  <si>
    <t>Add &amp; Drain</t>
  </si>
  <si>
    <t>Total Water Req'd</t>
  </si>
  <si>
    <t>Batch Sparge</t>
  </si>
  <si>
    <t>Fly Sparge</t>
  </si>
  <si>
    <t>Grain + Water</t>
  </si>
  <si>
    <t>Tun Vol w/</t>
  </si>
  <si>
    <t>Starting</t>
  </si>
  <si>
    <t>Ending</t>
  </si>
  <si>
    <t>MAX Available Sparge Additions</t>
  </si>
  <si>
    <t>Number of Drain Steps Required</t>
  </si>
  <si>
    <t>Add Top Up Water</t>
  </si>
  <si>
    <t>Refractometer</t>
  </si>
  <si>
    <t>Check</t>
  </si>
  <si>
    <t>Style:</t>
  </si>
  <si>
    <t>15 min</t>
  </si>
  <si>
    <t>Calories per US Pint:</t>
  </si>
  <si>
    <t xml:space="preserve">2. Download this Excel file from https://beernbbqbylarry.com and save it to your computer. </t>
  </si>
  <si>
    <t>Support my work. Send me a tip:</t>
  </si>
  <si>
    <t>Something Bad</t>
  </si>
  <si>
    <t>Something Good</t>
  </si>
  <si>
    <t>Something Concerning</t>
  </si>
  <si>
    <t>Water Allocation Across…</t>
  </si>
  <si>
    <t>1 Vessel</t>
  </si>
  <si>
    <t>2 Vessel</t>
  </si>
  <si>
    <t>Hydrometer</t>
  </si>
  <si>
    <t>Step #</t>
  </si>
  <si>
    <t>Mash Schedule &amp; Water Infusions</t>
  </si>
  <si>
    <t>mL</t>
  </si>
  <si>
    <t>4. Add your equipment profiles.</t>
  </si>
  <si>
    <t>5. Configure the Brewhouse Setup &amp; Cacls tab with your equipment, process, &amp; environment variables.</t>
  </si>
  <si>
    <t>6. Go to Grain &amp; Sugar Calcs tab to specifiy your desired types and amounts of grains and sugars.</t>
  </si>
  <si>
    <t>7. Go to Hops Calcs tab to specify types and amounts of hops.</t>
  </si>
  <si>
    <t>8. Go to Water Calcs tab to specific water chemistry additions if necessary/desired.</t>
  </si>
  <si>
    <t>9. Go to Recipe Sheet tab to select yeast strain, add other ingredients as necessary, and enter other miscellaneous information.</t>
  </si>
  <si>
    <t>10. Save, print (or use tablet, phone, or laptop to view), and use on brew day. Works best with Excel 2010 or higher</t>
  </si>
  <si>
    <t xml:space="preserve">11. If you find this spreadsheet and related videos helpful, please consider supporting my work by donating via PayPal: </t>
  </si>
  <si>
    <t>https://beernbbqbylarry.com/donate/</t>
  </si>
  <si>
    <t>FermZilla All-Rounder 30L</t>
  </si>
  <si>
    <t>FermZilla All-Rounder 30L, Spike Flex+</t>
  </si>
  <si>
    <t>4 Top Up Water</t>
  </si>
  <si>
    <t>4 Subseq Water Add'</t>
  </si>
  <si>
    <t>Manual Entry</t>
  </si>
  <si>
    <t>Drop Down Selection</t>
  </si>
  <si>
    <t>Autofilled</t>
  </si>
  <si>
    <t>beernbbqbylarry.com</t>
  </si>
  <si>
    <t xml:space="preserve">For tutorials, go to: </t>
  </si>
  <si>
    <t>Loose</t>
  </si>
  <si>
    <t>20 Gal Blichmann Kettle, Coleman 72 qt Cooler, Electric, Pump</t>
  </si>
  <si>
    <t>Real Grist Ratio</t>
  </si>
  <si>
    <t>20 Gal Spike Kettle, Coleman 72 qt Cooler, Elect, 66% Power, Pump</t>
  </si>
  <si>
    <t>JaDeD Concentric Hydra w ElectriChair</t>
  </si>
  <si>
    <t>4.0 Major Update:
- Recalculations around volumes and volume thermal expansions/contractions at every step of the process.
- Added Equipment Profiles.
- Added calorie counter.
- Added Step Mash and infusion calculations.
- Fixed issues with water tab entries for grain ph.
- Added mash evaporation rate.
- Corrected boil kettle deadspace loss for hops in and out of kettle.
- Added another hops row.
- Display lactic acid addition on recipe sheet.
- Accommodates 2 vessel systems like the BrewEasy.
- Update default hop absorption rate value.</t>
  </si>
  <si>
    <t>Whirlfloc tablets</t>
  </si>
  <si>
    <t>Fermenter King 35L Snubnose Gen3</t>
  </si>
  <si>
    <t>FK 35L Snubnose, FermZilla AR 30L</t>
  </si>
  <si>
    <t>Cannabis, Decarboxylated</t>
  </si>
  <si>
    <t>N/A</t>
  </si>
  <si>
    <t>FK 35L Snubnose, Spike Flex+</t>
  </si>
  <si>
    <t>Blichmann BrewEasy, 10 Gal, Electric, 75% Power, HiGrav</t>
  </si>
  <si>
    <t>Corrected</t>
  </si>
  <si>
    <t>Total Water Required</t>
  </si>
  <si>
    <t>Schedule</t>
  </si>
  <si>
    <t>Actual Corrected</t>
  </si>
  <si>
    <t>Sparge Water Req'd</t>
  </si>
  <si>
    <t>Wort Collected</t>
  </si>
  <si>
    <t>Fermentation &amp; Clarification</t>
  </si>
  <si>
    <t>kg</t>
  </si>
  <si>
    <t>Weight &amp; Mass</t>
  </si>
  <si>
    <t>qt</t>
  </si>
  <si>
    <t>F</t>
  </si>
  <si>
    <t>C</t>
  </si>
  <si>
    <t>lbm</t>
  </si>
  <si>
    <t>ozm</t>
  </si>
  <si>
    <t>gal</t>
  </si>
  <si>
    <t>Grains Only Contribution</t>
  </si>
  <si>
    <t>Lautering Process (Wort Separation)</t>
  </si>
  <si>
    <t>Mash Extract Efficiency</t>
  </si>
  <si>
    <t>Boil Process</t>
  </si>
  <si>
    <t>Sugar:</t>
  </si>
  <si>
    <t>Amount of Chosen Sugar to Add</t>
  </si>
  <si>
    <t>Boil off Rate</t>
  </si>
  <si>
    <t>Chilled Volume</t>
  </si>
  <si>
    <t>O.G.</t>
  </si>
  <si>
    <t>F.G.</t>
  </si>
  <si>
    <t>Fermenter(s):</t>
  </si>
  <si>
    <t>pt/lb/gal</t>
  </si>
  <si>
    <t>Specific Gravity Point Deficit or Surplus</t>
  </si>
  <si>
    <t>Amount of Water to Add</t>
  </si>
  <si>
    <t>S.G.</t>
  </si>
  <si>
    <t>Recirc. Hose Loss</t>
  </si>
  <si>
    <t>Hoses</t>
  </si>
  <si>
    <t>Recirculation Volume</t>
  </si>
  <si>
    <t>Adjusted</t>
  </si>
  <si>
    <t>Grain Absorb Rate</t>
  </si>
  <si>
    <t>Boil Hops</t>
  </si>
  <si>
    <t>Dry Hops</t>
  </si>
  <si>
    <t>Dry Hop Abs Loss</t>
  </si>
  <si>
    <t>Starting Liquor-Grist Ratio</t>
  </si>
  <si>
    <t>Adjustments Required to Achieve Design S.G.</t>
  </si>
  <si>
    <t>Start Volume</t>
  </si>
  <si>
    <t xml:space="preserve">Into Fermenter </t>
  </si>
  <si>
    <t>Into Bright Tank or Aging Vessel</t>
  </si>
  <si>
    <t>NOTE: Water Infusions below assume a preheated mash tun.</t>
  </si>
  <si>
    <t>Grainfather G30 CFC</t>
  </si>
  <si>
    <t>Imaginary Plate Chiller</t>
  </si>
  <si>
    <t>Plate</t>
  </si>
  <si>
    <t>To Calculate Abs Rate</t>
  </si>
  <si>
    <t>Strike Water (Preheated Tun)</t>
  </si>
  <si>
    <t>Infusion
Corrected</t>
  </si>
  <si>
    <t>Total Strike Water</t>
  </si>
  <si>
    <t>Exchilerator CFC</t>
  </si>
  <si>
    <t>Actual Amount Added:</t>
  </si>
  <si>
    <t>Pellet</t>
  </si>
  <si>
    <t>CrispMalt</t>
  </si>
  <si>
    <t>Roasted Malt: Crisp Pale Chocolate Malt</t>
  </si>
  <si>
    <t>https://bsgcraft.com/</t>
  </si>
  <si>
    <t>EasyDen (Not a Hydrometer)</t>
  </si>
  <si>
    <t>Fermenter King Junior</t>
  </si>
  <si>
    <t>None</t>
  </si>
  <si>
    <t>Beer-N-BBQ by Larry</t>
  </si>
  <si>
    <t>DIY 3/8 x 25'</t>
  </si>
  <si>
    <t>4.5 Gal Kettle, Extract w/Grains</t>
  </si>
  <si>
    <t>8 Gal Kettle, Extract w/Grains</t>
  </si>
  <si>
    <t>Chicago (Lake Michigan)</t>
  </si>
  <si>
    <t>Kegmenter</t>
  </si>
  <si>
    <t>5.0 - Fixed Sparge water volume on water additions tabs. 
- Added more cells to record variables in recipe sheet.
- Account for hose volume.
- Added new specialty dry hop ingredient.
- Account for dry hops in fermenter.
- Added quick sugar/vol adjustments on recipe sheet to account for lower or higher extract efficiency than expected.
- Auto select hydrometer values over refractometer values when calculating other values.
- Added more temperature adjustments and checks throughout for more accurate results.
- Display chiller used on Recipe Sheet.
- Consolidated some cells to simplify recipe sheet.
- Better manual entry guidance on Recipe Sheet by blocking out unnecesary cells per selected brewing system/method.
- Changed manual and calculated cell colors to lighter hues to save printer ink and for better readability.
- Added more Data Validation Tool Tips for select cells.
WARING: Limited testing done especially with metric units. Use at own risk.</t>
  </si>
  <si>
    <t>21B. Specialty IPA: Brut IPA</t>
  </si>
  <si>
    <t>21C. Hazy IPA</t>
  </si>
  <si>
    <t>23G. Gose</t>
  </si>
  <si>
    <t>27. Historical Beer: Kentucky Common</t>
  </si>
  <si>
    <t>27. Historical Beer: Lichtenhainer</t>
  </si>
  <si>
    <t>27. Historical Beer: London Brown Ale</t>
  </si>
  <si>
    <t>27. Historical Beer: Piwo Grodziskie</t>
  </si>
  <si>
    <t>27. Historical Beer: Pre-Prohibition Lager</t>
  </si>
  <si>
    <t>27. Historical Beer: Pre-Prohibition Porter</t>
  </si>
  <si>
    <t>27. Historical Beer: Roggenbier</t>
  </si>
  <si>
    <t>27. Historical Beer: Sahti</t>
  </si>
  <si>
    <t>28D. Straight Sour Beer</t>
  </si>
  <si>
    <t>29D. Grape Ale</t>
  </si>
  <si>
    <t>30D. Specialty Spice Beer</t>
  </si>
  <si>
    <t>34A. Commercial Specialty Beer</t>
  </si>
  <si>
    <t>27. Historical Beer: Kellerbier, German Pils</t>
  </si>
  <si>
    <t>27. Historical Beer: Kellerbier, Munich Helles</t>
  </si>
  <si>
    <t>27. Historical Beer: Kellerbier, Märzen</t>
  </si>
  <si>
    <t>27. Historical Beer: Kellerbier, Munich Dunkel</t>
  </si>
  <si>
    <t>5.0.1 - Updated BJCP Guidleines from 2015 to 2021.</t>
  </si>
  <si>
    <t>Rice, Brown (Requires Gelatinization)</t>
  </si>
  <si>
    <t>Rice, White (Requires Gelatinization)</t>
  </si>
  <si>
    <t>Rice Syrup</t>
  </si>
  <si>
    <t>https://mydigitalpublication.com/publication/frame.php?i=401567&amp;p=50&amp;pn=&amp;ver=html5</t>
  </si>
  <si>
    <t>5.0.2 - Added ingredients (rice) to grain list.</t>
  </si>
  <si>
    <t>Medium-Low</t>
  </si>
  <si>
    <t>Versatile, crisp, malty profile, light esters and a wide fermentation range. This is thought to be the world’s most used lager strain and can produce a convincing lager at ale temperatures. Fermenting in the low temperature range (45 – 55° F), it maintains a more crisp profile. Temperatures higher in range (65 – 68° F) bring out slightly heightened esters. Rest for diacetyl.</t>
  </si>
  <si>
    <t>Pilsner I OYL-101</t>
  </si>
  <si>
    <t>German Lager I OYL-106</t>
  </si>
  <si>
    <t>Thought to be the H strain of the famous Plzen brewer, this lager strain has a dry and neutral taste profile and is gently malty with a lightly perceptible floral aroma. The first of the famous Czech strains inspiring America’s most famous light, brilliantly clear, golden lagers. Commonly produces sulfur during fermentation that clears during lagering. Watch out for diacetyl.</t>
  </si>
  <si>
    <t>80-84</t>
  </si>
  <si>
    <t>BU:GU Ratio:</t>
  </si>
  <si>
    <t>BrewBuilt X2 14 Gal</t>
  </si>
  <si>
    <t>5.0.3 - Added misc ingredients to ingredients lists.
- Added BU:GU Ratio on recipe sheet.
- Added BrewBuilt X2 14 Gal Fermenter Equipment Profile.
- Adjusted BrewEasy boil-off rate and grain absorption ratio.</t>
  </si>
  <si>
    <t>Spike Wort Chiller</t>
  </si>
  <si>
    <t>Thought to be from the famous brewery in Aying, Bavaria, this is a versatile lager strain that balances malt and hop flavors well. It is superb for bocks, doppelbocks, Oktoberfest lagers, helles and a favorite for American pilsners, too.</t>
  </si>
  <si>
    <t>German Bock OYL-111</t>
  </si>
  <si>
    <t>5.0.4 - Added ingredients; Omega German Bock Yeast.
- Added BrewEasy Compact equipment profile</t>
  </si>
  <si>
    <t>Therminator</t>
  </si>
  <si>
    <t>https://crispmalt.com/en-us/malts/pale-chocolate-malt/</t>
  </si>
  <si>
    <t>Chocolate Malt: Crisp Pale Chocolate Malt</t>
  </si>
  <si>
    <t>BrewEasy Compact, 65% PWR, Sparge Req'd</t>
  </si>
  <si>
    <t>BrewEasy Compact,  65% PWR, No Sparge</t>
  </si>
  <si>
    <t>BrewBuilt X3 14 Gal</t>
  </si>
  <si>
    <t>Dry Yeast</t>
  </si>
  <si>
    <t>pitch</t>
  </si>
  <si>
    <t>2 pkg</t>
  </si>
  <si>
    <t>5.0.5 - Added BrewBuilt X3 14 gal equipment profile</t>
  </si>
  <si>
    <t>2</t>
  </si>
  <si>
    <t>18G Anvil Foundry, No Sparge, 75% PWR</t>
  </si>
  <si>
    <t>18G Anvil Foundry, Sparge, 75% PWR</t>
  </si>
  <si>
    <t>Gelatin</t>
  </si>
  <si>
    <t>Anvil Stainless IC</t>
  </si>
  <si>
    <t>10g</t>
  </si>
  <si>
    <t>5.0.6 - Added Anvil Foundry equipment profile</t>
  </si>
  <si>
    <t>5.0.6.1 - added nova lager yeast</t>
  </si>
  <si>
    <t>NovaLager</t>
  </si>
  <si>
    <t>78-84%</t>
  </si>
  <si>
    <t>keg</t>
  </si>
  <si>
    <t xml:space="preserve">NOTES:
• Brew Day note: 
• Fermentation: Pressure ferment ~2-3 weeks @ 10 psi pressure at ~59 deg F.
• Raise to 65 F 2-3 days for diacetyl rest.
• Cold crash to 36 F for 2+ days. 
• Dump trub.
• Gelatin fine in kegs: Rate 1g gelatin per gallon of beer: Dissolve in 2 oz boiled but cooled dechlorinated water per gram gelatin. Stir. Heat to 160 deg F.  Add to kegs and agitate. Purge headspace with CO2.
• Rack via closed transfer through filter if possible and chill.
• Carbonate then pour off sediment.
Misc Notes: Hop substitutes: Galena, Chinook, Eroica, Nugget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</si>
</sst>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 numFmtId="172" formatCode="0.000000000000"/>
    <numFmt numFmtId="173" formatCode="0.00000000"/>
  </numFmts>
  <fonts count="54"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b/>
      <vertAlign val="subscript"/>
      <sz val="10"/>
      <name val="Arial"/>
      <family val="2"/>
    </font>
    <font>
      <i/>
      <sz val="10"/>
      <name val="Arial"/>
      <family val="2"/>
    </font>
    <font>
      <b/>
      <sz val="11"/>
      <color theme="1"/>
      <name val="Calibri"/>
      <family val="2"/>
      <scheme val="minor"/>
    </font>
    <font>
      <sz val="9"/>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
      <b/>
      <sz val="8"/>
      <name val="Arial"/>
      <family val="2"/>
    </font>
    <font>
      <b/>
      <i/>
      <sz val="9"/>
      <name val="Arial"/>
      <family val="2"/>
    </font>
    <font>
      <sz val="8"/>
      <name val="Arial"/>
      <family val="2"/>
    </font>
    <font>
      <b/>
      <sz val="14"/>
      <name val="Arial"/>
      <family val="2"/>
    </font>
    <font>
      <b/>
      <vertAlign val="superscript"/>
      <sz val="10"/>
      <name val="Arial"/>
      <family val="2"/>
    </font>
    <font>
      <sz val="10"/>
      <name val="Comic Sans MS"/>
      <family val="4"/>
    </font>
    <font>
      <i/>
      <sz val="9"/>
      <name val="Arial"/>
      <family val="2"/>
    </font>
  </fonts>
  <fills count="2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9" tint="0.59996337778862885"/>
        <bgColor indexed="64"/>
      </patternFill>
    </fill>
    <fill>
      <patternFill patternType="solid">
        <fgColor rgb="FFCCCCFF"/>
        <bgColor indexed="64"/>
      </patternFill>
    </fill>
    <fill>
      <patternFill patternType="solid">
        <fgColor rgb="FFFFFF66"/>
        <bgColor indexed="64"/>
      </patternFill>
    </fill>
    <fill>
      <patternFill patternType="solid">
        <fgColor rgb="FFFFFFCC"/>
        <bgColor indexed="64"/>
      </patternFill>
    </fill>
    <fill>
      <patternFill patternType="solid">
        <fgColor rgb="FFCCECFF"/>
        <bgColor indexed="64"/>
      </patternFill>
    </fill>
  </fills>
  <borders count="1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n">
        <color indexed="64"/>
      </left>
      <right style="thick">
        <color indexed="64"/>
      </right>
      <top style="thin">
        <color indexed="64"/>
      </top>
      <bottom style="thick">
        <color indexed="64"/>
      </bottom>
      <diagonal/>
    </border>
    <border>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thick">
        <color auto="1"/>
      </left>
      <right style="medium">
        <color auto="1"/>
      </right>
      <top/>
      <bottom style="thin">
        <color indexed="64"/>
      </bottom>
      <diagonal/>
    </border>
    <border>
      <left style="thick">
        <color auto="1"/>
      </left>
      <right style="medium">
        <color auto="1"/>
      </right>
      <top style="thin">
        <color indexed="64"/>
      </top>
      <bottom style="thin">
        <color indexed="64"/>
      </bottom>
      <diagonal/>
    </border>
    <border>
      <left style="thick">
        <color auto="1"/>
      </left>
      <right style="medium">
        <color auto="1"/>
      </right>
      <top style="thin">
        <color indexed="64"/>
      </top>
      <bottom style="thick">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right style="thick">
        <color indexed="64"/>
      </right>
      <top style="double">
        <color indexed="64"/>
      </top>
      <bottom/>
      <diagonal/>
    </border>
    <border>
      <left/>
      <right/>
      <top/>
      <bottom style="double">
        <color indexed="64"/>
      </bottom>
      <diagonal/>
    </border>
    <border>
      <left style="thick">
        <color indexed="64"/>
      </left>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thin">
        <color auto="1"/>
      </right>
      <top style="medium">
        <color auto="1"/>
      </top>
      <bottom/>
      <diagonal/>
    </border>
    <border>
      <left style="thin">
        <color indexed="64"/>
      </left>
      <right style="thick">
        <color indexed="64"/>
      </right>
      <top style="medium">
        <color auto="1"/>
      </top>
      <bottom/>
      <diagonal/>
    </border>
    <border>
      <left style="thick">
        <color auto="1"/>
      </left>
      <right style="medium">
        <color auto="1"/>
      </right>
      <top style="medium">
        <color auto="1"/>
      </top>
      <bottom/>
      <diagonal/>
    </border>
    <border>
      <left style="thick">
        <color auto="1"/>
      </left>
      <right style="medium">
        <color auto="1"/>
      </right>
      <top/>
      <bottom/>
      <diagonal/>
    </border>
    <border>
      <left style="thick">
        <color auto="1"/>
      </left>
      <right style="medium">
        <color auto="1"/>
      </right>
      <top/>
      <bottom style="double">
        <color indexed="64"/>
      </bottom>
      <diagonal/>
    </border>
    <border>
      <left style="thin">
        <color indexed="64"/>
      </left>
      <right style="thin">
        <color indexed="64"/>
      </right>
      <top style="medium">
        <color indexed="64"/>
      </top>
      <bottom/>
      <diagonal/>
    </border>
    <border>
      <left style="thick">
        <color indexed="64"/>
      </left>
      <right/>
      <top style="double">
        <color indexed="64"/>
      </top>
      <bottom style="thin">
        <color indexed="64"/>
      </bottom>
      <diagonal/>
    </border>
    <border>
      <left style="thick">
        <color indexed="64"/>
      </left>
      <right/>
      <top style="double">
        <color indexed="64"/>
      </top>
      <bottom/>
      <diagonal/>
    </border>
    <border>
      <left style="thick">
        <color indexed="64"/>
      </left>
      <right/>
      <top/>
      <bottom style="double">
        <color indexed="64"/>
      </bottom>
      <diagonal/>
    </border>
    <border>
      <left style="thick">
        <color indexed="64"/>
      </left>
      <right/>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double">
        <color indexed="64"/>
      </bottom>
      <diagonal/>
    </border>
    <border>
      <left style="thick">
        <color indexed="64"/>
      </left>
      <right/>
      <top style="thin">
        <color indexed="64"/>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double">
        <color indexed="64"/>
      </top>
      <bottom style="thick">
        <color indexed="64"/>
      </bottom>
      <diagonal/>
    </border>
    <border>
      <left style="medium">
        <color auto="1"/>
      </left>
      <right style="thin">
        <color indexed="64"/>
      </right>
      <top/>
      <bottom/>
      <diagonal/>
    </border>
    <border>
      <left/>
      <right/>
      <top style="double">
        <color indexed="64"/>
      </top>
      <bottom/>
      <diagonal/>
    </border>
    <border>
      <left style="medium">
        <color indexed="64"/>
      </left>
      <right style="thin">
        <color indexed="64"/>
      </right>
      <top/>
      <bottom style="double">
        <color indexed="64"/>
      </bottom>
      <diagonal/>
    </border>
    <border>
      <left/>
      <right style="thick">
        <color indexed="64"/>
      </right>
      <top/>
      <bottom style="double">
        <color indexed="64"/>
      </bottom>
      <diagonal/>
    </border>
    <border>
      <left style="thin">
        <color indexed="64"/>
      </left>
      <right style="thick">
        <color indexed="64"/>
      </right>
      <top style="thin">
        <color indexed="64"/>
      </top>
      <bottom style="double">
        <color indexed="64"/>
      </bottom>
      <diagonal/>
    </border>
    <border>
      <left/>
      <right style="thin">
        <color indexed="64"/>
      </right>
      <top style="thick">
        <color indexed="64"/>
      </top>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style="thin">
        <color indexed="64"/>
      </right>
      <top style="double">
        <color indexed="64"/>
      </top>
      <bottom/>
      <diagonal/>
    </border>
    <border>
      <left style="thick">
        <color indexed="64"/>
      </left>
      <right style="thin">
        <color indexed="64"/>
      </right>
      <top/>
      <bottom style="thick">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style="thick">
        <color indexed="64"/>
      </right>
      <top style="double">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style="thin">
        <color indexed="64"/>
      </top>
      <bottom style="thick">
        <color indexed="64"/>
      </bottom>
      <diagonal/>
    </border>
    <border>
      <left/>
      <right style="thin">
        <color auto="1"/>
      </right>
      <top/>
      <bottom/>
      <diagonal/>
    </border>
    <border>
      <left style="thick">
        <color indexed="64"/>
      </left>
      <right style="medium">
        <color indexed="64"/>
      </right>
      <top style="thick">
        <color indexed="64"/>
      </top>
      <bottom/>
      <diagonal/>
    </border>
    <border>
      <left style="thin">
        <color auto="1"/>
      </left>
      <right style="thin">
        <color indexed="64"/>
      </right>
      <top/>
      <bottom/>
      <diagonal/>
    </border>
    <border>
      <left/>
      <right style="medium">
        <color indexed="64"/>
      </right>
      <top style="thick">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thin">
        <color indexed="64"/>
      </right>
      <top style="double">
        <color indexed="64"/>
      </top>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ck">
        <color indexed="64"/>
      </top>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ck">
        <color indexed="64"/>
      </bottom>
      <diagonal/>
    </border>
    <border>
      <left style="medium">
        <color indexed="64"/>
      </left>
      <right style="thick">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right style="thick">
        <color indexed="64"/>
      </right>
      <top style="medium">
        <color indexed="64"/>
      </top>
      <bottom/>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ck">
        <color indexed="64"/>
      </left>
      <right style="thick">
        <color indexed="64"/>
      </right>
      <top style="medium">
        <color indexed="64"/>
      </top>
      <bottom/>
      <diagonal/>
    </border>
    <border>
      <left style="thick">
        <color indexed="64"/>
      </left>
      <right style="thick">
        <color indexed="64"/>
      </right>
      <top/>
      <bottom/>
      <diagonal/>
    </border>
    <border>
      <left style="thick">
        <color indexed="64"/>
      </left>
      <right style="thick">
        <color indexed="64"/>
      </right>
      <top/>
      <bottom style="double">
        <color indexed="64"/>
      </bottom>
      <diagonal/>
    </border>
    <border>
      <left style="thin">
        <color indexed="64"/>
      </left>
      <right/>
      <top style="thin">
        <color indexed="64"/>
      </top>
      <bottom style="thick">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thick">
        <color indexed="64"/>
      </bottom>
      <diagonal/>
    </border>
  </borders>
  <cellStyleXfs count="9">
    <xf numFmtId="0" fontId="0" fillId="0" borderId="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36" fillId="0" borderId="0" applyNumberFormat="0" applyFill="0" applyBorder="0" applyAlignment="0" applyProtection="0">
      <alignment vertical="top"/>
      <protection locked="0"/>
    </xf>
    <xf numFmtId="0" fontId="2" fillId="0" borderId="0"/>
    <xf numFmtId="0" fontId="44" fillId="0" borderId="0" applyNumberFormat="0" applyFill="0" applyBorder="0" applyAlignment="0" applyProtection="0"/>
    <xf numFmtId="0" fontId="1" fillId="0" borderId="0"/>
  </cellStyleXfs>
  <cellXfs count="1393">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7" fillId="0" borderId="0" xfId="0" applyFont="1" applyAlignment="1">
      <alignment horizontal="center" vertical="center" wrapText="1"/>
    </xf>
    <xf numFmtId="0" fontId="4" fillId="0" borderId="1" xfId="0" applyFont="1" applyBorder="1" applyAlignment="1">
      <alignment horizontal="center" vertical="top" wrapText="1"/>
    </xf>
    <xf numFmtId="165" fontId="0" fillId="0" borderId="1" xfId="0" applyNumberFormat="1" applyBorder="1" applyAlignment="1">
      <alignment horizontal="center"/>
    </xf>
    <xf numFmtId="0" fontId="0" fillId="0" borderId="1" xfId="0" applyBorder="1" applyAlignment="1">
      <alignment horizontal="left"/>
    </xf>
    <xf numFmtId="0" fontId="6" fillId="0" borderId="0" xfId="0" applyFont="1"/>
    <xf numFmtId="0" fontId="4" fillId="0" borderId="1" xfId="0" applyFont="1" applyBorder="1"/>
    <xf numFmtId="0" fontId="4"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4" fillId="0" borderId="0" xfId="0" applyFont="1" applyAlignment="1">
      <alignment horizontal="right"/>
    </xf>
    <xf numFmtId="2" fontId="4" fillId="0" borderId="0" xfId="0" applyNumberFormat="1" applyFont="1" applyAlignment="1">
      <alignment horizontal="right"/>
    </xf>
    <xf numFmtId="0" fontId="0" fillId="0" borderId="0" xfId="0" applyAlignment="1">
      <alignment horizontal="center" vertical="center" wrapText="1"/>
    </xf>
    <xf numFmtId="166" fontId="0" fillId="0" borderId="0" xfId="0" applyNumberFormat="1"/>
    <xf numFmtId="0" fontId="3" fillId="0" borderId="0" xfId="0" applyFont="1" applyAlignment="1">
      <alignment horizontal="center"/>
    </xf>
    <xf numFmtId="0" fontId="4" fillId="0" borderId="0" xfId="0" applyFont="1" applyAlignment="1">
      <alignment horizontal="left"/>
    </xf>
    <xf numFmtId="0" fontId="4" fillId="0" borderId="1" xfId="0" applyFont="1" applyBorder="1" applyAlignment="1">
      <alignment horizontal="right"/>
    </xf>
    <xf numFmtId="0" fontId="4" fillId="0" borderId="0" xfId="0" applyFont="1" applyAlignment="1" applyProtection="1">
      <alignment vertical="top" wrapText="1"/>
      <protection locked="0"/>
    </xf>
    <xf numFmtId="0" fontId="4" fillId="0" borderId="0" xfId="0" applyFont="1" applyAlignment="1">
      <alignment horizontal="center"/>
    </xf>
    <xf numFmtId="0" fontId="3" fillId="0" borderId="0" xfId="0" applyFont="1"/>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pplyAlignment="1">
      <alignment vertical="top" wrapText="1"/>
    </xf>
    <xf numFmtId="14" fontId="0" fillId="0" borderId="0" xfId="0" applyNumberFormat="1" applyAlignment="1">
      <alignment horizontal="center" vertical="top"/>
    </xf>
    <xf numFmtId="0" fontId="10" fillId="0" borderId="0" xfId="2" applyAlignment="1" applyProtection="1">
      <alignment horizontal="center"/>
    </xf>
    <xf numFmtId="0" fontId="0" fillId="0" borderId="15" xfId="0"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4" fillId="0" borderId="0" xfId="0" applyFont="1" applyAlignment="1">
      <alignment horizontal="center" vertical="center" wrapText="1"/>
    </xf>
    <xf numFmtId="14" fontId="0" fillId="0" borderId="0" xfId="0" applyNumberFormat="1"/>
    <xf numFmtId="0" fontId="0" fillId="0" borderId="0" xfId="0" applyAlignment="1">
      <alignment wrapText="1"/>
    </xf>
    <xf numFmtId="14" fontId="0" fillId="0" borderId="0" xfId="0" applyNumberFormat="1" applyAlignment="1">
      <alignment vertical="top"/>
    </xf>
    <xf numFmtId="0" fontId="3" fillId="0" borderId="0" xfId="0" applyFont="1" applyAlignment="1">
      <alignment horizontal="center" vertical="center" wrapText="1"/>
    </xf>
    <xf numFmtId="0" fontId="3" fillId="0" borderId="10" xfId="0" applyFont="1" applyBorder="1" applyAlignment="1">
      <alignment horizontal="center"/>
    </xf>
    <xf numFmtId="169" fontId="4" fillId="0" borderId="0" xfId="0" applyNumberFormat="1" applyFont="1"/>
    <xf numFmtId="0" fontId="10" fillId="0" borderId="0" xfId="2" applyAlignment="1" applyProtection="1"/>
    <xf numFmtId="0" fontId="3" fillId="0" borderId="2" xfId="0" applyFont="1" applyBorder="1" applyAlignment="1">
      <alignment horizontal="center" vertical="center" wrapText="1"/>
    </xf>
    <xf numFmtId="166" fontId="0" fillId="3" borderId="1" xfId="0" applyNumberFormat="1" applyFill="1" applyBorder="1" applyAlignment="1">
      <alignment horizontal="center"/>
    </xf>
    <xf numFmtId="0" fontId="10" fillId="0" borderId="11" xfId="2" applyBorder="1" applyAlignment="1" applyProtection="1">
      <alignment horizontal="center"/>
    </xf>
    <xf numFmtId="0" fontId="4" fillId="0" borderId="4" xfId="0" applyFont="1" applyBorder="1" applyAlignment="1">
      <alignment horizontal="center"/>
    </xf>
    <xf numFmtId="0" fontId="4" fillId="0" borderId="9" xfId="0" applyFont="1" applyBorder="1" applyAlignment="1">
      <alignment vertical="center" wrapText="1"/>
    </xf>
    <xf numFmtId="0" fontId="0" fillId="0" borderId="9" xfId="0" applyBorder="1" applyAlignment="1">
      <alignment horizontal="center"/>
    </xf>
    <xf numFmtId="0" fontId="0" fillId="0" borderId="9" xfId="0" applyBorder="1"/>
    <xf numFmtId="166" fontId="4" fillId="0" borderId="0" xfId="0" applyNumberFormat="1" applyFont="1" applyAlignment="1">
      <alignment horizontal="right"/>
    </xf>
    <xf numFmtId="0" fontId="14" fillId="0" borderId="0" xfId="0" applyFont="1"/>
    <xf numFmtId="0" fontId="14" fillId="0" borderId="0" xfId="0" applyFont="1" applyAlignment="1">
      <alignment horizontal="center" vertical="center" wrapText="1"/>
    </xf>
    <xf numFmtId="0" fontId="0" fillId="9" borderId="31" xfId="0" applyFill="1" applyBorder="1"/>
    <xf numFmtId="0" fontId="17" fillId="9" borderId="32" xfId="0" applyFont="1" applyFill="1" applyBorder="1" applyAlignment="1">
      <alignment vertical="center"/>
    </xf>
    <xf numFmtId="0" fontId="0" fillId="9" borderId="32" xfId="0" applyFill="1" applyBorder="1" applyAlignment="1">
      <alignment horizontal="center"/>
    </xf>
    <xf numFmtId="0" fontId="18" fillId="9" borderId="33" xfId="0" applyFont="1" applyFill="1" applyBorder="1" applyAlignment="1" applyProtection="1">
      <alignment horizontal="center"/>
      <protection hidden="1"/>
    </xf>
    <xf numFmtId="0" fontId="0" fillId="9" borderId="34" xfId="0" applyFill="1" applyBorder="1"/>
    <xf numFmtId="0" fontId="17" fillId="9" borderId="0" xfId="0" applyFont="1" applyFill="1" applyAlignment="1">
      <alignment vertical="center"/>
    </xf>
    <xf numFmtId="0" fontId="0" fillId="9" borderId="0" xfId="0" applyFill="1" applyAlignment="1">
      <alignment horizontal="center"/>
    </xf>
    <xf numFmtId="0" fontId="20" fillId="9" borderId="0" xfId="0" applyFont="1" applyFill="1" applyAlignment="1">
      <alignment horizontal="left" indent="1"/>
    </xf>
    <xf numFmtId="0" fontId="4" fillId="9" borderId="0" xfId="0" applyFont="1" applyFill="1" applyAlignment="1">
      <alignment horizontal="center"/>
    </xf>
    <xf numFmtId="0" fontId="0" fillId="9" borderId="34" xfId="0" applyFill="1" applyBorder="1" applyAlignment="1">
      <alignment horizontal="center" vertical="center"/>
    </xf>
    <xf numFmtId="0" fontId="0" fillId="9" borderId="0" xfId="0" applyFill="1" applyAlignment="1">
      <alignment horizontal="right"/>
    </xf>
    <xf numFmtId="0" fontId="21" fillId="9" borderId="0" xfId="0" applyFont="1" applyFill="1" applyAlignment="1">
      <alignment vertical="center" wrapText="1"/>
    </xf>
    <xf numFmtId="0" fontId="0" fillId="9" borderId="35" xfId="0" applyFill="1" applyBorder="1" applyAlignment="1">
      <alignment horizontal="center" vertical="center"/>
    </xf>
    <xf numFmtId="0" fontId="0" fillId="0" borderId="0" xfId="0" applyAlignment="1">
      <alignment horizontal="center" vertical="center"/>
    </xf>
    <xf numFmtId="0" fontId="21" fillId="9" borderId="0" xfId="0" applyFont="1" applyFill="1" applyAlignment="1">
      <alignment horizontal="right" vertical="center"/>
    </xf>
    <xf numFmtId="0" fontId="21" fillId="9" borderId="0" xfId="0" applyFont="1" applyFill="1" applyAlignment="1">
      <alignment horizontal="right"/>
    </xf>
    <xf numFmtId="0" fontId="21" fillId="9" borderId="0" xfId="0" applyFont="1" applyFill="1" applyAlignment="1">
      <alignment vertical="center"/>
    </xf>
    <xf numFmtId="0" fontId="0" fillId="9" borderId="0" xfId="0" applyFill="1"/>
    <xf numFmtId="0" fontId="22" fillId="9" borderId="0" xfId="0" applyFont="1" applyFill="1" applyAlignment="1">
      <alignment vertical="top" wrapText="1"/>
    </xf>
    <xf numFmtId="0" fontId="22" fillId="9" borderId="35" xfId="0" applyFont="1" applyFill="1" applyBorder="1" applyAlignment="1">
      <alignment vertical="top" wrapText="1"/>
    </xf>
    <xf numFmtId="0" fontId="0" fillId="9" borderId="0" xfId="0" applyFill="1" applyAlignment="1">
      <alignment horizontal="center" vertical="center"/>
    </xf>
    <xf numFmtId="0" fontId="0" fillId="9" borderId="0" xfId="0" applyFill="1" applyAlignment="1">
      <alignment horizontal="right" vertical="center"/>
    </xf>
    <xf numFmtId="0" fontId="0" fillId="9" borderId="36" xfId="0" applyFill="1" applyBorder="1" applyAlignment="1">
      <alignment horizontal="center" vertical="center"/>
    </xf>
    <xf numFmtId="0" fontId="0" fillId="9" borderId="37" xfId="0" applyFill="1" applyBorder="1" applyAlignment="1">
      <alignment horizontal="right" vertical="center"/>
    </xf>
    <xf numFmtId="0" fontId="0" fillId="9" borderId="37" xfId="0" applyFill="1" applyBorder="1" applyAlignment="1">
      <alignment horizontal="center" vertical="center"/>
    </xf>
    <xf numFmtId="0" fontId="22" fillId="9" borderId="37" xfId="0" applyFont="1" applyFill="1" applyBorder="1" applyAlignment="1">
      <alignment vertical="top" wrapText="1"/>
    </xf>
    <xf numFmtId="0" fontId="0" fillId="10" borderId="31" xfId="0" applyFill="1" applyBorder="1" applyAlignment="1">
      <alignment horizontal="center" vertical="center"/>
    </xf>
    <xf numFmtId="0" fontId="17" fillId="10" borderId="32" xfId="0" applyFont="1" applyFill="1" applyBorder="1" applyAlignment="1">
      <alignment vertical="center"/>
    </xf>
    <xf numFmtId="0" fontId="0" fillId="10" borderId="32" xfId="0" applyFill="1" applyBorder="1" applyAlignment="1">
      <alignment horizontal="center" vertical="center"/>
    </xf>
    <xf numFmtId="0" fontId="24" fillId="10" borderId="32" xfId="0" applyFont="1" applyFill="1" applyBorder="1" applyAlignment="1">
      <alignment horizontal="center" vertical="center"/>
    </xf>
    <xf numFmtId="0" fontId="24" fillId="10" borderId="0" xfId="0" applyFont="1" applyFill="1" applyAlignment="1">
      <alignment horizontal="center" vertical="center"/>
    </xf>
    <xf numFmtId="0" fontId="22" fillId="10" borderId="33" xfId="0" applyFont="1" applyFill="1" applyBorder="1" applyAlignment="1">
      <alignment horizontal="left" vertical="top" wrapText="1"/>
    </xf>
    <xf numFmtId="0" fontId="0" fillId="10" borderId="34" xfId="0" applyFill="1" applyBorder="1" applyAlignment="1">
      <alignment horizontal="center" vertical="center"/>
    </xf>
    <xf numFmtId="0" fontId="17" fillId="10" borderId="0" xfId="0" applyFont="1" applyFill="1" applyAlignment="1">
      <alignment vertical="center"/>
    </xf>
    <xf numFmtId="0" fontId="0" fillId="10" borderId="0" xfId="0" applyFill="1" applyAlignment="1">
      <alignment horizontal="center" vertical="center"/>
    </xf>
    <xf numFmtId="0" fontId="24" fillId="10" borderId="0" xfId="0" applyFont="1" applyFill="1" applyAlignment="1">
      <alignment horizontal="right" vertical="center"/>
    </xf>
    <xf numFmtId="0" fontId="24" fillId="10" borderId="39" xfId="0" quotePrefix="1" applyFont="1" applyFill="1" applyBorder="1" applyAlignment="1">
      <alignment horizontal="left" vertical="center"/>
    </xf>
    <xf numFmtId="2" fontId="24" fillId="10" borderId="40" xfId="0" applyNumberFormat="1" applyFont="1" applyFill="1" applyBorder="1" applyAlignment="1">
      <alignment horizontal="center" vertical="center"/>
    </xf>
    <xf numFmtId="0" fontId="22" fillId="10" borderId="35" xfId="0" applyFont="1" applyFill="1" applyBorder="1" applyAlignment="1">
      <alignment horizontal="left" vertical="top" wrapText="1"/>
    </xf>
    <xf numFmtId="0" fontId="25" fillId="10" borderId="0" xfId="0" applyFont="1" applyFill="1" applyAlignment="1">
      <alignment vertical="top" wrapText="1"/>
    </xf>
    <xf numFmtId="0" fontId="21" fillId="10" borderId="0" xfId="0" applyFont="1" applyFill="1" applyAlignment="1">
      <alignment horizontal="center" vertical="center"/>
    </xf>
    <xf numFmtId="0" fontId="24" fillId="10" borderId="41" xfId="0" applyFont="1" applyFill="1" applyBorder="1" applyAlignment="1">
      <alignment horizontal="left" vertical="center"/>
    </xf>
    <xf numFmtId="2" fontId="24" fillId="10" borderId="42" xfId="0" applyNumberFormat="1" applyFont="1" applyFill="1" applyBorder="1" applyAlignment="1">
      <alignment horizontal="center" vertical="center"/>
    </xf>
    <xf numFmtId="0" fontId="22" fillId="10" borderId="35" xfId="0" applyFont="1" applyFill="1" applyBorder="1" applyAlignment="1">
      <alignment vertical="top" wrapText="1"/>
    </xf>
    <xf numFmtId="2" fontId="24" fillId="10" borderId="43" xfId="0" applyNumberFormat="1" applyFont="1" applyFill="1" applyBorder="1" applyAlignment="1">
      <alignment horizontal="center" vertical="center"/>
    </xf>
    <xf numFmtId="0" fontId="24" fillId="10" borderId="44" xfId="0" applyFont="1" applyFill="1" applyBorder="1" applyAlignment="1">
      <alignment horizontal="left" vertical="center"/>
    </xf>
    <xf numFmtId="2" fontId="24" fillId="10" borderId="45" xfId="0" applyNumberFormat="1" applyFont="1" applyFill="1" applyBorder="1" applyAlignment="1">
      <alignment horizontal="center" vertical="center"/>
    </xf>
    <xf numFmtId="0" fontId="20" fillId="10" borderId="0" xfId="0" applyFont="1" applyFill="1" applyAlignment="1">
      <alignment horizontal="left" indent="1"/>
    </xf>
    <xf numFmtId="0" fontId="12" fillId="10" borderId="0" xfId="0" applyFont="1" applyFill="1" applyAlignment="1">
      <alignment horizontal="right" vertical="center"/>
    </xf>
    <xf numFmtId="0" fontId="12" fillId="10" borderId="0" xfId="0" applyFont="1" applyFill="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Alignment="1">
      <alignment horizontal="center" vertical="center"/>
    </xf>
    <xf numFmtId="0" fontId="12" fillId="10" borderId="0" xfId="0" applyFont="1" applyFill="1" applyAlignment="1">
      <alignment horizontal="right" vertical="center" wrapText="1"/>
    </xf>
    <xf numFmtId="0" fontId="0" fillId="10" borderId="36" xfId="0" applyFill="1" applyBorder="1"/>
    <xf numFmtId="0" fontId="20" fillId="10" borderId="37" xfId="0" applyFont="1" applyFill="1" applyBorder="1" applyAlignment="1">
      <alignment horizontal="left" indent="1"/>
    </xf>
    <xf numFmtId="0" fontId="22" fillId="10" borderId="37" xfId="0" applyFont="1" applyFill="1" applyBorder="1" applyAlignment="1">
      <alignment vertical="center" wrapText="1"/>
    </xf>
    <xf numFmtId="0" fontId="0" fillId="11" borderId="31" xfId="0" applyFill="1" applyBorder="1"/>
    <xf numFmtId="0" fontId="17" fillId="11" borderId="32" xfId="0" applyFont="1" applyFill="1" applyBorder="1" applyAlignment="1">
      <alignment vertical="center"/>
    </xf>
    <xf numFmtId="0" fontId="12" fillId="11" borderId="32" xfId="0" applyFont="1" applyFill="1" applyBorder="1" applyAlignment="1">
      <alignment horizontal="right" vertical="center"/>
    </xf>
    <xf numFmtId="0" fontId="12" fillId="11" borderId="32" xfId="0" applyFont="1" applyFill="1" applyBorder="1" applyAlignment="1">
      <alignment horizontal="center" vertical="center"/>
    </xf>
    <xf numFmtId="0" fontId="22" fillId="11" borderId="32" xfId="0" applyFont="1" applyFill="1" applyBorder="1" applyAlignment="1">
      <alignment horizontal="left" vertical="center" wrapText="1"/>
    </xf>
    <xf numFmtId="0" fontId="0" fillId="11" borderId="34" xfId="0" applyFill="1" applyBorder="1"/>
    <xf numFmtId="0" fontId="12" fillId="11" borderId="0" xfId="0" applyFont="1" applyFill="1" applyAlignment="1">
      <alignment horizontal="right" vertical="center"/>
    </xf>
    <xf numFmtId="0" fontId="20" fillId="11" borderId="0" xfId="0" applyFont="1" applyFill="1" applyAlignment="1">
      <alignment horizontal="left" indent="1"/>
    </xf>
    <xf numFmtId="0" fontId="0" fillId="11" borderId="0" xfId="0" applyFill="1" applyAlignment="1">
      <alignment horizontal="center"/>
    </xf>
    <xf numFmtId="0" fontId="22" fillId="11" borderId="0" xfId="0" applyFont="1" applyFill="1" applyAlignment="1">
      <alignment vertical="top" wrapText="1"/>
    </xf>
    <xf numFmtId="0" fontId="22" fillId="11" borderId="35" xfId="0" applyFont="1" applyFill="1" applyBorder="1" applyAlignment="1">
      <alignment horizontal="left" vertical="center" wrapText="1"/>
    </xf>
    <xf numFmtId="0" fontId="4" fillId="11" borderId="0" xfId="0" applyFont="1" applyFill="1" applyAlignment="1">
      <alignment horizontal="right" vertical="center" wrapText="1"/>
    </xf>
    <xf numFmtId="1" fontId="4" fillId="11" borderId="48" xfId="0" applyNumberFormat="1" applyFont="1" applyFill="1" applyBorder="1" applyAlignment="1">
      <alignment horizontal="center" vertical="center"/>
    </xf>
    <xf numFmtId="1" fontId="4" fillId="11" borderId="49" xfId="0" applyNumberFormat="1" applyFont="1" applyFill="1" applyBorder="1" applyAlignment="1">
      <alignment horizontal="center" vertical="center"/>
    </xf>
    <xf numFmtId="2" fontId="28" fillId="11" borderId="50" xfId="0" applyNumberFormat="1" applyFont="1" applyFill="1" applyBorder="1" applyAlignment="1">
      <alignment horizontal="center" vertical="center"/>
    </xf>
    <xf numFmtId="1" fontId="29" fillId="11" borderId="51" xfId="0" applyNumberFormat="1" applyFont="1" applyFill="1" applyBorder="1" applyAlignment="1">
      <alignment horizontal="center" vertical="center"/>
    </xf>
    <xf numFmtId="0" fontId="0" fillId="11" borderId="36" xfId="0" applyFill="1" applyBorder="1"/>
    <xf numFmtId="0" fontId="22" fillId="11" borderId="37" xfId="0" applyFont="1" applyFill="1" applyBorder="1" applyAlignment="1">
      <alignment vertical="center" wrapText="1"/>
    </xf>
    <xf numFmtId="0" fontId="22" fillId="11" borderId="37" xfId="0" applyFont="1" applyFill="1" applyBorder="1" applyAlignment="1">
      <alignment vertical="center"/>
    </xf>
    <xf numFmtId="0" fontId="0" fillId="2" borderId="31" xfId="0" applyFill="1" applyBorder="1"/>
    <xf numFmtId="0" fontId="17" fillId="2" borderId="32" xfId="0" applyFont="1" applyFill="1" applyBorder="1" applyAlignment="1">
      <alignment vertical="center"/>
    </xf>
    <xf numFmtId="0" fontId="0" fillId="2" borderId="32" xfId="0" applyFill="1" applyBorder="1" applyAlignment="1">
      <alignment horizontal="center"/>
    </xf>
    <xf numFmtId="0" fontId="30" fillId="2" borderId="32" xfId="0" applyFont="1" applyFill="1" applyBorder="1" applyAlignment="1">
      <alignment horizontal="center"/>
    </xf>
    <xf numFmtId="0" fontId="0" fillId="2" borderId="32" xfId="0" applyFill="1" applyBorder="1" applyAlignment="1">
      <alignment horizontal="center" vertical="center"/>
    </xf>
    <xf numFmtId="0" fontId="0" fillId="2" borderId="33" xfId="0" applyFill="1" applyBorder="1" applyAlignment="1">
      <alignment horizontal="center"/>
    </xf>
    <xf numFmtId="0" fontId="0" fillId="2" borderId="34" xfId="0" applyFill="1" applyBorder="1"/>
    <xf numFmtId="0" fontId="20" fillId="2" borderId="0" xfId="0" applyFont="1" applyFill="1" applyAlignment="1">
      <alignment horizontal="left" indent="1"/>
    </xf>
    <xf numFmtId="0" fontId="0" fillId="2" borderId="0" xfId="0" applyFill="1" applyAlignment="1">
      <alignment horizontal="center"/>
    </xf>
    <xf numFmtId="0" fontId="0" fillId="2" borderId="0" xfId="0" applyFill="1" applyAlignment="1">
      <alignment horizontal="center" vertical="center"/>
    </xf>
    <xf numFmtId="0" fontId="0" fillId="2" borderId="0" xfId="0" applyFill="1"/>
    <xf numFmtId="0" fontId="0" fillId="2" borderId="35" xfId="0" applyFill="1" applyBorder="1" applyAlignment="1">
      <alignment horizontal="center"/>
    </xf>
    <xf numFmtId="0" fontId="12" fillId="2" borderId="0" xfId="0" applyFont="1" applyFill="1" applyAlignment="1">
      <alignment horizontal="left" indent="3"/>
    </xf>
    <xf numFmtId="0" fontId="0" fillId="2" borderId="0" xfId="0" applyFill="1" applyAlignment="1">
      <alignment horizontal="right" vertical="center"/>
    </xf>
    <xf numFmtId="167" fontId="4" fillId="2" borderId="1" xfId="4" applyNumberFormat="1" applyFill="1" applyBorder="1" applyAlignment="1">
      <alignment horizontal="center" vertical="center"/>
    </xf>
    <xf numFmtId="166" fontId="4" fillId="2" borderId="0" xfId="0" applyNumberFormat="1" applyFont="1" applyFill="1" applyAlignment="1">
      <alignment horizontal="right" vertical="center"/>
    </xf>
    <xf numFmtId="9" fontId="4" fillId="2" borderId="1" xfId="4"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166" fontId="3" fillId="2" borderId="0" xfId="0" applyNumberFormat="1" applyFont="1" applyFill="1" applyAlignment="1">
      <alignment horizontal="center" vertical="center"/>
    </xf>
    <xf numFmtId="171" fontId="12" fillId="2" borderId="0" xfId="0" applyNumberFormat="1" applyFont="1" applyFill="1" applyAlignment="1">
      <alignment horizontal="left" vertical="center"/>
    </xf>
    <xf numFmtId="166" fontId="12" fillId="2" borderId="0" xfId="0" applyNumberFormat="1" applyFont="1" applyFill="1" applyAlignment="1">
      <alignment horizontal="left" vertical="center" indent="2"/>
    </xf>
    <xf numFmtId="166" fontId="3" fillId="2" borderId="1" xfId="0" applyNumberFormat="1" applyFont="1" applyFill="1" applyBorder="1" applyAlignment="1">
      <alignment horizontal="center" vertical="center"/>
    </xf>
    <xf numFmtId="166" fontId="12" fillId="2" borderId="0" xfId="0" applyNumberFormat="1" applyFont="1" applyFill="1" applyAlignment="1">
      <alignment horizontal="left" vertical="center" indent="5"/>
    </xf>
    <xf numFmtId="166" fontId="12" fillId="2" borderId="0" xfId="0" applyNumberFormat="1" applyFont="1" applyFill="1" applyAlignment="1">
      <alignment horizontal="left" vertical="center"/>
    </xf>
    <xf numFmtId="166" fontId="12" fillId="2" borderId="0" xfId="0" applyNumberFormat="1" applyFont="1" applyFill="1" applyAlignment="1">
      <alignment vertical="top" wrapText="1"/>
    </xf>
    <xf numFmtId="166" fontId="12" fillId="2" borderId="35" xfId="0" applyNumberFormat="1" applyFont="1" applyFill="1" applyBorder="1" applyAlignment="1">
      <alignment vertical="top" wrapText="1"/>
    </xf>
    <xf numFmtId="0" fontId="12" fillId="2" borderId="0" xfId="0" applyFont="1" applyFill="1" applyAlignment="1">
      <alignment horizontal="left" vertical="center" indent="1"/>
    </xf>
    <xf numFmtId="166" fontId="12" fillId="2" borderId="0" xfId="0" applyNumberFormat="1" applyFont="1" applyFill="1" applyAlignment="1">
      <alignment horizontal="left" vertical="center" indent="3"/>
    </xf>
    <xf numFmtId="166" fontId="12" fillId="2" borderId="37" xfId="0" applyNumberFormat="1" applyFont="1" applyFill="1" applyBorder="1" applyAlignment="1">
      <alignment vertical="top" wrapText="1"/>
    </xf>
    <xf numFmtId="166" fontId="12" fillId="2" borderId="38" xfId="0" applyNumberFormat="1" applyFont="1" applyFill="1" applyBorder="1" applyAlignment="1">
      <alignment vertical="top" wrapText="1"/>
    </xf>
    <xf numFmtId="0" fontId="0" fillId="2" borderId="31" xfId="0" applyFill="1" applyBorder="1" applyAlignment="1">
      <alignment horizontal="center" vertical="center"/>
    </xf>
    <xf numFmtId="166" fontId="3" fillId="2" borderId="32" xfId="0" applyNumberFormat="1" applyFont="1" applyFill="1" applyBorder="1" applyAlignment="1">
      <alignment horizontal="center" vertical="center"/>
    </xf>
    <xf numFmtId="0" fontId="32" fillId="2" borderId="0" xfId="0" applyFont="1" applyFill="1" applyAlignment="1">
      <alignment horizontal="center"/>
    </xf>
    <xf numFmtId="0" fontId="32" fillId="2" borderId="0" xfId="0" applyFont="1" applyFill="1" applyAlignment="1">
      <alignment horizontal="center" vertical="center"/>
    </xf>
    <xf numFmtId="166" fontId="22" fillId="2" borderId="0" xfId="0" applyNumberFormat="1" applyFont="1" applyFill="1" applyAlignment="1">
      <alignment vertical="center" wrapText="1"/>
    </xf>
    <xf numFmtId="0" fontId="0" fillId="2" borderId="37" xfId="0" applyFill="1" applyBorder="1" applyAlignment="1">
      <alignment horizontal="center"/>
    </xf>
    <xf numFmtId="0" fontId="0" fillId="2" borderId="37" xfId="0" applyFill="1" applyBorder="1"/>
    <xf numFmtId="0" fontId="34" fillId="2" borderId="37" xfId="0" applyFont="1" applyFill="1" applyBorder="1" applyAlignment="1">
      <alignment horizontal="left" vertical="center"/>
    </xf>
    <xf numFmtId="0" fontId="0" fillId="2" borderId="38" xfId="0" applyFill="1" applyBorder="1"/>
    <xf numFmtId="0" fontId="0" fillId="9" borderId="33" xfId="0" applyFill="1" applyBorder="1" applyAlignment="1">
      <alignment horizontal="center"/>
    </xf>
    <xf numFmtId="0" fontId="0" fillId="9" borderId="35" xfId="0" applyFill="1" applyBorder="1" applyAlignment="1">
      <alignment horizontal="center"/>
    </xf>
    <xf numFmtId="0" fontId="4" fillId="0" borderId="0" xfId="0" applyFont="1" applyAlignment="1">
      <alignment vertical="center"/>
    </xf>
    <xf numFmtId="0" fontId="4" fillId="9" borderId="34" xfId="0" applyFont="1" applyFill="1" applyBorder="1" applyAlignment="1">
      <alignment vertical="center"/>
    </xf>
    <xf numFmtId="0" fontId="20" fillId="9" borderId="0" xfId="0" applyFont="1" applyFill="1" applyAlignment="1">
      <alignment horizontal="left" vertical="center" indent="1"/>
    </xf>
    <xf numFmtId="0" fontId="4" fillId="9" borderId="35" xfId="0" applyFont="1" applyFill="1" applyBorder="1" applyAlignment="1">
      <alignment horizontal="center" vertical="center"/>
    </xf>
    <xf numFmtId="0" fontId="4" fillId="0" borderId="0" xfId="0" applyFont="1" applyAlignment="1">
      <alignment horizontal="center" vertical="center"/>
    </xf>
    <xf numFmtId="1" fontId="4" fillId="9" borderId="52" xfId="0" applyNumberFormat="1" applyFont="1" applyFill="1" applyBorder="1" applyAlignment="1">
      <alignment horizontal="center" vertical="center"/>
    </xf>
    <xf numFmtId="1" fontId="3" fillId="9" borderId="30" xfId="0" applyNumberFormat="1" applyFont="1" applyFill="1" applyBorder="1" applyAlignment="1">
      <alignment horizontal="center" vertical="center"/>
    </xf>
    <xf numFmtId="0" fontId="12" fillId="9" borderId="0" xfId="0" applyFont="1" applyFill="1" applyAlignment="1">
      <alignment horizontal="right" vertical="center"/>
    </xf>
    <xf numFmtId="1" fontId="35" fillId="9" borderId="57" xfId="0" applyNumberFormat="1" applyFont="1" applyFill="1" applyBorder="1" applyAlignment="1">
      <alignment horizontal="center" vertical="center"/>
    </xf>
    <xf numFmtId="1" fontId="35" fillId="9" borderId="57" xfId="0" quotePrefix="1" applyNumberFormat="1" applyFont="1" applyFill="1" applyBorder="1" applyAlignment="1">
      <alignment horizontal="center" vertical="center"/>
    </xf>
    <xf numFmtId="1" fontId="35" fillId="9" borderId="58" xfId="0" applyNumberFormat="1" applyFont="1" applyFill="1" applyBorder="1" applyAlignment="1">
      <alignment horizontal="center" vertical="center"/>
    </xf>
    <xf numFmtId="0" fontId="0" fillId="9" borderId="36" xfId="0" applyFill="1" applyBorder="1"/>
    <xf numFmtId="0" fontId="0" fillId="12" borderId="0" xfId="0" applyFill="1"/>
    <xf numFmtId="0" fontId="22" fillId="12" borderId="0" xfId="0" applyFont="1" applyFill="1" applyAlignment="1">
      <alignment horizontal="center" vertical="center" wrapText="1"/>
    </xf>
    <xf numFmtId="0" fontId="0" fillId="12" borderId="0" xfId="0" applyFill="1" applyAlignment="1">
      <alignment horizontal="center"/>
    </xf>
    <xf numFmtId="0" fontId="4" fillId="12" borderId="0" xfId="0" applyFont="1" applyFill="1"/>
    <xf numFmtId="0" fontId="22" fillId="0" borderId="0" xfId="0" applyFont="1" applyAlignment="1">
      <alignment horizontal="center" vertical="center" wrapText="1"/>
    </xf>
    <xf numFmtId="0" fontId="12" fillId="0" borderId="0" xfId="0" applyFont="1" applyAlignment="1">
      <alignment vertical="top"/>
    </xf>
    <xf numFmtId="0" fontId="12" fillId="0" borderId="0" xfId="0" applyFont="1" applyAlignment="1">
      <alignment vertical="top" wrapText="1"/>
    </xf>
    <xf numFmtId="0" fontId="37" fillId="0" borderId="0" xfId="5" applyFont="1" applyAlignment="1" applyProtection="1">
      <alignment horizontal="left" vertical="top" wrapText="1"/>
    </xf>
    <xf numFmtId="0" fontId="21" fillId="0" borderId="0" xfId="0" applyFont="1" applyAlignment="1">
      <alignment horizontal="center"/>
    </xf>
    <xf numFmtId="0" fontId="21" fillId="0" borderId="0" xfId="0" applyFont="1"/>
    <xf numFmtId="0" fontId="0" fillId="0" borderId="0" xfId="0" applyAlignment="1">
      <alignment horizontal="left"/>
    </xf>
    <xf numFmtId="0" fontId="36" fillId="0" borderId="0" xfId="5" applyAlignment="1" applyProtection="1"/>
    <xf numFmtId="0" fontId="36" fillId="0" borderId="0" xfId="5" applyAlignment="1" applyProtection="1">
      <alignment horizontal="left"/>
    </xf>
    <xf numFmtId="0" fontId="4" fillId="0" borderId="0" xfId="3"/>
    <xf numFmtId="0" fontId="4" fillId="0" borderId="0" xfId="3" applyAlignment="1">
      <alignment horizontal="center"/>
    </xf>
    <xf numFmtId="0" fontId="4" fillId="9" borderId="31" xfId="3" applyFill="1" applyBorder="1"/>
    <xf numFmtId="0" fontId="17" fillId="9" borderId="32" xfId="3" applyFont="1" applyFill="1" applyBorder="1" applyAlignment="1">
      <alignment vertical="center"/>
    </xf>
    <xf numFmtId="0" fontId="4" fillId="9" borderId="32" xfId="3" applyFill="1" applyBorder="1" applyAlignment="1">
      <alignment horizontal="center"/>
    </xf>
    <xf numFmtId="0" fontId="18" fillId="9" borderId="33" xfId="3" applyFont="1" applyFill="1" applyBorder="1" applyAlignment="1" applyProtection="1">
      <alignment horizontal="center"/>
      <protection hidden="1"/>
    </xf>
    <xf numFmtId="0" fontId="4" fillId="9" borderId="34" xfId="3" applyFill="1" applyBorder="1"/>
    <xf numFmtId="0" fontId="17" fillId="9" borderId="0" xfId="3" applyFont="1" applyFill="1" applyAlignment="1">
      <alignment vertical="center"/>
    </xf>
    <xf numFmtId="0" fontId="4" fillId="9" borderId="0" xfId="3" applyFill="1" applyAlignment="1">
      <alignment horizontal="center"/>
    </xf>
    <xf numFmtId="0" fontId="20" fillId="9" borderId="0" xfId="3" applyFont="1" applyFill="1" applyAlignment="1">
      <alignment horizontal="left" indent="1"/>
    </xf>
    <xf numFmtId="0" fontId="4" fillId="9" borderId="34" xfId="3" applyFill="1" applyBorder="1" applyAlignment="1">
      <alignment horizontal="center" vertical="center"/>
    </xf>
    <xf numFmtId="0" fontId="4" fillId="9" borderId="0" xfId="3" applyFill="1" applyAlignment="1">
      <alignment horizontal="right"/>
    </xf>
    <xf numFmtId="0" fontId="21" fillId="9" borderId="0" xfId="3" applyFont="1" applyFill="1" applyAlignment="1">
      <alignment vertical="center" wrapText="1"/>
    </xf>
    <xf numFmtId="0" fontId="4" fillId="9" borderId="35" xfId="3" applyFill="1" applyBorder="1" applyAlignment="1">
      <alignment horizontal="center" vertical="center"/>
    </xf>
    <xf numFmtId="0" fontId="4" fillId="0" borderId="0" xfId="3" applyAlignment="1">
      <alignment horizontal="center" vertical="center"/>
    </xf>
    <xf numFmtId="0" fontId="21" fillId="9" borderId="0" xfId="3" applyFont="1" applyFill="1" applyAlignment="1">
      <alignment horizontal="right" vertical="center"/>
    </xf>
    <xf numFmtId="0" fontId="21" fillId="9" borderId="0" xfId="3" applyFont="1" applyFill="1" applyAlignment="1">
      <alignment horizontal="right"/>
    </xf>
    <xf numFmtId="0" fontId="21" fillId="9" borderId="0" xfId="3" applyFont="1" applyFill="1" applyAlignment="1">
      <alignment vertical="center"/>
    </xf>
    <xf numFmtId="0" fontId="4" fillId="9" borderId="0" xfId="3" applyFill="1"/>
    <xf numFmtId="0" fontId="22" fillId="9" borderId="0" xfId="3" applyFont="1" applyFill="1" applyAlignment="1">
      <alignment vertical="top" wrapText="1"/>
    </xf>
    <xf numFmtId="0" fontId="22" fillId="9" borderId="35" xfId="3" applyFont="1" applyFill="1" applyBorder="1" applyAlignment="1">
      <alignment vertical="top" wrapText="1"/>
    </xf>
    <xf numFmtId="0" fontId="4" fillId="9" borderId="0" xfId="3" applyFill="1" applyAlignment="1">
      <alignment horizontal="center" vertical="center"/>
    </xf>
    <xf numFmtId="0" fontId="4" fillId="9" borderId="0" xfId="3" applyFill="1" applyAlignment="1">
      <alignment horizontal="right" vertical="center"/>
    </xf>
    <xf numFmtId="0" fontId="24" fillId="9" borderId="0" xfId="3" applyFont="1" applyFill="1" applyAlignment="1">
      <alignment horizontal="right" vertical="center"/>
    </xf>
    <xf numFmtId="2" fontId="24" fillId="9" borderId="1" xfId="3" applyNumberFormat="1" applyFont="1" applyFill="1" applyBorder="1" applyAlignment="1">
      <alignment horizontal="center" vertical="center"/>
    </xf>
    <xf numFmtId="0" fontId="4" fillId="9" borderId="36" xfId="3" applyFill="1" applyBorder="1" applyAlignment="1">
      <alignment horizontal="center" vertical="center"/>
    </xf>
    <xf numFmtId="0" fontId="4" fillId="9" borderId="37" xfId="3" applyFill="1" applyBorder="1" applyAlignment="1">
      <alignment horizontal="right" vertical="center"/>
    </xf>
    <xf numFmtId="0" fontId="4" fillId="9" borderId="37" xfId="3" applyFill="1" applyBorder="1" applyAlignment="1">
      <alignment horizontal="center" vertical="center"/>
    </xf>
    <xf numFmtId="0" fontId="22" fillId="9" borderId="37" xfId="3" applyFont="1" applyFill="1" applyBorder="1" applyAlignment="1">
      <alignment vertical="top" wrapText="1"/>
    </xf>
    <xf numFmtId="0" fontId="4" fillId="10" borderId="31" xfId="3" applyFill="1" applyBorder="1" applyAlignment="1">
      <alignment horizontal="center" vertical="center"/>
    </xf>
    <xf numFmtId="0" fontId="17" fillId="10" borderId="32" xfId="3" applyFont="1" applyFill="1" applyBorder="1" applyAlignment="1">
      <alignment vertical="center"/>
    </xf>
    <xf numFmtId="0" fontId="4" fillId="10" borderId="32" xfId="3" applyFill="1" applyBorder="1" applyAlignment="1">
      <alignment horizontal="center" vertical="center"/>
    </xf>
    <xf numFmtId="0" fontId="24" fillId="10" borderId="32" xfId="3" applyFont="1" applyFill="1" applyBorder="1" applyAlignment="1">
      <alignment horizontal="center" vertical="center"/>
    </xf>
    <xf numFmtId="0" fontId="24" fillId="10" borderId="0" xfId="3" applyFont="1" applyFill="1" applyAlignment="1">
      <alignment horizontal="center" vertical="center"/>
    </xf>
    <xf numFmtId="0" fontId="22" fillId="10" borderId="33" xfId="3" applyFont="1" applyFill="1" applyBorder="1" applyAlignment="1">
      <alignment horizontal="left" vertical="top" wrapText="1"/>
    </xf>
    <xf numFmtId="0" fontId="4" fillId="10" borderId="34" xfId="3" applyFill="1" applyBorder="1" applyAlignment="1">
      <alignment horizontal="center" vertical="center"/>
    </xf>
    <xf numFmtId="0" fontId="17" fillId="10" borderId="0" xfId="3" applyFont="1" applyFill="1" applyAlignment="1">
      <alignment vertical="center"/>
    </xf>
    <xf numFmtId="0" fontId="4" fillId="10" borderId="0" xfId="3" applyFill="1" applyAlignment="1">
      <alignment horizontal="center" vertical="center"/>
    </xf>
    <xf numFmtId="0" fontId="24" fillId="10" borderId="0" xfId="3" applyFont="1" applyFill="1" applyAlignment="1">
      <alignment horizontal="right" vertical="center"/>
    </xf>
    <xf numFmtId="0" fontId="24" fillId="10" borderId="39" xfId="3" quotePrefix="1" applyFont="1" applyFill="1" applyBorder="1" applyAlignment="1">
      <alignment horizontal="left" vertical="center"/>
    </xf>
    <xf numFmtId="2" fontId="24" fillId="10" borderId="40" xfId="3" applyNumberFormat="1" applyFont="1" applyFill="1" applyBorder="1" applyAlignment="1">
      <alignment horizontal="center" vertical="center"/>
    </xf>
    <xf numFmtId="0" fontId="22" fillId="10" borderId="35" xfId="3" applyFont="1" applyFill="1" applyBorder="1" applyAlignment="1">
      <alignment horizontal="left" vertical="top" wrapText="1"/>
    </xf>
    <xf numFmtId="0" fontId="25" fillId="10" borderId="0" xfId="3" applyFont="1" applyFill="1" applyAlignment="1">
      <alignment vertical="top" wrapText="1"/>
    </xf>
    <xf numFmtId="0" fontId="21" fillId="10" borderId="0" xfId="3" applyFont="1" applyFill="1" applyAlignment="1">
      <alignment horizontal="center" vertical="center"/>
    </xf>
    <xf numFmtId="0" fontId="24" fillId="10" borderId="41" xfId="3" applyFont="1" applyFill="1" applyBorder="1" applyAlignment="1">
      <alignment horizontal="left" vertical="center"/>
    </xf>
    <xf numFmtId="2" fontId="24" fillId="10" borderId="42" xfId="3" applyNumberFormat="1" applyFont="1" applyFill="1" applyBorder="1" applyAlignment="1">
      <alignment horizontal="center" vertical="center"/>
    </xf>
    <xf numFmtId="0" fontId="22" fillId="10" borderId="35" xfId="3" applyFont="1" applyFill="1" applyBorder="1" applyAlignment="1">
      <alignment vertical="top" wrapText="1"/>
    </xf>
    <xf numFmtId="0" fontId="26" fillId="10" borderId="6" xfId="3" applyFont="1" applyFill="1" applyBorder="1" applyAlignment="1">
      <alignment horizontal="center" vertical="center"/>
    </xf>
    <xf numFmtId="2" fontId="24" fillId="10" borderId="43" xfId="3" applyNumberFormat="1" applyFont="1" applyFill="1" applyBorder="1" applyAlignment="1">
      <alignment horizontal="center" vertical="center"/>
    </xf>
    <xf numFmtId="0" fontId="24" fillId="10" borderId="44" xfId="3" applyFont="1" applyFill="1" applyBorder="1" applyAlignment="1">
      <alignment horizontal="left" vertical="center"/>
    </xf>
    <xf numFmtId="2" fontId="24" fillId="10" borderId="45" xfId="3" applyNumberFormat="1" applyFont="1" applyFill="1" applyBorder="1" applyAlignment="1">
      <alignment horizontal="center" vertical="center"/>
    </xf>
    <xf numFmtId="0" fontId="20" fillId="10" borderId="0" xfId="3" applyFont="1" applyFill="1" applyAlignment="1">
      <alignment horizontal="left" indent="1"/>
    </xf>
    <xf numFmtId="0" fontId="12" fillId="10" borderId="0" xfId="3" applyFont="1" applyFill="1" applyAlignment="1">
      <alignment horizontal="right" vertical="center"/>
    </xf>
    <xf numFmtId="0" fontId="20" fillId="10" borderId="0" xfId="3" applyFont="1" applyFill="1" applyAlignment="1">
      <alignment horizontal="center" vertical="center"/>
    </xf>
    <xf numFmtId="0" fontId="12" fillId="10" borderId="0" xfId="3" applyFont="1" applyFill="1" applyAlignment="1">
      <alignment horizontal="center" vertical="center"/>
    </xf>
    <xf numFmtId="2" fontId="4" fillId="10" borderId="0" xfId="3" applyNumberFormat="1" applyFill="1" applyAlignment="1">
      <alignment horizontal="center" vertical="center"/>
    </xf>
    <xf numFmtId="166" fontId="24" fillId="10" borderId="0" xfId="3" applyNumberFormat="1" applyFont="1" applyFill="1" applyAlignment="1">
      <alignment horizontal="center" vertical="center"/>
    </xf>
    <xf numFmtId="0" fontId="12" fillId="10" borderId="0" xfId="3" applyFont="1" applyFill="1" applyAlignment="1">
      <alignment horizontal="right" vertical="center" wrapText="1"/>
    </xf>
    <xf numFmtId="0" fontId="4" fillId="10" borderId="36" xfId="3" applyFill="1" applyBorder="1"/>
    <xf numFmtId="0" fontId="20" fillId="10" borderId="37" xfId="3" applyFont="1" applyFill="1" applyBorder="1" applyAlignment="1">
      <alignment horizontal="left" indent="1"/>
    </xf>
    <xf numFmtId="0" fontId="38" fillId="10" borderId="37" xfId="3" applyFont="1" applyFill="1" applyBorder="1" applyAlignment="1">
      <alignment horizontal="left" indent="1"/>
    </xf>
    <xf numFmtId="0" fontId="22" fillId="10" borderId="37" xfId="3" applyFont="1" applyFill="1" applyBorder="1" applyAlignment="1">
      <alignment vertical="center" wrapText="1"/>
    </xf>
    <xf numFmtId="0" fontId="4" fillId="11" borderId="31" xfId="3" applyFill="1" applyBorder="1"/>
    <xf numFmtId="0" fontId="17" fillId="11" borderId="32" xfId="3" applyFont="1" applyFill="1" applyBorder="1" applyAlignment="1">
      <alignment vertical="center"/>
    </xf>
    <xf numFmtId="0" fontId="12" fillId="11" borderId="32" xfId="3" applyFont="1" applyFill="1" applyBorder="1" applyAlignment="1">
      <alignment horizontal="right" vertical="center"/>
    </xf>
    <xf numFmtId="0" fontId="12" fillId="11" borderId="32" xfId="3" applyFont="1" applyFill="1" applyBorder="1" applyAlignment="1">
      <alignment horizontal="center" vertical="center"/>
    </xf>
    <xf numFmtId="0" fontId="22" fillId="11" borderId="32" xfId="3" applyFont="1" applyFill="1" applyBorder="1" applyAlignment="1">
      <alignment horizontal="left" vertical="center" wrapText="1"/>
    </xf>
    <xf numFmtId="0" fontId="4" fillId="11" borderId="34" xfId="3" applyFill="1" applyBorder="1"/>
    <xf numFmtId="0" fontId="12" fillId="11" borderId="0" xfId="3" applyFont="1" applyFill="1" applyAlignment="1">
      <alignment horizontal="right" vertical="center"/>
    </xf>
    <xf numFmtId="0" fontId="20" fillId="11" borderId="0" xfId="3" applyFont="1" applyFill="1" applyAlignment="1">
      <alignment horizontal="left" indent="1"/>
    </xf>
    <xf numFmtId="0" fontId="4" fillId="11" borderId="0" xfId="3" applyFill="1" applyAlignment="1">
      <alignment horizontal="center"/>
    </xf>
    <xf numFmtId="0" fontId="22" fillId="11" borderId="0" xfId="3" applyFont="1" applyFill="1" applyAlignment="1">
      <alignment vertical="top" wrapText="1"/>
    </xf>
    <xf numFmtId="0" fontId="22" fillId="11" borderId="35" xfId="3" applyFont="1" applyFill="1" applyBorder="1" applyAlignment="1">
      <alignment horizontal="left" vertical="center" wrapText="1"/>
    </xf>
    <xf numFmtId="0" fontId="4" fillId="11" borderId="0" xfId="3" applyFill="1" applyAlignment="1">
      <alignment horizontal="right" vertical="center" wrapText="1"/>
    </xf>
    <xf numFmtId="1" fontId="4" fillId="11" borderId="48" xfId="3" applyNumberFormat="1" applyFill="1" applyBorder="1" applyAlignment="1">
      <alignment horizontal="center" vertical="center"/>
    </xf>
    <xf numFmtId="1" fontId="4" fillId="11" borderId="49" xfId="3" applyNumberFormat="1" applyFill="1" applyBorder="1" applyAlignment="1">
      <alignment horizontal="center" vertical="center"/>
    </xf>
    <xf numFmtId="2" fontId="28" fillId="11" borderId="50" xfId="3" applyNumberFormat="1" applyFont="1" applyFill="1" applyBorder="1" applyAlignment="1">
      <alignment horizontal="center" vertical="center"/>
    </xf>
    <xf numFmtId="1" fontId="29" fillId="11" borderId="51" xfId="3" applyNumberFormat="1" applyFont="1" applyFill="1" applyBorder="1" applyAlignment="1">
      <alignment horizontal="center" vertical="center"/>
    </xf>
    <xf numFmtId="0" fontId="4" fillId="11" borderId="36" xfId="3" applyFill="1" applyBorder="1"/>
    <xf numFmtId="0" fontId="22" fillId="11" borderId="37" xfId="3" applyFont="1" applyFill="1" applyBorder="1" applyAlignment="1">
      <alignment vertical="center" wrapText="1"/>
    </xf>
    <xf numFmtId="0" fontId="22" fillId="11" borderId="37" xfId="3" applyFont="1" applyFill="1" applyBorder="1" applyAlignment="1">
      <alignment vertical="center"/>
    </xf>
    <xf numFmtId="0" fontId="4" fillId="2" borderId="31" xfId="3" applyFill="1" applyBorder="1"/>
    <xf numFmtId="0" fontId="17" fillId="2" borderId="32" xfId="3" applyFont="1" applyFill="1" applyBorder="1" applyAlignment="1">
      <alignment vertical="center"/>
    </xf>
    <xf numFmtId="0" fontId="4" fillId="2" borderId="32" xfId="3" applyFill="1" applyBorder="1" applyAlignment="1">
      <alignment horizontal="center"/>
    </xf>
    <xf numFmtId="0" fontId="30" fillId="2" borderId="32" xfId="3" applyFont="1" applyFill="1" applyBorder="1" applyAlignment="1">
      <alignment horizontal="center"/>
    </xf>
    <xf numFmtId="0" fontId="4" fillId="2" borderId="32" xfId="3" applyFill="1" applyBorder="1" applyAlignment="1">
      <alignment horizontal="center" vertical="center"/>
    </xf>
    <xf numFmtId="0" fontId="4" fillId="2" borderId="33" xfId="3" applyFill="1" applyBorder="1" applyAlignment="1">
      <alignment horizontal="center"/>
    </xf>
    <xf numFmtId="0" fontId="4" fillId="2" borderId="34" xfId="3" applyFill="1" applyBorder="1"/>
    <xf numFmtId="0" fontId="20" fillId="2" borderId="0" xfId="3" applyFont="1" applyFill="1" applyAlignment="1">
      <alignment horizontal="left" indent="1"/>
    </xf>
    <xf numFmtId="0" fontId="4" fillId="2" borderId="0" xfId="3" applyFill="1" applyAlignment="1">
      <alignment horizontal="center"/>
    </xf>
    <xf numFmtId="0" fontId="4" fillId="2" borderId="0" xfId="3" applyFill="1" applyAlignment="1">
      <alignment horizontal="center" vertical="center"/>
    </xf>
    <xf numFmtId="0" fontId="4" fillId="2" borderId="0" xfId="3" applyFill="1"/>
    <xf numFmtId="0" fontId="4" fillId="2" borderId="35" xfId="3" applyFill="1" applyBorder="1" applyAlignment="1">
      <alignment horizontal="center"/>
    </xf>
    <xf numFmtId="0" fontId="12" fillId="2" borderId="0" xfId="3" applyFont="1" applyFill="1" applyAlignment="1">
      <alignment horizontal="left" indent="3"/>
    </xf>
    <xf numFmtId="0" fontId="4" fillId="2" borderId="0" xfId="3" applyFill="1" applyAlignment="1">
      <alignment horizontal="right" vertical="center"/>
    </xf>
    <xf numFmtId="166" fontId="4" fillId="2" borderId="0" xfId="3" applyNumberFormat="1" applyFill="1" applyAlignment="1">
      <alignment horizontal="right" vertical="center"/>
    </xf>
    <xf numFmtId="0" fontId="4" fillId="2" borderId="34" xfId="3" applyFill="1" applyBorder="1" applyAlignment="1">
      <alignment horizontal="center" vertical="center"/>
    </xf>
    <xf numFmtId="0" fontId="4" fillId="2" borderId="35" xfId="3" applyFill="1" applyBorder="1" applyAlignment="1">
      <alignment horizontal="center" vertical="center"/>
    </xf>
    <xf numFmtId="166" fontId="24" fillId="2" borderId="0" xfId="3" applyNumberFormat="1" applyFont="1" applyFill="1" applyAlignment="1">
      <alignment horizontal="right" vertical="center"/>
    </xf>
    <xf numFmtId="166" fontId="24" fillId="2" borderId="1" xfId="3" applyNumberFormat="1" applyFont="1" applyFill="1" applyBorder="1" applyAlignment="1">
      <alignment horizontal="center" vertical="center"/>
    </xf>
    <xf numFmtId="166" fontId="12" fillId="2" borderId="0" xfId="3" applyNumberFormat="1" applyFont="1" applyFill="1" applyAlignment="1">
      <alignment horizontal="left" vertical="center" indent="2"/>
    </xf>
    <xf numFmtId="166" fontId="3" fillId="2" borderId="1" xfId="3" applyNumberFormat="1" applyFont="1" applyFill="1" applyBorder="1" applyAlignment="1">
      <alignment horizontal="center" vertical="center"/>
    </xf>
    <xf numFmtId="166" fontId="3" fillId="2" borderId="0" xfId="3" applyNumberFormat="1" applyFont="1" applyFill="1" applyAlignment="1">
      <alignment horizontal="center" vertical="center"/>
    </xf>
    <xf numFmtId="171" fontId="12" fillId="2" borderId="0" xfId="3" applyNumberFormat="1" applyFont="1" applyFill="1" applyAlignment="1">
      <alignment horizontal="left" vertical="center"/>
    </xf>
    <xf numFmtId="166" fontId="12" fillId="2" borderId="0" xfId="3" applyNumberFormat="1" applyFont="1" applyFill="1" applyAlignment="1">
      <alignment horizontal="left" vertical="center"/>
    </xf>
    <xf numFmtId="166" fontId="12" fillId="2" borderId="0" xfId="3" applyNumberFormat="1" applyFont="1" applyFill="1" applyAlignment="1">
      <alignment vertical="top" wrapText="1"/>
    </xf>
    <xf numFmtId="166" fontId="12" fillId="2" borderId="35" xfId="3" applyNumberFormat="1" applyFont="1" applyFill="1" applyBorder="1" applyAlignment="1">
      <alignment vertical="top" wrapText="1"/>
    </xf>
    <xf numFmtId="0" fontId="12" fillId="2" borderId="0" xfId="3" applyFont="1" applyFill="1" applyAlignment="1">
      <alignment horizontal="left" vertical="center" indent="1"/>
    </xf>
    <xf numFmtId="166" fontId="12" fillId="2" borderId="0" xfId="3" applyNumberFormat="1" applyFont="1" applyFill="1" applyAlignment="1">
      <alignment horizontal="left" vertical="center" indent="3"/>
    </xf>
    <xf numFmtId="166" fontId="12" fillId="2" borderId="37" xfId="3" applyNumberFormat="1" applyFont="1" applyFill="1" applyBorder="1" applyAlignment="1">
      <alignment vertical="top" wrapText="1"/>
    </xf>
    <xf numFmtId="166" fontId="12" fillId="2" borderId="38" xfId="3" applyNumberFormat="1" applyFont="1" applyFill="1" applyBorder="1" applyAlignment="1">
      <alignment vertical="top" wrapText="1"/>
    </xf>
    <xf numFmtId="0" fontId="4" fillId="2" borderId="31" xfId="3" applyFill="1" applyBorder="1" applyAlignment="1">
      <alignment horizontal="center" vertical="center"/>
    </xf>
    <xf numFmtId="166" fontId="3" fillId="2" borderId="32" xfId="3" applyNumberFormat="1" applyFont="1" applyFill="1" applyBorder="1" applyAlignment="1">
      <alignment horizontal="center" vertical="center"/>
    </xf>
    <xf numFmtId="0" fontId="32" fillId="2" borderId="0" xfId="3" applyFont="1" applyFill="1" applyAlignment="1">
      <alignment horizontal="center"/>
    </xf>
    <xf numFmtId="0" fontId="32" fillId="2" borderId="0" xfId="3" applyFont="1" applyFill="1" applyAlignment="1">
      <alignment horizontal="center" vertical="center"/>
    </xf>
    <xf numFmtId="166" fontId="22" fillId="2" borderId="0" xfId="3" applyNumberFormat="1" applyFont="1" applyFill="1" applyAlignment="1">
      <alignment vertical="center" wrapText="1"/>
    </xf>
    <xf numFmtId="0" fontId="4" fillId="2" borderId="37" xfId="3" applyFill="1" applyBorder="1" applyAlignment="1">
      <alignment horizontal="center"/>
    </xf>
    <xf numFmtId="0" fontId="4" fillId="2" borderId="37" xfId="3" applyFill="1" applyBorder="1"/>
    <xf numFmtId="0" fontId="34" fillId="2" borderId="37" xfId="3" applyFont="1" applyFill="1" applyBorder="1" applyAlignment="1">
      <alignment horizontal="left" vertical="center"/>
    </xf>
    <xf numFmtId="0" fontId="4" fillId="2" borderId="38" xfId="3" applyFill="1" applyBorder="1"/>
    <xf numFmtId="0" fontId="4" fillId="9" borderId="33" xfId="3" applyFill="1" applyBorder="1" applyAlignment="1">
      <alignment horizontal="center"/>
    </xf>
    <xf numFmtId="0" fontId="4" fillId="9" borderId="35" xfId="3" applyFill="1" applyBorder="1" applyAlignment="1">
      <alignment horizontal="center"/>
    </xf>
    <xf numFmtId="0" fontId="4" fillId="0" borderId="0" xfId="3" applyAlignment="1">
      <alignment vertical="center"/>
    </xf>
    <xf numFmtId="0" fontId="4" fillId="9" borderId="34" xfId="3" applyFill="1" applyBorder="1" applyAlignment="1">
      <alignment vertical="center"/>
    </xf>
    <xf numFmtId="0" fontId="20" fillId="9" borderId="0" xfId="3" applyFont="1" applyFill="1" applyAlignment="1">
      <alignment horizontal="left" vertical="center" indent="1"/>
    </xf>
    <xf numFmtId="1" fontId="4" fillId="9" borderId="52" xfId="3" applyNumberFormat="1" applyFill="1" applyBorder="1" applyAlignment="1">
      <alignment horizontal="center" vertical="center"/>
    </xf>
    <xf numFmtId="1" fontId="3" fillId="9" borderId="30" xfId="3" applyNumberFormat="1" applyFont="1" applyFill="1" applyBorder="1" applyAlignment="1">
      <alignment horizontal="center" vertical="center"/>
    </xf>
    <xf numFmtId="0" fontId="12" fillId="9" borderId="0" xfId="3" applyFont="1" applyFill="1" applyAlignment="1">
      <alignment horizontal="right" vertical="center"/>
    </xf>
    <xf numFmtId="1" fontId="35" fillId="9" borderId="57" xfId="3" applyNumberFormat="1" applyFont="1" applyFill="1" applyBorder="1" applyAlignment="1">
      <alignment horizontal="center" vertical="center"/>
    </xf>
    <xf numFmtId="1" fontId="35" fillId="9" borderId="57" xfId="3" quotePrefix="1" applyNumberFormat="1" applyFont="1" applyFill="1" applyBorder="1" applyAlignment="1">
      <alignment horizontal="center" vertical="center"/>
    </xf>
    <xf numFmtId="1" fontId="35" fillId="9" borderId="58" xfId="3" applyNumberFormat="1" applyFont="1" applyFill="1" applyBorder="1" applyAlignment="1">
      <alignment horizontal="center" vertical="center"/>
    </xf>
    <xf numFmtId="0" fontId="4" fillId="9" borderId="36" xfId="3" applyFill="1" applyBorder="1"/>
    <xf numFmtId="0" fontId="4" fillId="12" borderId="0" xfId="3" applyFill="1"/>
    <xf numFmtId="0" fontId="22" fillId="12" borderId="0" xfId="3" applyFont="1" applyFill="1" applyAlignment="1">
      <alignment horizontal="center" vertical="center" wrapText="1"/>
    </xf>
    <xf numFmtId="0" fontId="4" fillId="12" borderId="0" xfId="3" applyFill="1" applyAlignment="1">
      <alignment horizontal="center"/>
    </xf>
    <xf numFmtId="0" fontId="22" fillId="0" borderId="0" xfId="3" applyFont="1" applyAlignment="1">
      <alignment horizontal="center" vertical="center" wrapText="1"/>
    </xf>
    <xf numFmtId="0" fontId="12" fillId="0" borderId="0" xfId="3" applyFont="1" applyAlignment="1">
      <alignment vertical="top"/>
    </xf>
    <xf numFmtId="0" fontId="12" fillId="0" borderId="0" xfId="3" applyFont="1" applyAlignment="1">
      <alignment vertical="top" wrapText="1"/>
    </xf>
    <xf numFmtId="0" fontId="21" fillId="0" borderId="0" xfId="3" applyFont="1"/>
    <xf numFmtId="0" fontId="4" fillId="0" borderId="0" xfId="3" applyAlignment="1">
      <alignment horizontal="left"/>
    </xf>
    <xf numFmtId="0" fontId="21" fillId="0" borderId="0" xfId="3" applyFont="1" applyAlignment="1">
      <alignment horizontal="center"/>
    </xf>
    <xf numFmtId="0" fontId="4" fillId="0" borderId="0" xfId="0" applyFont="1" applyAlignment="1">
      <alignment wrapText="1"/>
    </xf>
    <xf numFmtId="2" fontId="0" fillId="7" borderId="1" xfId="0" applyNumberFormat="1" applyFill="1" applyBorder="1" applyAlignment="1">
      <alignment horizontal="center" vertical="center"/>
    </xf>
    <xf numFmtId="0" fontId="14" fillId="0" borderId="0" xfId="0" applyFont="1" applyAlignment="1">
      <alignment vertical="center"/>
    </xf>
    <xf numFmtId="0" fontId="2" fillId="0" borderId="0" xfId="6"/>
    <xf numFmtId="0" fontId="13" fillId="0" borderId="0" xfId="6" applyFont="1" applyAlignment="1">
      <alignment horizontal="center"/>
    </xf>
    <xf numFmtId="0" fontId="39" fillId="0" borderId="0" xfId="6" applyFont="1"/>
    <xf numFmtId="0" fontId="13" fillId="0" borderId="0" xfId="6" applyFont="1"/>
    <xf numFmtId="0" fontId="40" fillId="0" borderId="0" xfId="6" applyFont="1"/>
    <xf numFmtId="0" fontId="13" fillId="0" borderId="61" xfId="6" applyFont="1" applyBorder="1" applyAlignment="1">
      <alignment horizontal="right"/>
    </xf>
    <xf numFmtId="0" fontId="13" fillId="0" borderId="63" xfId="6" applyFont="1" applyBorder="1"/>
    <xf numFmtId="0" fontId="44" fillId="0" borderId="0" xfId="7"/>
    <xf numFmtId="164" fontId="2" fillId="0" borderId="0" xfId="6" applyNumberFormat="1"/>
    <xf numFmtId="11" fontId="2" fillId="0" borderId="0" xfId="6" applyNumberFormat="1"/>
    <xf numFmtId="0" fontId="4" fillId="0" borderId="0" xfId="0" applyFont="1" applyAlignment="1">
      <alignment textRotation="90"/>
    </xf>
    <xf numFmtId="0" fontId="14" fillId="0" borderId="0" xfId="0" applyFont="1" applyAlignment="1">
      <alignment horizontal="center" vertical="center"/>
    </xf>
    <xf numFmtId="166" fontId="14" fillId="12" borderId="27" xfId="0" applyNumberFormat="1" applyFont="1" applyFill="1" applyBorder="1" applyAlignment="1">
      <alignment horizontal="center" vertical="center"/>
    </xf>
    <xf numFmtId="166" fontId="0" fillId="7" borderId="1" xfId="0" applyNumberFormat="1" applyFill="1" applyBorder="1" applyAlignment="1">
      <alignment horizontal="center" vertical="center"/>
    </xf>
    <xf numFmtId="0" fontId="26" fillId="10" borderId="6" xfId="0"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protection locked="0"/>
    </xf>
    <xf numFmtId="0" fontId="4" fillId="10" borderId="0" xfId="0" applyFont="1" applyFill="1" applyAlignment="1">
      <alignment horizontal="center" vertical="center"/>
    </xf>
    <xf numFmtId="0" fontId="0" fillId="0" borderId="1" xfId="0" applyBorder="1" applyAlignment="1" applyProtection="1">
      <alignment horizontal="center" vertical="center"/>
      <protection locked="0"/>
    </xf>
    <xf numFmtId="0" fontId="4" fillId="0" borderId="1" xfId="4" applyNumberFormat="1" applyBorder="1" applyAlignment="1" applyProtection="1">
      <alignment horizontal="center" vertical="center"/>
      <protection locked="0"/>
    </xf>
    <xf numFmtId="0" fontId="0" fillId="0" borderId="0" xfId="0" applyAlignment="1">
      <alignment horizontal="right" vertical="center"/>
    </xf>
    <xf numFmtId="0" fontId="4" fillId="0" borderId="1" xfId="0" applyFont="1" applyBorder="1" applyAlignment="1">
      <alignment horizontal="right" vertical="center"/>
    </xf>
    <xf numFmtId="0" fontId="0" fillId="0" borderId="1" xfId="0" applyBorder="1" applyAlignment="1">
      <alignment horizontal="right" vertical="center"/>
    </xf>
    <xf numFmtId="0" fontId="4" fillId="0" borderId="0" xfId="0" applyFont="1" applyAlignment="1" applyProtection="1">
      <alignment horizontal="center"/>
      <protection locked="0"/>
    </xf>
    <xf numFmtId="0" fontId="31" fillId="2" borderId="0" xfId="0" applyFont="1" applyFill="1" applyAlignment="1" applyProtection="1">
      <alignment horizontal="center" vertical="center"/>
      <protection locked="0"/>
    </xf>
    <xf numFmtId="0" fontId="31" fillId="2" borderId="0" xfId="3" applyFont="1" applyFill="1" applyAlignment="1" applyProtection="1">
      <alignment horizontal="center" vertical="center"/>
      <protection locked="0"/>
    </xf>
    <xf numFmtId="0" fontId="4" fillId="10" borderId="1" xfId="3" applyFill="1" applyBorder="1" applyAlignment="1" applyProtection="1">
      <alignment horizontal="center" vertical="center"/>
      <protection locked="0"/>
    </xf>
    <xf numFmtId="166" fontId="4" fillId="0" borderId="0" xfId="0" applyNumberFormat="1" applyFont="1" applyAlignment="1">
      <alignment horizontal="center"/>
    </xf>
    <xf numFmtId="166" fontId="4" fillId="0" borderId="9" xfId="0" applyNumberFormat="1" applyFont="1" applyBorder="1" applyAlignment="1">
      <alignment horizontal="center"/>
    </xf>
    <xf numFmtId="0" fontId="4" fillId="0" borderId="9" xfId="0" applyFont="1" applyBorder="1" applyAlignment="1">
      <alignment horizontal="center"/>
    </xf>
    <xf numFmtId="9" fontId="0" fillId="0" borderId="1" xfId="4" applyFont="1" applyBorder="1" applyAlignment="1" applyProtection="1">
      <alignment horizontal="center" vertical="center"/>
      <protection locked="0"/>
    </xf>
    <xf numFmtId="0" fontId="4" fillId="0" borderId="1" xfId="3" applyBorder="1" applyAlignment="1" applyProtection="1">
      <alignment horizontal="center" vertical="center"/>
      <protection locked="0"/>
    </xf>
    <xf numFmtId="1" fontId="0" fillId="5" borderId="1" xfId="1" applyNumberFormat="1" applyFont="1" applyFill="1" applyBorder="1" applyAlignment="1">
      <alignment horizontal="center"/>
    </xf>
    <xf numFmtId="0" fontId="4" fillId="0" borderId="0" xfId="0" applyFont="1" applyAlignment="1">
      <alignment horizontal="center" wrapText="1"/>
    </xf>
    <xf numFmtId="0" fontId="4" fillId="8" borderId="1" xfId="0" applyFont="1" applyFill="1" applyBorder="1" applyAlignment="1">
      <alignment horizontal="center"/>
    </xf>
    <xf numFmtId="0" fontId="4" fillId="13" borderId="1" xfId="0" applyFont="1" applyFill="1" applyBorder="1" applyAlignment="1">
      <alignment horizontal="center"/>
    </xf>
    <xf numFmtId="0" fontId="4" fillId="4" borderId="1" xfId="0" applyFont="1" applyFill="1" applyBorder="1" applyAlignment="1">
      <alignment horizontal="center"/>
    </xf>
    <xf numFmtId="0" fontId="4" fillId="0" borderId="12" xfId="0" applyFont="1" applyBorder="1"/>
    <xf numFmtId="0" fontId="0" fillId="0" borderId="7" xfId="0" applyBorder="1"/>
    <xf numFmtId="0" fontId="0" fillId="0" borderId="8" xfId="0" applyBorder="1"/>
    <xf numFmtId="0" fontId="4" fillId="0" borderId="6" xfId="0" applyFont="1" applyBorder="1"/>
    <xf numFmtId="0" fontId="0" fillId="0" borderId="3" xfId="0" applyBorder="1"/>
    <xf numFmtId="0" fontId="0" fillId="0" borderId="4" xfId="0" applyBorder="1"/>
    <xf numFmtId="0" fontId="4" fillId="0" borderId="0" xfId="3" applyAlignment="1">
      <alignment horizontal="left" vertical="center"/>
    </xf>
    <xf numFmtId="164" fontId="4" fillId="7" borderId="6" xfId="0" applyNumberFormat="1" applyFont="1" applyFill="1" applyBorder="1" applyAlignment="1">
      <alignment horizontal="center"/>
    </xf>
    <xf numFmtId="164" fontId="4" fillId="7" borderId="3" xfId="0" quotePrefix="1" applyNumberFormat="1" applyFont="1" applyFill="1" applyBorder="1" applyAlignment="1">
      <alignment horizontal="center"/>
    </xf>
    <xf numFmtId="164" fontId="4" fillId="7" borderId="4" xfId="0" applyNumberFormat="1" applyFont="1" applyFill="1" applyBorder="1" applyAlignment="1">
      <alignment horizontal="center"/>
    </xf>
    <xf numFmtId="0" fontId="4" fillId="7" borderId="3" xfId="0" quotePrefix="1" applyFont="1" applyFill="1" applyBorder="1" applyAlignment="1">
      <alignment horizontal="center"/>
    </xf>
    <xf numFmtId="0" fontId="4" fillId="7" borderId="6" xfId="0" applyFont="1" applyFill="1" applyBorder="1" applyAlignment="1">
      <alignment horizontal="center"/>
    </xf>
    <xf numFmtId="0" fontId="4" fillId="7" borderId="4" xfId="0" applyFont="1" applyFill="1" applyBorder="1" applyAlignment="1">
      <alignment horizontal="center"/>
    </xf>
    <xf numFmtId="166" fontId="4" fillId="7" borderId="6" xfId="0" applyNumberFormat="1" applyFont="1" applyFill="1" applyBorder="1" applyAlignment="1">
      <alignment horizontal="center"/>
    </xf>
    <xf numFmtId="166" fontId="4" fillId="7" borderId="4" xfId="0" applyNumberFormat="1" applyFont="1" applyFill="1" applyBorder="1" applyAlignment="1">
      <alignment horizontal="center"/>
    </xf>
    <xf numFmtId="164" fontId="0" fillId="14" borderId="1" xfId="0" applyNumberFormat="1" applyFill="1" applyBorder="1" applyAlignment="1">
      <alignment horizontal="center"/>
    </xf>
    <xf numFmtId="0" fontId="4" fillId="0" borderId="13" xfId="0" applyFont="1" applyBorder="1" applyAlignment="1">
      <alignment vertical="center" wrapText="1"/>
    </xf>
    <xf numFmtId="166" fontId="0" fillId="14" borderId="10" xfId="0" applyNumberFormat="1" applyFill="1" applyBorder="1" applyAlignment="1">
      <alignment horizontal="center"/>
    </xf>
    <xf numFmtId="1" fontId="4" fillId="0" borderId="0" xfId="3" applyNumberFormat="1"/>
    <xf numFmtId="164" fontId="4" fillId="0" borderId="0" xfId="3" applyNumberFormat="1" applyAlignment="1">
      <alignment horizontal="center" vertical="center"/>
    </xf>
    <xf numFmtId="10" fontId="4" fillId="0" borderId="0" xfId="3" applyNumberFormat="1" applyAlignment="1">
      <alignment horizontal="center" vertical="center"/>
    </xf>
    <xf numFmtId="164" fontId="0" fillId="0" borderId="1" xfId="0" applyNumberFormat="1" applyBorder="1" applyAlignment="1">
      <alignment horizontal="center"/>
    </xf>
    <xf numFmtId="1" fontId="1" fillId="0" borderId="1" xfId="8" applyNumberFormat="1" applyBorder="1" applyAlignment="1">
      <alignment horizontal="center" vertical="center"/>
    </xf>
    <xf numFmtId="0" fontId="1" fillId="0" borderId="1" xfId="8" applyBorder="1" applyAlignment="1">
      <alignment horizontal="center" vertical="center"/>
    </xf>
    <xf numFmtId="166" fontId="1" fillId="0" borderId="1" xfId="8" applyNumberFormat="1" applyBorder="1" applyAlignment="1">
      <alignment horizontal="center" vertical="center"/>
    </xf>
    <xf numFmtId="0" fontId="4" fillId="0" borderId="1" xfId="3" applyBorder="1" applyAlignment="1">
      <alignment horizontal="left" vertical="center"/>
    </xf>
    <xf numFmtId="164" fontId="4" fillId="0" borderId="1" xfId="3" applyNumberFormat="1" applyBorder="1" applyAlignment="1">
      <alignment horizontal="center" vertical="center"/>
    </xf>
    <xf numFmtId="164" fontId="0" fillId="0" borderId="10" xfId="0" applyNumberFormat="1" applyBorder="1" applyAlignment="1">
      <alignment horizontal="center"/>
    </xf>
    <xf numFmtId="1" fontId="1" fillId="0" borderId="10" xfId="8" applyNumberFormat="1" applyBorder="1" applyAlignment="1">
      <alignment horizontal="center" vertical="center"/>
    </xf>
    <xf numFmtId="0" fontId="1" fillId="0" borderId="10" xfId="8" applyBorder="1" applyAlignment="1">
      <alignment horizontal="center" vertical="center"/>
    </xf>
    <xf numFmtId="166" fontId="1" fillId="0" borderId="10" xfId="8" applyNumberFormat="1" applyBorder="1" applyAlignment="1">
      <alignment horizontal="center" vertical="center"/>
    </xf>
    <xf numFmtId="0" fontId="3" fillId="0" borderId="21" xfId="3" applyFont="1" applyBorder="1" applyAlignment="1">
      <alignment horizontal="center" vertical="center"/>
    </xf>
    <xf numFmtId="0" fontId="0" fillId="0" borderId="10" xfId="0" applyBorder="1"/>
    <xf numFmtId="0" fontId="3" fillId="0" borderId="66" xfId="3" applyFont="1" applyBorder="1" applyAlignment="1">
      <alignment horizontal="center" vertical="center"/>
    </xf>
    <xf numFmtId="2" fontId="0" fillId="14" borderId="10" xfId="0" applyNumberFormat="1" applyFill="1" applyBorder="1" applyAlignment="1">
      <alignment horizontal="center"/>
    </xf>
    <xf numFmtId="2" fontId="0" fillId="14" borderId="1" xfId="0" applyNumberFormat="1" applyFill="1" applyBorder="1" applyAlignment="1">
      <alignment horizontal="center"/>
    </xf>
    <xf numFmtId="0" fontId="4" fillId="0" borderId="0" xfId="0" applyFont="1" applyProtection="1">
      <protection locked="0"/>
    </xf>
    <xf numFmtId="167" fontId="4" fillId="0" borderId="0" xfId="1" applyNumberFormat="1" applyFont="1" applyAlignment="1" applyProtection="1">
      <alignment horizontal="center"/>
      <protection locked="0"/>
    </xf>
    <xf numFmtId="164" fontId="0" fillId="0" borderId="0" xfId="0" applyNumberFormat="1" applyAlignment="1" applyProtection="1">
      <alignment horizontal="center"/>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10" fillId="0" borderId="0" xfId="2" applyAlignment="1" applyProtection="1">
      <protection locked="0"/>
    </xf>
    <xf numFmtId="0" fontId="10" fillId="0" borderId="0" xfId="2" applyAlignment="1" applyProtection="1">
      <alignment wrapText="1"/>
      <protection locked="0"/>
    </xf>
    <xf numFmtId="0" fontId="0" fillId="0" borderId="0" xfId="0" applyProtection="1">
      <protection locked="0"/>
    </xf>
    <xf numFmtId="167" fontId="0" fillId="0" borderId="0" xfId="1" applyNumberFormat="1" applyFont="1" applyAlignment="1" applyProtection="1">
      <alignment horizontal="center"/>
      <protection locked="0"/>
    </xf>
    <xf numFmtId="1" fontId="4" fillId="0" borderId="0" xfId="0" applyNumberFormat="1" applyFont="1" applyAlignment="1" applyProtection="1">
      <alignment horizontal="center"/>
      <protection locked="0"/>
    </xf>
    <xf numFmtId="9" fontId="0" fillId="0" borderId="0" xfId="0" applyNumberFormat="1" applyProtection="1">
      <protection locked="0"/>
    </xf>
    <xf numFmtId="167" fontId="4" fillId="0" borderId="0" xfId="1" applyNumberFormat="1" applyFont="1" applyProtection="1">
      <protection locked="0"/>
    </xf>
    <xf numFmtId="0" fontId="0" fillId="0" borderId="0" xfId="0" applyAlignment="1" applyProtection="1">
      <alignment horizontal="center" wrapText="1"/>
      <protection locked="0"/>
    </xf>
    <xf numFmtId="167" fontId="0" fillId="0" borderId="0" xfId="1" applyNumberFormat="1" applyFont="1" applyProtection="1">
      <protection locked="0"/>
    </xf>
    <xf numFmtId="1" fontId="4" fillId="0" borderId="0" xfId="0" applyNumberFormat="1" applyFont="1" applyAlignment="1" applyProtection="1">
      <alignment horizontal="center" wrapText="1"/>
      <protection locked="0"/>
    </xf>
    <xf numFmtId="0" fontId="0" fillId="0" borderId="0" xfId="0" applyAlignment="1" applyProtection="1">
      <alignment wrapText="1"/>
      <protection locked="0"/>
    </xf>
    <xf numFmtId="14" fontId="0" fillId="0" borderId="0" xfId="0" applyNumberFormat="1" applyAlignment="1">
      <alignment vertical="center"/>
    </xf>
    <xf numFmtId="164" fontId="0" fillId="0" borderId="0" xfId="0" applyNumberFormat="1" applyAlignment="1">
      <alignment horizontal="center"/>
    </xf>
    <xf numFmtId="1" fontId="0" fillId="0" borderId="0" xfId="0" applyNumberFormat="1" applyAlignment="1">
      <alignment horizontal="center"/>
    </xf>
    <xf numFmtId="1" fontId="4" fillId="0" borderId="0" xfId="0" applyNumberFormat="1" applyFont="1" applyAlignment="1">
      <alignment horizontal="center"/>
    </xf>
    <xf numFmtId="9" fontId="0" fillId="0" borderId="0" xfId="1" applyFont="1"/>
    <xf numFmtId="9" fontId="0" fillId="15" borderId="6" xfId="1" applyFont="1" applyFill="1" applyBorder="1" applyAlignment="1" applyProtection="1">
      <alignment horizontal="center"/>
    </xf>
    <xf numFmtId="0" fontId="0" fillId="15" borderId="1" xfId="0" applyFill="1" applyBorder="1" applyAlignment="1">
      <alignment horizontal="center"/>
    </xf>
    <xf numFmtId="10" fontId="0" fillId="0" borderId="0" xfId="0" applyNumberFormat="1"/>
    <xf numFmtId="9" fontId="0" fillId="0" borderId="0" xfId="1" applyFont="1" applyBorder="1"/>
    <xf numFmtId="10" fontId="0" fillId="0" borderId="0" xfId="0" applyNumberFormat="1" applyAlignment="1">
      <alignment horizontal="center"/>
    </xf>
    <xf numFmtId="166" fontId="0" fillId="15" borderId="12" xfId="0" applyNumberFormat="1" applyFill="1" applyBorder="1" applyAlignment="1">
      <alignment horizontal="center"/>
    </xf>
    <xf numFmtId="2" fontId="0" fillId="15" borderId="1" xfId="0" applyNumberFormat="1" applyFill="1" applyBorder="1" applyAlignment="1">
      <alignment horizontal="center"/>
    </xf>
    <xf numFmtId="0" fontId="3" fillId="0" borderId="88" xfId="0" applyFont="1" applyBorder="1" applyAlignment="1">
      <alignment horizontal="center"/>
    </xf>
    <xf numFmtId="167" fontId="0" fillId="15" borderId="14" xfId="0" applyNumberFormat="1" applyFill="1" applyBorder="1" applyAlignment="1">
      <alignment horizontal="center"/>
    </xf>
    <xf numFmtId="9" fontId="0" fillId="15" borderId="1" xfId="0" applyNumberFormat="1" applyFill="1" applyBorder="1" applyAlignment="1">
      <alignment horizontal="center"/>
    </xf>
    <xf numFmtId="166" fontId="0" fillId="15" borderId="9" xfId="0" applyNumberFormat="1" applyFill="1" applyBorder="1" applyAlignment="1">
      <alignment horizontal="center"/>
    </xf>
    <xf numFmtId="166" fontId="0" fillId="15" borderId="14" xfId="0" applyNumberFormat="1" applyFill="1" applyBorder="1" applyAlignment="1">
      <alignment horizontal="center"/>
    </xf>
    <xf numFmtId="0" fontId="4" fillId="0" borderId="5" xfId="0" applyFont="1" applyBorder="1" applyAlignment="1">
      <alignment horizontal="center"/>
    </xf>
    <xf numFmtId="0" fontId="4" fillId="0" borderId="8" xfId="0" applyFont="1" applyBorder="1" applyAlignment="1">
      <alignment horizontal="center"/>
    </xf>
    <xf numFmtId="166" fontId="4" fillId="0" borderId="4" xfId="0" applyNumberFormat="1" applyFont="1" applyBorder="1" applyAlignment="1">
      <alignment horizontal="center"/>
    </xf>
    <xf numFmtId="0" fontId="3" fillId="0" borderId="2" xfId="0" applyFont="1" applyBorder="1" applyAlignment="1">
      <alignment horizontal="center"/>
    </xf>
    <xf numFmtId="0" fontId="3" fillId="0" borderId="76" xfId="0" applyFont="1" applyBorder="1" applyAlignment="1">
      <alignment horizontal="center"/>
    </xf>
    <xf numFmtId="0" fontId="3" fillId="0" borderId="89" xfId="0" applyFont="1" applyBorder="1" applyAlignment="1">
      <alignment horizontal="center"/>
    </xf>
    <xf numFmtId="0" fontId="4" fillId="0" borderId="103" xfId="0" applyFont="1" applyBorder="1" applyAlignment="1">
      <alignment horizontal="center"/>
    </xf>
    <xf numFmtId="0" fontId="4" fillId="0" borderId="81" xfId="0" applyFont="1" applyBorder="1" applyAlignment="1">
      <alignment horizontal="center" vertical="center"/>
    </xf>
    <xf numFmtId="0" fontId="4" fillId="0" borderId="28" xfId="0" applyFont="1" applyBorder="1" applyAlignment="1">
      <alignment horizontal="center" vertical="center"/>
    </xf>
    <xf numFmtId="0" fontId="4" fillId="0" borderId="4" xfId="0" applyFont="1" applyBorder="1" applyAlignment="1">
      <alignment horizontal="center" vertical="center"/>
    </xf>
    <xf numFmtId="0" fontId="0" fillId="0" borderId="0" xfId="0" applyAlignment="1">
      <alignment vertical="center" wrapText="1"/>
    </xf>
    <xf numFmtId="0" fontId="4" fillId="0" borderId="0" xfId="0" applyFont="1" applyAlignment="1">
      <alignment vertical="center" wrapText="1"/>
    </xf>
    <xf numFmtId="172" fontId="0" fillId="0" borderId="0" xfId="0" applyNumberFormat="1"/>
    <xf numFmtId="173" fontId="0" fillId="0" borderId="0" xfId="0" applyNumberFormat="1"/>
    <xf numFmtId="173" fontId="0" fillId="0" borderId="0" xfId="0" applyNumberFormat="1" applyAlignment="1">
      <alignment horizontal="center"/>
    </xf>
    <xf numFmtId="172" fontId="4" fillId="0" borderId="0" xfId="0" applyNumberFormat="1" applyFont="1"/>
    <xf numFmtId="0" fontId="3" fillId="0" borderId="1" xfId="0" applyFont="1" applyBorder="1" applyAlignment="1">
      <alignment horizontal="center" vertical="center" wrapText="1"/>
    </xf>
    <xf numFmtId="172" fontId="0" fillId="0" borderId="1" xfId="0" applyNumberFormat="1" applyBorder="1"/>
    <xf numFmtId="0" fontId="4" fillId="0" borderId="13" xfId="0" applyFont="1" applyBorder="1" applyAlignment="1">
      <alignment horizontal="center"/>
    </xf>
    <xf numFmtId="0" fontId="15" fillId="0" borderId="2" xfId="0" applyFont="1" applyBorder="1" applyAlignment="1">
      <alignment horizontal="center"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vertical="center"/>
    </xf>
    <xf numFmtId="0" fontId="4" fillId="0" borderId="91" xfId="0" applyFont="1" applyBorder="1" applyAlignment="1">
      <alignment horizontal="center"/>
    </xf>
    <xf numFmtId="166" fontId="0" fillId="0" borderId="0" xfId="1" applyNumberFormat="1" applyFont="1" applyFill="1" applyBorder="1" applyAlignment="1" applyProtection="1">
      <alignment horizontal="center" vertical="center"/>
      <protection locked="0"/>
    </xf>
    <xf numFmtId="0" fontId="4" fillId="0" borderId="8" xfId="0" applyFont="1" applyBorder="1" applyAlignment="1">
      <alignment horizontal="center" vertical="center"/>
    </xf>
    <xf numFmtId="164" fontId="0" fillId="15" borderId="1" xfId="0" applyNumberFormat="1" applyFill="1" applyBorder="1" applyAlignment="1">
      <alignment horizontal="center" vertical="center"/>
    </xf>
    <xf numFmtId="0" fontId="0" fillId="0" borderId="29" xfId="0" applyBorder="1" applyAlignment="1">
      <alignment horizontal="center" vertical="center"/>
    </xf>
    <xf numFmtId="0" fontId="0" fillId="0" borderId="136" xfId="0" applyBorder="1" applyAlignment="1">
      <alignment horizontal="center" vertical="center"/>
    </xf>
    <xf numFmtId="0" fontId="4" fillId="0" borderId="73" xfId="0" applyFont="1" applyBorder="1" applyAlignment="1">
      <alignment horizontal="center"/>
    </xf>
    <xf numFmtId="166" fontId="0" fillId="15" borderId="21" xfId="0" applyNumberFormat="1" applyFill="1" applyBorder="1" applyAlignment="1">
      <alignment horizontal="center"/>
    </xf>
    <xf numFmtId="0" fontId="3" fillId="0" borderId="75" xfId="0" applyFont="1" applyBorder="1" applyAlignment="1">
      <alignment horizontal="center"/>
    </xf>
    <xf numFmtId="9" fontId="15" fillId="0" borderId="88" xfId="1" applyFont="1" applyBorder="1" applyAlignment="1">
      <alignment horizontal="center" vertical="center" wrapText="1"/>
    </xf>
    <xf numFmtId="0" fontId="15" fillId="0" borderId="88" xfId="0" applyFont="1" applyBorder="1" applyAlignment="1">
      <alignment horizontal="center" vertical="center" wrapText="1"/>
    </xf>
    <xf numFmtId="0" fontId="4" fillId="0" borderId="82" xfId="0" applyFont="1" applyBorder="1" applyAlignment="1">
      <alignment horizontal="center" vertical="center"/>
    </xf>
    <xf numFmtId="0" fontId="3" fillId="0" borderId="0" xfId="0" applyFont="1" applyAlignment="1">
      <alignment horizontal="right"/>
    </xf>
    <xf numFmtId="0" fontId="3" fillId="5" borderId="1" xfId="0" applyFont="1" applyFill="1" applyBorder="1" applyAlignment="1">
      <alignment horizontal="center" vertical="center"/>
    </xf>
    <xf numFmtId="0" fontId="3" fillId="0" borderId="0" xfId="0" applyFont="1" applyAlignment="1">
      <alignment wrapText="1"/>
    </xf>
    <xf numFmtId="0" fontId="10" fillId="0" borderId="0" xfId="2" applyAlignment="1" applyProtection="1">
      <alignment horizontal="center" wrapText="1"/>
    </xf>
    <xf numFmtId="0" fontId="4" fillId="0" borderId="0" xfId="0" quotePrefix="1" applyFont="1" applyAlignment="1">
      <alignment wrapText="1"/>
    </xf>
    <xf numFmtId="0" fontId="16" fillId="0" borderId="0" xfId="0" applyFont="1" applyAlignment="1">
      <alignment horizontal="center" wrapText="1"/>
    </xf>
    <xf numFmtId="0" fontId="4" fillId="0" borderId="1" xfId="0" applyFont="1" applyBorder="1" applyAlignment="1">
      <alignment horizontal="center" vertical="center"/>
    </xf>
    <xf numFmtId="1" fontId="0" fillId="0" borderId="0" xfId="0" applyNumberFormat="1"/>
    <xf numFmtId="49" fontId="14" fillId="16" borderId="1" xfId="0" applyNumberFormat="1" applyFont="1" applyFill="1" applyBorder="1" applyAlignment="1" applyProtection="1">
      <alignment horizontal="center" vertical="center" shrinkToFit="1"/>
      <protection locked="0"/>
    </xf>
    <xf numFmtId="49" fontId="14" fillId="16" borderId="21" xfId="0" applyNumberFormat="1" applyFont="1" applyFill="1" applyBorder="1" applyAlignment="1" applyProtection="1">
      <alignment horizontal="center" vertical="center" shrinkToFit="1"/>
      <protection locked="0"/>
    </xf>
    <xf numFmtId="166" fontId="0" fillId="15" borderId="9" xfId="1" applyNumberFormat="1" applyFont="1" applyFill="1" applyBorder="1" applyAlignment="1" applyProtection="1">
      <alignment horizontal="center"/>
    </xf>
    <xf numFmtId="0" fontId="4" fillId="0" borderId="81" xfId="0" applyFont="1" applyBorder="1" applyAlignment="1">
      <alignment horizontal="center"/>
    </xf>
    <xf numFmtId="166" fontId="0" fillId="15" borderId="78" xfId="0" applyNumberFormat="1" applyFill="1" applyBorder="1" applyAlignment="1">
      <alignment horizontal="center"/>
    </xf>
    <xf numFmtId="0" fontId="4" fillId="0" borderId="103" xfId="0" applyFont="1" applyBorder="1" applyAlignment="1">
      <alignment horizontal="center" vertical="center"/>
    </xf>
    <xf numFmtId="0" fontId="0" fillId="0" borderId="0" xfId="0" applyAlignment="1">
      <alignment horizontal="right"/>
    </xf>
    <xf numFmtId="0" fontId="3" fillId="0" borderId="134" xfId="0" applyFont="1" applyBorder="1" applyAlignment="1">
      <alignment horizontal="center" vertical="center"/>
    </xf>
    <xf numFmtId="0" fontId="4" fillId="0" borderId="21" xfId="0" applyFont="1" applyBorder="1" applyAlignment="1">
      <alignment horizontal="center" vertical="center"/>
    </xf>
    <xf numFmtId="0" fontId="3" fillId="0" borderId="78" xfId="0" applyFont="1" applyBorder="1" applyAlignment="1">
      <alignment horizontal="center" vertical="center"/>
    </xf>
    <xf numFmtId="0" fontId="0" fillId="15" borderId="10" xfId="0" applyFill="1" applyBorder="1" applyAlignment="1">
      <alignment horizontal="center"/>
    </xf>
    <xf numFmtId="166" fontId="0" fillId="15" borderId="101" xfId="0" applyNumberFormat="1" applyFill="1" applyBorder="1" applyAlignment="1">
      <alignment horizontal="center"/>
    </xf>
    <xf numFmtId="0" fontId="4" fillId="0" borderId="11"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4" fillId="0" borderId="124" xfId="0" applyFont="1" applyBorder="1" applyAlignment="1">
      <alignment horizontal="center" vertical="center" wrapText="1"/>
    </xf>
    <xf numFmtId="0" fontId="4" fillId="0" borderId="125" xfId="0" applyFont="1" applyBorder="1" applyAlignment="1">
      <alignment horizontal="center" vertical="center" wrapText="1"/>
    </xf>
    <xf numFmtId="0" fontId="21" fillId="0" borderId="10" xfId="0" applyFont="1" applyBorder="1" applyAlignment="1">
      <alignment horizontal="center" vertical="center"/>
    </xf>
    <xf numFmtId="0" fontId="14" fillId="0" borderId="2" xfId="0" applyFont="1" applyBorder="1" applyAlignment="1">
      <alignment horizontal="center" vertical="center" wrapText="1"/>
    </xf>
    <xf numFmtId="0" fontId="15" fillId="0" borderId="0" xfId="0" applyFont="1" applyAlignment="1">
      <alignment horizontal="center" vertical="center"/>
    </xf>
    <xf numFmtId="0" fontId="14" fillId="0" borderId="12" xfId="0" applyFont="1" applyBorder="1" applyAlignment="1">
      <alignment vertical="center"/>
    </xf>
    <xf numFmtId="0" fontId="14" fillId="0" borderId="8" xfId="0" applyFont="1" applyBorder="1" applyAlignment="1">
      <alignment vertical="center"/>
    </xf>
    <xf numFmtId="0" fontId="14" fillId="0" borderId="27" xfId="0" applyFont="1" applyBorder="1" applyAlignment="1">
      <alignment vertical="center"/>
    </xf>
    <xf numFmtId="0" fontId="14" fillId="0" borderId="0" xfId="0" applyFont="1" applyAlignment="1" applyProtection="1">
      <alignment vertical="center" wrapText="1"/>
      <protection locked="0"/>
    </xf>
    <xf numFmtId="0" fontId="0" fillId="5" borderId="19" xfId="0" applyFill="1" applyBorder="1" applyAlignment="1">
      <alignment horizontal="center" vertical="center"/>
    </xf>
    <xf numFmtId="0" fontId="0" fillId="5" borderId="90" xfId="0" applyFill="1" applyBorder="1" applyAlignment="1">
      <alignment horizontal="center" vertical="center"/>
    </xf>
    <xf numFmtId="1" fontId="0" fillId="15" borderId="125" xfId="0" applyNumberFormat="1" applyFill="1" applyBorder="1" applyAlignment="1">
      <alignment horizontal="center"/>
    </xf>
    <xf numFmtId="0" fontId="0" fillId="0" borderId="0" xfId="0" applyAlignment="1">
      <alignment vertical="top" wrapText="1"/>
    </xf>
    <xf numFmtId="0" fontId="25" fillId="10" borderId="0" xfId="0" applyFont="1" applyFill="1" applyAlignment="1">
      <alignment horizontal="left" vertical="top" wrapText="1"/>
    </xf>
    <xf numFmtId="0" fontId="4" fillId="10" borderId="0" xfId="0" applyFont="1" applyFill="1" applyAlignment="1" applyProtection="1">
      <alignment horizontal="center" vertical="center"/>
      <protection locked="0"/>
    </xf>
    <xf numFmtId="2" fontId="24" fillId="10" borderId="0" xfId="0" applyNumberFormat="1" applyFont="1" applyFill="1" applyAlignment="1">
      <alignment horizontal="center" vertical="center"/>
    </xf>
    <xf numFmtId="0" fontId="24" fillId="10" borderId="0" xfId="0" applyFont="1" applyFill="1" applyAlignment="1">
      <alignment horizontal="left" vertical="center"/>
    </xf>
    <xf numFmtId="0" fontId="25" fillId="10" borderId="0" xfId="3" applyFont="1" applyFill="1" applyAlignment="1">
      <alignment horizontal="left" vertical="top" wrapText="1"/>
    </xf>
    <xf numFmtId="0" fontId="4" fillId="10" borderId="0" xfId="3" applyFill="1" applyAlignment="1" applyProtection="1">
      <alignment horizontal="center" vertical="center"/>
      <protection locked="0"/>
    </xf>
    <xf numFmtId="2" fontId="24" fillId="10" borderId="0" xfId="3" applyNumberFormat="1" applyFont="1" applyFill="1" applyAlignment="1">
      <alignment horizontal="center" vertical="center"/>
    </xf>
    <xf numFmtId="0" fontId="24" fillId="10" borderId="0" xfId="3" applyFont="1" applyFill="1" applyAlignment="1">
      <alignment horizontal="left" vertical="center"/>
    </xf>
    <xf numFmtId="0" fontId="15" fillId="0" borderId="0" xfId="0" applyFont="1" applyAlignment="1">
      <alignment horizontal="right" vertical="top" wrapText="1"/>
    </xf>
    <xf numFmtId="0" fontId="15" fillId="0" borderId="0" xfId="0" applyFont="1" applyAlignment="1">
      <alignment horizontal="right" vertical="center"/>
    </xf>
    <xf numFmtId="166" fontId="0" fillId="16" borderId="18" xfId="0" applyNumberFormat="1" applyFill="1" applyBorder="1" applyAlignment="1" applyProtection="1">
      <alignment horizontal="center" vertical="center"/>
      <protection locked="0"/>
    </xf>
    <xf numFmtId="2" fontId="0" fillId="15" borderId="18" xfId="0" applyNumberFormat="1" applyFill="1" applyBorder="1" applyAlignment="1">
      <alignment horizontal="center" vertical="center"/>
    </xf>
    <xf numFmtId="0" fontId="3" fillId="0" borderId="135" xfId="0" applyFont="1" applyBorder="1" applyAlignment="1">
      <alignment horizontal="center"/>
    </xf>
    <xf numFmtId="0" fontId="0" fillId="0" borderId="18" xfId="0" applyBorder="1" applyAlignment="1">
      <alignment horizontal="center"/>
    </xf>
    <xf numFmtId="0" fontId="4" fillId="0" borderId="20" xfId="0" applyFont="1" applyBorder="1" applyAlignment="1">
      <alignment horizontal="center"/>
    </xf>
    <xf numFmtId="0" fontId="3" fillId="0" borderId="125" xfId="0" applyFont="1" applyBorder="1" applyAlignment="1">
      <alignment horizontal="center"/>
    </xf>
    <xf numFmtId="0" fontId="3" fillId="0" borderId="161" xfId="0" applyFont="1" applyBorder="1" applyAlignment="1">
      <alignment horizontal="center"/>
    </xf>
    <xf numFmtId="0" fontId="3" fillId="0" borderId="96" xfId="0" applyFont="1" applyBorder="1" applyAlignment="1">
      <alignment horizontal="right"/>
    </xf>
    <xf numFmtId="166" fontId="0" fillId="13" borderId="147" xfId="0" applyNumberFormat="1" applyFill="1" applyBorder="1" applyAlignment="1">
      <alignment horizontal="center" vertical="center"/>
    </xf>
    <xf numFmtId="166" fontId="0" fillId="14" borderId="18" xfId="0" applyNumberFormat="1" applyFill="1" applyBorder="1" applyAlignment="1">
      <alignment horizontal="center" vertical="center"/>
    </xf>
    <xf numFmtId="166" fontId="0" fillId="18" borderId="18" xfId="0" applyNumberFormat="1" applyFill="1" applyBorder="1" applyAlignment="1">
      <alignment horizontal="center" vertical="center"/>
    </xf>
    <xf numFmtId="0" fontId="0" fillId="15" borderId="10" xfId="0" applyFill="1" applyBorder="1" applyAlignment="1">
      <alignment horizontal="center" vertical="center"/>
    </xf>
    <xf numFmtId="0" fontId="21" fillId="0" borderId="162" xfId="0" applyFont="1" applyBorder="1" applyAlignment="1">
      <alignment horizontal="center" vertical="center"/>
    </xf>
    <xf numFmtId="0" fontId="4" fillId="0" borderId="109" xfId="0" applyFont="1" applyBorder="1" applyAlignment="1">
      <alignment horizontal="center" vertical="center"/>
    </xf>
    <xf numFmtId="2" fontId="0" fillId="15" borderId="88" xfId="0" applyNumberFormat="1" applyFill="1" applyBorder="1" applyAlignment="1">
      <alignment horizontal="center"/>
    </xf>
    <xf numFmtId="0" fontId="0" fillId="0" borderId="62" xfId="0" applyBorder="1"/>
    <xf numFmtId="0" fontId="4" fillId="0" borderId="7" xfId="0" applyFont="1" applyBorder="1" applyAlignment="1">
      <alignment horizont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3" fillId="0" borderId="1" xfId="0" applyFont="1" applyBorder="1" applyAlignment="1">
      <alignment horizontal="center"/>
    </xf>
    <xf numFmtId="0" fontId="21" fillId="0" borderId="81" xfId="0" applyFont="1" applyBorder="1" applyAlignment="1">
      <alignment horizontal="center" vertical="center"/>
    </xf>
    <xf numFmtId="0" fontId="10" fillId="0" borderId="0" xfId="2" applyBorder="1" applyAlignment="1" applyProtection="1">
      <alignment vertical="center" textRotation="90" wrapText="1" shrinkToFit="1"/>
    </xf>
    <xf numFmtId="0" fontId="52" fillId="0" borderId="0" xfId="0" applyFont="1" applyAlignment="1">
      <alignment vertical="center" wrapText="1"/>
    </xf>
    <xf numFmtId="0" fontId="3" fillId="0" borderId="1" xfId="0" applyFont="1" applyBorder="1"/>
    <xf numFmtId="0" fontId="0" fillId="0" borderId="14" xfId="0" applyBorder="1"/>
    <xf numFmtId="0" fontId="0" fillId="0" borderId="13" xfId="0" applyBorder="1"/>
    <xf numFmtId="0" fontId="0" fillId="0" borderId="164" xfId="0" applyBorder="1" applyAlignment="1">
      <alignment vertical="center"/>
    </xf>
    <xf numFmtId="0" fontId="0" fillId="0" borderId="160" xfId="0" applyBorder="1" applyAlignment="1">
      <alignment vertical="center"/>
    </xf>
    <xf numFmtId="0" fontId="0" fillId="0" borderId="164" xfId="0" applyBorder="1"/>
    <xf numFmtId="0" fontId="10" fillId="0" borderId="7" xfId="2" applyBorder="1" applyAlignment="1" applyProtection="1">
      <alignment vertical="center" textRotation="90" wrapText="1" shrinkToFit="1"/>
    </xf>
    <xf numFmtId="0" fontId="10" fillId="0" borderId="160" xfId="2" applyBorder="1" applyAlignment="1" applyProtection="1">
      <alignment vertical="center" textRotation="90" wrapText="1" shrinkToFit="1"/>
    </xf>
    <xf numFmtId="0" fontId="52" fillId="0" borderId="160" xfId="0" applyFont="1" applyBorder="1" applyAlignment="1">
      <alignment vertical="center" wrapText="1"/>
    </xf>
    <xf numFmtId="0" fontId="0" fillId="0" borderId="160" xfId="0" applyBorder="1"/>
    <xf numFmtId="0" fontId="3" fillId="0" borderId="173" xfId="0" applyFont="1" applyBorder="1" applyAlignment="1">
      <alignment horizontal="center"/>
    </xf>
    <xf numFmtId="166" fontId="0" fillId="17" borderId="175" xfId="0" applyNumberFormat="1" applyFill="1" applyBorder="1" applyAlignment="1">
      <alignment horizontal="center"/>
    </xf>
    <xf numFmtId="166" fontId="0" fillId="17" borderId="176" xfId="0" applyNumberFormat="1" applyFill="1" applyBorder="1" applyAlignment="1">
      <alignment horizontal="center"/>
    </xf>
    <xf numFmtId="0" fontId="0" fillId="0" borderId="0" xfId="0" quotePrefix="1" applyAlignment="1">
      <alignment wrapText="1"/>
    </xf>
    <xf numFmtId="0" fontId="21" fillId="0" borderId="7" xfId="0" applyFont="1" applyBorder="1" applyAlignment="1">
      <alignment horizontal="center" wrapText="1"/>
    </xf>
    <xf numFmtId="0" fontId="21" fillId="0" borderId="0" xfId="0" applyFont="1" applyAlignment="1">
      <alignment shrinkToFit="1"/>
    </xf>
    <xf numFmtId="0" fontId="0" fillId="17" borderId="1" xfId="0" applyFill="1" applyBorder="1" applyAlignment="1">
      <alignment horizontal="center"/>
    </xf>
    <xf numFmtId="0" fontId="21" fillId="0" borderId="162" xfId="0" applyFont="1" applyBorder="1" applyAlignment="1">
      <alignment horizontal="center" vertical="center" shrinkToFit="1"/>
    </xf>
    <xf numFmtId="2" fontId="21" fillId="0" borderId="1" xfId="0" applyNumberFormat="1" applyFont="1" applyBorder="1" applyAlignment="1">
      <alignment horizontal="center" vertical="center"/>
    </xf>
    <xf numFmtId="2" fontId="21" fillId="0" borderId="9" xfId="0" applyNumberFormat="1" applyFont="1" applyBorder="1" applyAlignment="1">
      <alignment horizontal="center" vertical="center"/>
    </xf>
    <xf numFmtId="0" fontId="21" fillId="0" borderId="1" xfId="0" applyFont="1" applyBorder="1" applyAlignment="1">
      <alignment horizontal="center" vertical="center"/>
    </xf>
    <xf numFmtId="0" fontId="14" fillId="0" borderId="1" xfId="0" applyFont="1" applyBorder="1" applyAlignment="1">
      <alignment horizontal="center" vertical="center"/>
    </xf>
    <xf numFmtId="0" fontId="14" fillId="0" borderId="181" xfId="0" applyFont="1" applyBorder="1" applyAlignment="1">
      <alignment vertical="center"/>
    </xf>
    <xf numFmtId="0" fontId="21" fillId="0" borderId="9" xfId="0" applyFont="1" applyBorder="1" applyAlignment="1">
      <alignment horizontal="center" vertical="center"/>
    </xf>
    <xf numFmtId="0" fontId="21" fillId="0" borderId="164" xfId="0" applyFont="1" applyBorder="1" applyAlignment="1">
      <alignment horizontal="right" vertical="center" wrapText="1"/>
    </xf>
    <xf numFmtId="0" fontId="0" fillId="0" borderId="27" xfId="0" applyBorder="1"/>
    <xf numFmtId="2" fontId="21" fillId="0" borderId="27" xfId="0" applyNumberFormat="1" applyFont="1" applyBorder="1" applyAlignment="1">
      <alignment vertical="center"/>
    </xf>
    <xf numFmtId="0" fontId="21" fillId="0" borderId="0" xfId="0" applyFont="1" applyAlignment="1">
      <alignment vertical="center" textRotation="90" wrapText="1"/>
    </xf>
    <xf numFmtId="0" fontId="21" fillId="0" borderId="6" xfId="0" applyFont="1" applyBorder="1" applyAlignment="1">
      <alignment horizontal="right" vertical="center"/>
    </xf>
    <xf numFmtId="0" fontId="4" fillId="0" borderId="7" xfId="0" applyFont="1" applyBorder="1" applyAlignment="1">
      <alignment horizontal="center" vertical="center"/>
    </xf>
    <xf numFmtId="0" fontId="15" fillId="0" borderId="185" xfId="0" applyFont="1" applyBorder="1" applyAlignment="1">
      <alignment horizontal="center"/>
    </xf>
    <xf numFmtId="166" fontId="0" fillId="0" borderId="0" xfId="0" applyNumberFormat="1" applyAlignment="1">
      <alignment horizontal="right"/>
    </xf>
    <xf numFmtId="0" fontId="4" fillId="0" borderId="168" xfId="0" applyFont="1" applyBorder="1" applyAlignment="1">
      <alignment horizontal="center" vertical="center" shrinkToFit="1"/>
    </xf>
    <xf numFmtId="166" fontId="14" fillId="19" borderId="1" xfId="0" applyNumberFormat="1" applyFont="1" applyFill="1" applyBorder="1" applyAlignment="1" applyProtection="1">
      <alignment horizontal="center" vertical="center"/>
      <protection locked="0"/>
    </xf>
    <xf numFmtId="1" fontId="14" fillId="19" borderId="1" xfId="0" applyNumberFormat="1" applyFont="1" applyFill="1" applyBorder="1" applyAlignment="1" applyProtection="1">
      <alignment horizontal="center" vertical="center"/>
      <protection locked="0"/>
    </xf>
    <xf numFmtId="166" fontId="14" fillId="19" borderId="162" xfId="0" applyNumberFormat="1" applyFont="1" applyFill="1" applyBorder="1" applyAlignment="1" applyProtection="1">
      <alignment horizontal="center" vertical="center"/>
      <protection locked="0"/>
    </xf>
    <xf numFmtId="166" fontId="14" fillId="19" borderId="9" xfId="0" applyNumberFormat="1" applyFont="1" applyFill="1" applyBorder="1" applyAlignment="1" applyProtection="1">
      <alignment horizontal="center" vertical="center"/>
      <protection locked="0"/>
    </xf>
    <xf numFmtId="0" fontId="14" fillId="19" borderId="1" xfId="0" applyFont="1" applyFill="1" applyBorder="1" applyAlignment="1" applyProtection="1">
      <alignment horizontal="center" vertical="center"/>
      <protection locked="0"/>
    </xf>
    <xf numFmtId="166" fontId="14" fillId="19" borderId="6" xfId="0" applyNumberFormat="1" applyFont="1" applyFill="1" applyBorder="1" applyAlignment="1" applyProtection="1">
      <alignment horizontal="center" vertical="center"/>
      <protection locked="0"/>
    </xf>
    <xf numFmtId="166" fontId="14" fillId="19" borderId="10" xfId="0" applyNumberFormat="1" applyFont="1" applyFill="1" applyBorder="1" applyAlignment="1" applyProtection="1">
      <alignment horizontal="center" vertical="center"/>
      <protection locked="0"/>
    </xf>
    <xf numFmtId="166" fontId="14" fillId="19" borderId="12" xfId="0" applyNumberFormat="1" applyFont="1" applyFill="1" applyBorder="1" applyAlignment="1" applyProtection="1">
      <alignment horizontal="center" vertical="center"/>
      <protection locked="0"/>
    </xf>
    <xf numFmtId="164" fontId="14" fillId="19" borderId="9" xfId="0" applyNumberFormat="1" applyFont="1" applyFill="1" applyBorder="1" applyAlignment="1" applyProtection="1">
      <alignment horizontal="center" vertical="center"/>
      <protection locked="0"/>
    </xf>
    <xf numFmtId="164" fontId="14" fillId="19" borderId="2" xfId="0" applyNumberFormat="1" applyFont="1" applyFill="1" applyBorder="1" applyAlignment="1" applyProtection="1">
      <alignment horizontal="center" vertical="center"/>
      <protection locked="0"/>
    </xf>
    <xf numFmtId="164" fontId="14" fillId="19" borderId="162" xfId="0" applyNumberFormat="1" applyFont="1" applyFill="1" applyBorder="1" applyAlignment="1" applyProtection="1">
      <alignment horizontal="center" vertical="center"/>
      <protection locked="0"/>
    </xf>
    <xf numFmtId="166" fontId="0" fillId="19" borderId="106" xfId="0" applyNumberFormat="1" applyFill="1" applyBorder="1" applyAlignment="1" applyProtection="1">
      <alignment horizontal="center" vertical="center"/>
      <protection locked="0"/>
    </xf>
    <xf numFmtId="166" fontId="0" fillId="19" borderId="78" xfId="0" applyNumberFormat="1" applyFill="1" applyBorder="1" applyAlignment="1" applyProtection="1">
      <alignment horizontal="center" vertical="center"/>
      <protection locked="0"/>
    </xf>
    <xf numFmtId="166" fontId="0" fillId="19" borderId="1" xfId="0" applyNumberFormat="1" applyFill="1" applyBorder="1" applyAlignment="1" applyProtection="1">
      <alignment horizontal="center" vertical="center"/>
      <protection locked="0"/>
    </xf>
    <xf numFmtId="166" fontId="0" fillId="19" borderId="1" xfId="1" applyNumberFormat="1" applyFont="1" applyFill="1" applyBorder="1" applyAlignment="1" applyProtection="1">
      <alignment horizontal="center" vertical="center"/>
      <protection locked="0"/>
    </xf>
    <xf numFmtId="166" fontId="0" fillId="19" borderId="9" xfId="0" applyNumberFormat="1" applyFill="1" applyBorder="1" applyAlignment="1" applyProtection="1">
      <alignment horizontal="center" vertical="center"/>
      <protection locked="0"/>
    </xf>
    <xf numFmtId="2" fontId="0" fillId="19" borderId="78" xfId="0" applyNumberFormat="1" applyFill="1" applyBorder="1" applyAlignment="1" applyProtection="1">
      <alignment horizontal="center" vertical="center"/>
      <protection locked="0"/>
    </xf>
    <xf numFmtId="1" fontId="0" fillId="19" borderId="78" xfId="1" applyNumberFormat="1" applyFont="1" applyFill="1" applyBorder="1" applyAlignment="1" applyProtection="1">
      <alignment horizontal="center" vertical="center"/>
      <protection locked="0"/>
    </xf>
    <xf numFmtId="2" fontId="0" fillId="19" borderId="9" xfId="1" applyNumberFormat="1" applyFont="1" applyFill="1" applyBorder="1" applyAlignment="1" applyProtection="1">
      <alignment horizontal="center" vertical="center"/>
      <protection locked="0"/>
    </xf>
    <xf numFmtId="166" fontId="0" fillId="19" borderId="64" xfId="1" applyNumberFormat="1" applyFont="1" applyFill="1" applyBorder="1" applyAlignment="1" applyProtection="1">
      <alignment horizontal="center" vertical="center"/>
      <protection locked="0"/>
    </xf>
    <xf numFmtId="0" fontId="0" fillId="19" borderId="128" xfId="0" applyFill="1" applyBorder="1" applyAlignment="1" applyProtection="1">
      <alignment horizontal="center" vertical="center"/>
      <protection locked="0"/>
    </xf>
    <xf numFmtId="1" fontId="0" fillId="19" borderId="129" xfId="0" applyNumberFormat="1" applyFill="1" applyBorder="1" applyAlignment="1" applyProtection="1">
      <alignment horizontal="center"/>
      <protection locked="0"/>
    </xf>
    <xf numFmtId="1" fontId="0" fillId="19" borderId="1" xfId="0" applyNumberFormat="1" applyFill="1" applyBorder="1" applyAlignment="1" applyProtection="1">
      <alignment horizontal="center"/>
      <protection locked="0"/>
    </xf>
    <xf numFmtId="1" fontId="0" fillId="19" borderId="4" xfId="0" applyNumberFormat="1" applyFill="1" applyBorder="1" applyAlignment="1" applyProtection="1">
      <alignment horizontal="center"/>
      <protection locked="0"/>
    </xf>
    <xf numFmtId="1" fontId="0" fillId="19" borderId="124" xfId="0" applyNumberFormat="1" applyFill="1" applyBorder="1" applyAlignment="1" applyProtection="1">
      <alignment horizontal="center"/>
      <protection locked="0"/>
    </xf>
    <xf numFmtId="1" fontId="0" fillId="19" borderId="9" xfId="0" applyNumberFormat="1" applyFill="1" applyBorder="1" applyAlignment="1" applyProtection="1">
      <alignment horizontal="center"/>
      <protection locked="0"/>
    </xf>
    <xf numFmtId="1" fontId="0" fillId="19" borderId="5" xfId="0" applyNumberFormat="1" applyFill="1" applyBorder="1" applyAlignment="1" applyProtection="1">
      <alignment horizontal="center"/>
      <protection locked="0"/>
    </xf>
    <xf numFmtId="1" fontId="0" fillId="19" borderId="131" xfId="0" applyNumberFormat="1" applyFill="1" applyBorder="1" applyAlignment="1" applyProtection="1">
      <alignment horizontal="center"/>
      <protection locked="0"/>
    </xf>
    <xf numFmtId="1" fontId="0" fillId="19" borderId="21" xfId="0" applyNumberFormat="1" applyFill="1" applyBorder="1" applyAlignment="1" applyProtection="1">
      <alignment horizontal="center"/>
      <protection locked="0"/>
    </xf>
    <xf numFmtId="1" fontId="0" fillId="19" borderId="73" xfId="0" applyNumberFormat="1" applyFill="1" applyBorder="1" applyAlignment="1" applyProtection="1">
      <alignment horizontal="center"/>
      <protection locked="0"/>
    </xf>
    <xf numFmtId="1" fontId="0" fillId="19" borderId="78" xfId="0" applyNumberFormat="1" applyFill="1" applyBorder="1" applyAlignment="1" applyProtection="1">
      <alignment horizontal="center"/>
      <protection locked="0"/>
    </xf>
    <xf numFmtId="166" fontId="0" fillId="19" borderId="18" xfId="0" applyNumberFormat="1" applyFill="1" applyBorder="1" applyAlignment="1" applyProtection="1">
      <alignment horizontal="center" vertical="center"/>
      <protection locked="0"/>
    </xf>
    <xf numFmtId="0" fontId="14" fillId="19" borderId="96" xfId="0" applyFont="1" applyFill="1" applyBorder="1" applyAlignment="1" applyProtection="1">
      <alignment vertical="center" shrinkToFit="1"/>
      <protection locked="0"/>
    </xf>
    <xf numFmtId="1" fontId="0" fillId="19" borderId="8" xfId="0" applyNumberFormat="1" applyFill="1" applyBorder="1" applyAlignment="1" applyProtection="1">
      <alignment horizontal="center" vertical="center"/>
      <protection locked="0"/>
    </xf>
    <xf numFmtId="9" fontId="0" fillId="19" borderId="10" xfId="1" applyFont="1" applyFill="1" applyBorder="1" applyAlignment="1" applyProtection="1">
      <alignment horizontal="center" vertical="center"/>
      <protection locked="0"/>
    </xf>
    <xf numFmtId="166" fontId="0" fillId="19" borderId="10" xfId="0" applyNumberFormat="1" applyFill="1" applyBorder="1" applyAlignment="1" applyProtection="1">
      <alignment horizontal="center" vertical="center"/>
      <protection locked="0"/>
    </xf>
    <xf numFmtId="2" fontId="0" fillId="19" borderId="10" xfId="0" applyNumberFormat="1" applyFill="1" applyBorder="1" applyAlignment="1" applyProtection="1">
      <alignment horizontal="center" vertical="center"/>
      <protection locked="0"/>
    </xf>
    <xf numFmtId="166" fontId="4" fillId="19" borderId="10" xfId="0" applyNumberFormat="1" applyFont="1" applyFill="1" applyBorder="1" applyAlignment="1" applyProtection="1">
      <alignment horizontal="center" vertical="center"/>
      <protection locked="0"/>
    </xf>
    <xf numFmtId="9" fontId="0" fillId="19" borderId="10" xfId="0" applyNumberFormat="1" applyFill="1" applyBorder="1" applyAlignment="1" applyProtection="1">
      <alignment horizontal="center" vertical="center"/>
      <protection locked="0"/>
    </xf>
    <xf numFmtId="0" fontId="14" fillId="19" borderId="97" xfId="0" applyFont="1" applyFill="1" applyBorder="1" applyAlignment="1" applyProtection="1">
      <alignment vertical="center" shrinkToFit="1"/>
      <protection locked="0"/>
    </xf>
    <xf numFmtId="1" fontId="0" fillId="19" borderId="4" xfId="0" applyNumberFormat="1" applyFill="1" applyBorder="1" applyAlignment="1" applyProtection="1">
      <alignment horizontal="center" vertical="center"/>
      <protection locked="0"/>
    </xf>
    <xf numFmtId="9" fontId="0" fillId="19" borderId="1" xfId="1" applyFont="1" applyFill="1" applyBorder="1" applyAlignment="1" applyProtection="1">
      <alignment horizontal="center" vertical="center"/>
      <protection locked="0"/>
    </xf>
    <xf numFmtId="2" fontId="0" fillId="19" borderId="1" xfId="0" applyNumberFormat="1" applyFill="1" applyBorder="1" applyAlignment="1" applyProtection="1">
      <alignment horizontal="center" vertical="center"/>
      <protection locked="0"/>
    </xf>
    <xf numFmtId="9" fontId="0" fillId="19" borderId="1" xfId="0" applyNumberFormat="1" applyFill="1" applyBorder="1" applyAlignment="1" applyProtection="1">
      <alignment horizontal="center" vertical="center"/>
      <protection locked="0"/>
    </xf>
    <xf numFmtId="1" fontId="0" fillId="19" borderId="4" xfId="0" applyNumberFormat="1" applyFill="1" applyBorder="1" applyAlignment="1" applyProtection="1">
      <alignment vertical="center"/>
      <protection locked="0"/>
    </xf>
    <xf numFmtId="9" fontId="0" fillId="19" borderId="1" xfId="1" applyFont="1" applyFill="1" applyBorder="1" applyAlignment="1" applyProtection="1">
      <alignment vertical="center"/>
      <protection locked="0"/>
    </xf>
    <xf numFmtId="166" fontId="0" fillId="19" borderId="1" xfId="0" applyNumberFormat="1" applyFill="1" applyBorder="1" applyAlignment="1" applyProtection="1">
      <alignment vertical="center"/>
      <protection locked="0"/>
    </xf>
    <xf numFmtId="2" fontId="0" fillId="19" borderId="1" xfId="0" applyNumberFormat="1" applyFill="1" applyBorder="1" applyAlignment="1" applyProtection="1">
      <alignment vertical="center"/>
      <protection locked="0"/>
    </xf>
    <xf numFmtId="9" fontId="0" fillId="19" borderId="1" xfId="0" applyNumberFormat="1" applyFill="1" applyBorder="1" applyAlignment="1" applyProtection="1">
      <alignment vertical="center"/>
      <protection locked="0"/>
    </xf>
    <xf numFmtId="0" fontId="14" fillId="19" borderId="98" xfId="0" applyFont="1" applyFill="1" applyBorder="1" applyAlignment="1" applyProtection="1">
      <alignment vertical="center" shrinkToFit="1"/>
      <protection locked="0"/>
    </xf>
    <xf numFmtId="1" fontId="0" fillId="19" borderId="73" xfId="0" applyNumberFormat="1" applyFill="1" applyBorder="1" applyAlignment="1" applyProtection="1">
      <alignment vertical="center"/>
      <protection locked="0"/>
    </xf>
    <xf numFmtId="9" fontId="0" fillId="19" borderId="21" xfId="1" applyFont="1" applyFill="1" applyBorder="1" applyAlignment="1" applyProtection="1">
      <alignment vertical="center"/>
      <protection locked="0"/>
    </xf>
    <xf numFmtId="166" fontId="0" fillId="19" borderId="21" xfId="0" applyNumberFormat="1" applyFill="1" applyBorder="1" applyAlignment="1" applyProtection="1">
      <alignment vertical="center"/>
      <protection locked="0"/>
    </xf>
    <xf numFmtId="2" fontId="0" fillId="19" borderId="21" xfId="0" applyNumberFormat="1" applyFill="1" applyBorder="1" applyAlignment="1" applyProtection="1">
      <alignment vertical="center"/>
      <protection locked="0"/>
    </xf>
    <xf numFmtId="9" fontId="0" fillId="19" borderId="21" xfId="0" applyNumberFormat="1" applyFill="1" applyBorder="1" applyAlignment="1" applyProtection="1">
      <alignment vertical="center"/>
      <protection locked="0"/>
    </xf>
    <xf numFmtId="166" fontId="0" fillId="19" borderId="93" xfId="0" applyNumberFormat="1" applyFill="1" applyBorder="1" applyAlignment="1" applyProtection="1">
      <alignment horizontal="center" vertical="center"/>
      <protection locked="0"/>
    </xf>
    <xf numFmtId="166" fontId="0" fillId="19" borderId="178" xfId="0" applyNumberFormat="1" applyFill="1" applyBorder="1" applyAlignment="1" applyProtection="1">
      <alignment horizontal="center" vertical="center"/>
      <protection locked="0"/>
    </xf>
    <xf numFmtId="2" fontId="0" fillId="19" borderId="85" xfId="0" applyNumberFormat="1" applyFill="1" applyBorder="1" applyAlignment="1" applyProtection="1">
      <alignment horizontal="center" vertical="center"/>
      <protection locked="0"/>
    </xf>
    <xf numFmtId="166" fontId="0" fillId="19" borderId="94" xfId="0" applyNumberFormat="1" applyFill="1" applyBorder="1" applyAlignment="1" applyProtection="1">
      <alignment horizontal="center" vertical="center"/>
      <protection locked="0"/>
    </xf>
    <xf numFmtId="2" fontId="4" fillId="19" borderId="25" xfId="0" applyNumberFormat="1" applyFont="1" applyFill="1" applyBorder="1" applyAlignment="1" applyProtection="1">
      <alignment horizontal="center" vertical="center"/>
      <protection locked="0"/>
    </xf>
    <xf numFmtId="2" fontId="0" fillId="19" borderId="25" xfId="0" applyNumberFormat="1" applyFill="1" applyBorder="1" applyAlignment="1" applyProtection="1">
      <alignment horizontal="center" vertical="center"/>
      <protection locked="0"/>
    </xf>
    <xf numFmtId="166" fontId="4" fillId="19" borderId="1" xfId="0" applyNumberFormat="1" applyFont="1" applyFill="1" applyBorder="1" applyAlignment="1" applyProtection="1">
      <alignment horizontal="center" vertical="center"/>
      <protection locked="0"/>
    </xf>
    <xf numFmtId="166" fontId="0" fillId="19" borderId="94" xfId="0" applyNumberFormat="1" applyFill="1" applyBorder="1" applyAlignment="1" applyProtection="1">
      <alignment vertical="center"/>
      <protection locked="0"/>
    </xf>
    <xf numFmtId="2" fontId="0" fillId="19" borderId="25" xfId="0" applyNumberFormat="1" applyFill="1" applyBorder="1" applyAlignment="1" applyProtection="1">
      <alignment vertical="center"/>
      <protection locked="0"/>
    </xf>
    <xf numFmtId="166" fontId="0" fillId="19" borderId="95" xfId="0" applyNumberFormat="1" applyFill="1" applyBorder="1" applyAlignment="1" applyProtection="1">
      <alignment vertical="center"/>
      <protection locked="0"/>
    </xf>
    <xf numFmtId="9" fontId="0" fillId="19" borderId="21" xfId="0" applyNumberFormat="1" applyFill="1" applyBorder="1" applyAlignment="1" applyProtection="1">
      <alignment horizontal="center" vertical="center"/>
      <protection locked="0"/>
    </xf>
    <xf numFmtId="2" fontId="0" fillId="19" borderId="159" xfId="0" applyNumberFormat="1" applyFill="1" applyBorder="1" applyAlignment="1" applyProtection="1">
      <alignment vertical="center"/>
      <protection locked="0"/>
    </xf>
    <xf numFmtId="49" fontId="14" fillId="19" borderId="77" xfId="0" applyNumberFormat="1" applyFont="1" applyFill="1" applyBorder="1" applyAlignment="1" applyProtection="1">
      <alignment vertical="center" shrinkToFit="1"/>
      <protection locked="0"/>
    </xf>
    <xf numFmtId="49" fontId="14" fillId="19" borderId="18" xfId="0" applyNumberFormat="1" applyFont="1" applyFill="1" applyBorder="1" applyAlignment="1" applyProtection="1">
      <alignment vertical="center" shrinkToFit="1"/>
      <protection locked="0"/>
    </xf>
    <xf numFmtId="49" fontId="14" fillId="19" borderId="20" xfId="0" applyNumberFormat="1" applyFont="1" applyFill="1" applyBorder="1" applyAlignment="1" applyProtection="1">
      <alignment vertical="center" shrinkToFit="1"/>
      <protection locked="0"/>
    </xf>
    <xf numFmtId="166" fontId="0" fillId="19" borderId="79" xfId="0" applyNumberFormat="1" applyFill="1" applyBorder="1" applyAlignment="1" applyProtection="1">
      <alignment horizontal="center" vertical="center"/>
      <protection locked="0"/>
    </xf>
    <xf numFmtId="166" fontId="0" fillId="19" borderId="19" xfId="0" applyNumberFormat="1" applyFill="1" applyBorder="1" applyAlignment="1" applyProtection="1">
      <alignment horizontal="center" vertical="center"/>
      <protection locked="0"/>
    </xf>
    <xf numFmtId="166" fontId="0" fillId="19" borderId="90" xfId="0" applyNumberFormat="1" applyFill="1" applyBorder="1" applyAlignment="1" applyProtection="1">
      <alignment horizontal="center" vertical="center"/>
      <protection locked="0"/>
    </xf>
    <xf numFmtId="49" fontId="14" fillId="19" borderId="16" xfId="0" applyNumberFormat="1" applyFont="1" applyFill="1" applyBorder="1" applyAlignment="1" applyProtection="1">
      <alignment vertical="center" shrinkToFit="1"/>
      <protection locked="0"/>
    </xf>
    <xf numFmtId="166" fontId="4" fillId="19" borderId="78" xfId="0" applyNumberFormat="1" applyFont="1" applyFill="1" applyBorder="1" applyAlignment="1" applyProtection="1">
      <alignment horizontal="center" vertical="center" shrinkToFit="1"/>
      <protection locked="0"/>
    </xf>
    <xf numFmtId="9" fontId="4" fillId="19" borderId="7" xfId="0" applyNumberFormat="1" applyFont="1" applyFill="1" applyBorder="1" applyAlignment="1" applyProtection="1">
      <alignment horizontal="center" vertical="center" shrinkToFit="1"/>
      <protection locked="0"/>
    </xf>
    <xf numFmtId="166" fontId="0" fillId="19" borderId="17" xfId="0" applyNumberFormat="1" applyFill="1" applyBorder="1" applyAlignment="1" applyProtection="1">
      <alignment horizontal="center" vertical="center"/>
      <protection locked="0"/>
    </xf>
    <xf numFmtId="166" fontId="4" fillId="19" borderId="1" xfId="0" applyNumberFormat="1" applyFont="1" applyFill="1" applyBorder="1" applyAlignment="1" applyProtection="1">
      <alignment horizontal="center" vertical="center" shrinkToFit="1"/>
      <protection locked="0"/>
    </xf>
    <xf numFmtId="166" fontId="0" fillId="19" borderId="21" xfId="0" applyNumberFormat="1" applyFill="1" applyBorder="1" applyAlignment="1" applyProtection="1">
      <alignment horizontal="center" vertical="center" shrinkToFit="1"/>
      <protection locked="0"/>
    </xf>
    <xf numFmtId="9" fontId="0" fillId="19" borderId="74" xfId="0" applyNumberFormat="1" applyFill="1" applyBorder="1" applyAlignment="1" applyProtection="1">
      <alignment horizontal="center" vertical="center" shrinkToFit="1"/>
      <protection locked="0"/>
    </xf>
    <xf numFmtId="1" fontId="4" fillId="19" borderId="78" xfId="0" applyNumberFormat="1" applyFont="1" applyFill="1" applyBorder="1" applyAlignment="1" applyProtection="1">
      <alignment horizontal="center" vertical="center"/>
      <protection locked="0"/>
    </xf>
    <xf numFmtId="164" fontId="0" fillId="19" borderId="79" xfId="0" applyNumberFormat="1" applyFill="1" applyBorder="1" applyAlignment="1" applyProtection="1">
      <alignment horizontal="center" vertical="center"/>
      <protection locked="0"/>
    </xf>
    <xf numFmtId="1" fontId="4" fillId="19" borderId="1" xfId="0" applyNumberFormat="1" applyFont="1" applyFill="1" applyBorder="1" applyAlignment="1" applyProtection="1">
      <alignment horizontal="center" vertical="center"/>
      <protection locked="0"/>
    </xf>
    <xf numFmtId="164" fontId="0" fillId="19" borderId="19" xfId="0" applyNumberFormat="1" applyFill="1" applyBorder="1" applyAlignment="1" applyProtection="1">
      <alignment horizontal="center" vertical="center"/>
      <protection locked="0"/>
    </xf>
    <xf numFmtId="1" fontId="4" fillId="19" borderId="21" xfId="0" applyNumberFormat="1" applyFont="1" applyFill="1" applyBorder="1" applyAlignment="1" applyProtection="1">
      <alignment horizontal="center" vertical="center"/>
      <protection locked="0"/>
    </xf>
    <xf numFmtId="164" fontId="0" fillId="19" borderId="90" xfId="0" applyNumberFormat="1" applyFill="1" applyBorder="1" applyAlignment="1" applyProtection="1">
      <alignment horizontal="center" vertical="center"/>
      <protection locked="0"/>
    </xf>
    <xf numFmtId="0" fontId="4" fillId="19" borderId="1" xfId="0" applyFont="1" applyFill="1" applyBorder="1" applyAlignment="1" applyProtection="1">
      <alignment horizontal="center"/>
      <protection locked="0"/>
    </xf>
    <xf numFmtId="2" fontId="0" fillId="19" borderId="1" xfId="0" applyNumberFormat="1" applyFill="1" applyBorder="1" applyAlignment="1" applyProtection="1">
      <alignment horizontal="center"/>
      <protection locked="0"/>
    </xf>
    <xf numFmtId="2" fontId="0" fillId="19" borderId="1" xfId="1" applyNumberFormat="1" applyFont="1" applyFill="1" applyBorder="1" applyAlignment="1" applyProtection="1">
      <alignment horizontal="center" vertical="center"/>
      <protection locked="0"/>
    </xf>
    <xf numFmtId="9" fontId="0" fillId="19" borderId="1" xfId="0" applyNumberFormat="1" applyFill="1" applyBorder="1" applyAlignment="1" applyProtection="1">
      <alignment horizontal="center"/>
      <protection locked="0"/>
    </xf>
    <xf numFmtId="166" fontId="0" fillId="19" borderId="1" xfId="0" applyNumberFormat="1" applyFill="1" applyBorder="1" applyAlignment="1" applyProtection="1">
      <alignment horizontal="center"/>
      <protection locked="0"/>
    </xf>
    <xf numFmtId="0" fontId="0" fillId="19" borderId="1" xfId="0" applyFill="1" applyBorder="1" applyProtection="1">
      <protection locked="0"/>
    </xf>
    <xf numFmtId="10" fontId="0" fillId="19" borderId="1" xfId="0" applyNumberFormat="1" applyFill="1" applyBorder="1" applyProtection="1">
      <protection locked="0"/>
    </xf>
    <xf numFmtId="9" fontId="0" fillId="19" borderId="1" xfId="0" applyNumberFormat="1" applyFill="1" applyBorder="1" applyProtection="1">
      <protection locked="0"/>
    </xf>
    <xf numFmtId="0" fontId="4" fillId="19" borderId="1" xfId="0" applyFont="1" applyFill="1" applyBorder="1" applyProtection="1">
      <protection locked="0"/>
    </xf>
    <xf numFmtId="164" fontId="0" fillId="19" borderId="1" xfId="0" applyNumberFormat="1" applyFill="1" applyBorder="1" applyProtection="1">
      <protection locked="0"/>
    </xf>
    <xf numFmtId="0" fontId="0" fillId="19" borderId="9" xfId="0" applyFill="1" applyBorder="1" applyAlignment="1" applyProtection="1">
      <alignment horizontal="center"/>
      <protection locked="0"/>
    </xf>
    <xf numFmtId="0" fontId="2" fillId="19" borderId="1" xfId="6" applyFill="1" applyBorder="1" applyProtection="1">
      <protection locked="0"/>
    </xf>
    <xf numFmtId="164" fontId="2" fillId="19" borderId="1" xfId="6" applyNumberFormat="1" applyFill="1" applyBorder="1" applyProtection="1">
      <protection locked="0"/>
    </xf>
    <xf numFmtId="2" fontId="2" fillId="19" borderId="1" xfId="6" applyNumberFormat="1" applyFill="1" applyBorder="1" applyProtection="1">
      <protection locked="0"/>
    </xf>
    <xf numFmtId="11" fontId="2" fillId="19" borderId="1" xfId="6" applyNumberFormat="1" applyFill="1" applyBorder="1" applyProtection="1">
      <protection locked="0"/>
    </xf>
    <xf numFmtId="167" fontId="0" fillId="19" borderId="1" xfId="1" applyNumberFormat="1" applyFont="1" applyFill="1" applyBorder="1" applyAlignment="1" applyProtection="1">
      <alignment horizontal="center"/>
      <protection locked="0"/>
    </xf>
    <xf numFmtId="167" fontId="0" fillId="19" borderId="27" xfId="1" applyNumberFormat="1" applyFont="1" applyFill="1" applyBorder="1" applyAlignment="1" applyProtection="1">
      <alignment horizontal="center"/>
      <protection locked="0"/>
    </xf>
    <xf numFmtId="49" fontId="0" fillId="19" borderId="1" xfId="0" applyNumberFormat="1" applyFill="1" applyBorder="1" applyAlignment="1" applyProtection="1">
      <alignment horizontal="center"/>
      <protection locked="0"/>
    </xf>
    <xf numFmtId="2" fontId="14" fillId="20" borderId="10" xfId="0" applyNumberFormat="1" applyFont="1" applyFill="1" applyBorder="1" applyAlignment="1">
      <alignment horizontal="center" vertical="center"/>
    </xf>
    <xf numFmtId="167" fontId="14" fillId="20" borderId="1" xfId="0" applyNumberFormat="1" applyFont="1" applyFill="1" applyBorder="1" applyAlignment="1">
      <alignment horizontal="center" vertical="center"/>
    </xf>
    <xf numFmtId="2" fontId="14" fillId="20" borderId="1" xfId="0" applyNumberFormat="1" applyFont="1" applyFill="1" applyBorder="1" applyAlignment="1">
      <alignment horizontal="center" vertical="center"/>
    </xf>
    <xf numFmtId="0" fontId="14" fillId="20" borderId="10" xfId="0" applyFont="1" applyFill="1" applyBorder="1" applyAlignment="1">
      <alignment horizontal="center" vertical="center"/>
    </xf>
    <xf numFmtId="0" fontId="14" fillId="20" borderId="1" xfId="0" applyFont="1" applyFill="1" applyBorder="1" applyAlignment="1">
      <alignment horizontal="center" vertical="center" shrinkToFit="1"/>
    </xf>
    <xf numFmtId="166" fontId="14" fillId="20" borderId="1" xfId="0" applyNumberFormat="1" applyFont="1" applyFill="1" applyBorder="1" applyAlignment="1">
      <alignment horizontal="center" vertical="center"/>
    </xf>
    <xf numFmtId="167" fontId="14" fillId="20" borderId="1" xfId="1" applyNumberFormat="1" applyFont="1" applyFill="1" applyBorder="1" applyAlignment="1" applyProtection="1">
      <alignment horizontal="center" vertical="center" shrinkToFit="1"/>
    </xf>
    <xf numFmtId="167" fontId="14" fillId="20" borderId="1" xfId="0" applyNumberFormat="1" applyFont="1" applyFill="1" applyBorder="1" applyAlignment="1">
      <alignment horizontal="center" vertical="center" shrinkToFit="1"/>
    </xf>
    <xf numFmtId="164" fontId="14" fillId="20" borderId="8" xfId="0" applyNumberFormat="1" applyFont="1" applyFill="1" applyBorder="1" applyAlignment="1">
      <alignment horizontal="center" vertical="center" shrinkToFit="1"/>
    </xf>
    <xf numFmtId="164" fontId="14" fillId="20" borderId="1" xfId="0" applyNumberFormat="1" applyFont="1" applyFill="1" applyBorder="1" applyAlignment="1">
      <alignment horizontal="center" vertical="center" shrinkToFit="1"/>
    </xf>
    <xf numFmtId="166" fontId="14" fillId="20" borderId="1" xfId="0" applyNumberFormat="1" applyFont="1" applyFill="1" applyBorder="1" applyAlignment="1">
      <alignment horizontal="center" vertical="center" shrinkToFit="1"/>
    </xf>
    <xf numFmtId="1" fontId="14" fillId="20" borderId="1" xfId="0" applyNumberFormat="1" applyFont="1" applyFill="1" applyBorder="1" applyAlignment="1">
      <alignment horizontal="center" vertical="center" shrinkToFit="1"/>
    </xf>
    <xf numFmtId="167" fontId="14" fillId="20" borderId="1" xfId="1" applyNumberFormat="1" applyFont="1" applyFill="1" applyBorder="1" applyAlignment="1">
      <alignment horizontal="center" vertical="center" shrinkToFit="1"/>
    </xf>
    <xf numFmtId="1" fontId="14" fillId="20" borderId="9" xfId="0" applyNumberFormat="1" applyFont="1" applyFill="1" applyBorder="1" applyAlignment="1">
      <alignment horizontal="center" vertical="center" shrinkToFit="1"/>
    </xf>
    <xf numFmtId="166" fontId="14" fillId="20" borderId="162" xfId="0" applyNumberFormat="1" applyFont="1" applyFill="1" applyBorder="1" applyAlignment="1">
      <alignment horizontal="center"/>
    </xf>
    <xf numFmtId="0" fontId="14" fillId="20" borderId="162" xfId="0" applyFont="1" applyFill="1" applyBorder="1" applyAlignment="1">
      <alignment horizontal="center"/>
    </xf>
    <xf numFmtId="1" fontId="14" fillId="20" borderId="1" xfId="0" applyNumberFormat="1" applyFont="1" applyFill="1" applyBorder="1" applyAlignment="1">
      <alignment horizontal="center" vertical="center"/>
    </xf>
    <xf numFmtId="166" fontId="14" fillId="20" borderId="9" xfId="0" applyNumberFormat="1" applyFont="1" applyFill="1" applyBorder="1" applyAlignment="1">
      <alignment horizontal="center" vertical="center"/>
    </xf>
    <xf numFmtId="0" fontId="21" fillId="20" borderId="78" xfId="0" applyFont="1" applyFill="1" applyBorder="1" applyAlignment="1">
      <alignment horizontal="center" vertical="center"/>
    </xf>
    <xf numFmtId="0" fontId="14" fillId="20" borderId="7" xfId="0" applyFont="1" applyFill="1" applyBorder="1" applyAlignment="1">
      <alignment horizontal="center" vertical="center" shrinkToFit="1"/>
    </xf>
    <xf numFmtId="0" fontId="14" fillId="20" borderId="8" xfId="0" applyFont="1" applyFill="1" applyBorder="1" applyAlignment="1">
      <alignment horizontal="center" vertical="center"/>
    </xf>
    <xf numFmtId="166" fontId="21" fillId="20" borderId="1" xfId="0" applyNumberFormat="1" applyFont="1" applyFill="1" applyBorder="1" applyAlignment="1">
      <alignment horizontal="center" vertical="center"/>
    </xf>
    <xf numFmtId="1" fontId="14" fillId="20" borderId="10" xfId="0" applyNumberFormat="1" applyFont="1" applyFill="1" applyBorder="1" applyAlignment="1">
      <alignment horizontal="center" vertical="center"/>
    </xf>
    <xf numFmtId="1" fontId="14" fillId="20" borderId="9" xfId="0" applyNumberFormat="1" applyFont="1" applyFill="1" applyBorder="1" applyAlignment="1">
      <alignment horizontal="center" vertical="center"/>
    </xf>
    <xf numFmtId="1" fontId="14" fillId="20" borderId="8" xfId="0" applyNumberFormat="1" applyFont="1" applyFill="1" applyBorder="1" applyAlignment="1">
      <alignment horizontal="center" vertical="center"/>
    </xf>
    <xf numFmtId="166" fontId="14" fillId="20" borderId="10" xfId="0" applyNumberFormat="1" applyFont="1" applyFill="1" applyBorder="1" applyAlignment="1">
      <alignment horizontal="center" vertical="center"/>
    </xf>
    <xf numFmtId="1" fontId="14" fillId="20" borderId="4" xfId="0" applyNumberFormat="1" applyFont="1" applyFill="1" applyBorder="1" applyAlignment="1">
      <alignment horizontal="center" vertical="center"/>
    </xf>
    <xf numFmtId="166" fontId="21" fillId="20" borderId="6" xfId="0" applyNumberFormat="1" applyFont="1" applyFill="1" applyBorder="1" applyAlignment="1">
      <alignment horizontal="center" vertical="center"/>
    </xf>
    <xf numFmtId="2" fontId="14" fillId="20" borderId="12" xfId="0" applyNumberFormat="1" applyFont="1" applyFill="1" applyBorder="1" applyAlignment="1">
      <alignment horizontal="center" vertical="center"/>
    </xf>
    <xf numFmtId="166" fontId="14" fillId="20" borderId="8" xfId="0" applyNumberFormat="1" applyFont="1" applyFill="1" applyBorder="1" applyAlignment="1">
      <alignment horizontal="center" vertical="center"/>
    </xf>
    <xf numFmtId="166" fontId="14" fillId="20" borderId="6" xfId="0" applyNumberFormat="1" applyFont="1" applyFill="1" applyBorder="1" applyAlignment="1">
      <alignment horizontal="center" vertical="center"/>
    </xf>
    <xf numFmtId="164" fontId="14" fillId="20" borderId="1" xfId="0" applyNumberFormat="1" applyFont="1" applyFill="1" applyBorder="1" applyAlignment="1">
      <alignment horizontal="center" vertical="center"/>
    </xf>
    <xf numFmtId="164" fontId="14" fillId="20" borderId="9" xfId="0" applyNumberFormat="1" applyFont="1" applyFill="1" applyBorder="1" applyAlignment="1">
      <alignment horizontal="center" vertical="center"/>
    </xf>
    <xf numFmtId="164" fontId="14" fillId="20" borderId="10" xfId="0" applyNumberFormat="1" applyFont="1" applyFill="1" applyBorder="1" applyAlignment="1">
      <alignment horizontal="center" vertical="center"/>
    </xf>
    <xf numFmtId="166" fontId="0" fillId="20" borderId="19" xfId="0" applyNumberFormat="1" applyFill="1" applyBorder="1" applyAlignment="1">
      <alignment horizontal="center" vertical="center"/>
    </xf>
    <xf numFmtId="0" fontId="0" fillId="20" borderId="19" xfId="0" applyFill="1" applyBorder="1" applyAlignment="1">
      <alignment horizontal="center"/>
    </xf>
    <xf numFmtId="0" fontId="4" fillId="20" borderId="90" xfId="0" applyFont="1" applyFill="1" applyBorder="1" applyAlignment="1">
      <alignment horizontal="center"/>
    </xf>
    <xf numFmtId="166" fontId="0" fillId="20" borderId="18" xfId="0" applyNumberFormat="1" applyFill="1" applyBorder="1" applyAlignment="1">
      <alignment horizontal="center" vertical="center"/>
    </xf>
    <xf numFmtId="0" fontId="0" fillId="20" borderId="106" xfId="0" applyFill="1" applyBorder="1" applyAlignment="1">
      <alignment horizontal="center" vertical="center"/>
    </xf>
    <xf numFmtId="0" fontId="4" fillId="20" borderId="78"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9" xfId="0" applyFont="1" applyFill="1" applyBorder="1" applyAlignment="1">
      <alignment horizontal="center" vertical="center"/>
    </xf>
    <xf numFmtId="0" fontId="4" fillId="20" borderId="10" xfId="0" applyFont="1" applyFill="1" applyBorder="1" applyAlignment="1">
      <alignment horizontal="center" vertical="center"/>
    </xf>
    <xf numFmtId="0" fontId="0" fillId="20" borderId="107" xfId="0" applyFill="1" applyBorder="1" applyAlignment="1">
      <alignment horizontal="center" vertical="center"/>
    </xf>
    <xf numFmtId="2" fontId="0" fillId="20" borderId="106" xfId="0" applyNumberFormat="1" applyFill="1" applyBorder="1" applyAlignment="1">
      <alignment horizontal="center" vertical="center"/>
    </xf>
    <xf numFmtId="0" fontId="4" fillId="20" borderId="6" xfId="0" applyFont="1" applyFill="1" applyBorder="1" applyAlignment="1">
      <alignment horizontal="center" vertical="center"/>
    </xf>
    <xf numFmtId="2" fontId="0" fillId="20" borderId="1" xfId="0" applyNumberFormat="1" applyFill="1" applyBorder="1" applyAlignment="1">
      <alignment horizontal="center" vertical="center"/>
    </xf>
    <xf numFmtId="1" fontId="0" fillId="20" borderId="10" xfId="0" applyNumberFormat="1" applyFill="1" applyBorder="1" applyAlignment="1">
      <alignment horizontal="center" vertical="center"/>
    </xf>
    <xf numFmtId="1" fontId="0" fillId="20" borderId="14" xfId="0" applyNumberFormat="1" applyFill="1" applyBorder="1" applyAlignment="1">
      <alignment horizontal="center" vertical="center"/>
    </xf>
    <xf numFmtId="0" fontId="4" fillId="20" borderId="88" xfId="0" applyFont="1" applyFill="1" applyBorder="1" applyAlignment="1">
      <alignment horizontal="center" vertical="center"/>
    </xf>
    <xf numFmtId="2" fontId="0" fillId="20" borderId="9" xfId="0" applyNumberFormat="1" applyFill="1" applyBorder="1" applyAlignment="1">
      <alignment horizontal="center" vertical="center"/>
    </xf>
    <xf numFmtId="0" fontId="4" fillId="20" borderId="29" xfId="0" applyFont="1" applyFill="1" applyBorder="1" applyAlignment="1">
      <alignment horizontal="center" vertical="center"/>
    </xf>
    <xf numFmtId="0" fontId="4" fillId="20" borderId="64" xfId="0" applyFont="1" applyFill="1" applyBorder="1" applyAlignment="1">
      <alignment horizontal="center" vertical="center"/>
    </xf>
    <xf numFmtId="166" fontId="3" fillId="20" borderId="87" xfId="0" applyNumberFormat="1" applyFont="1" applyFill="1" applyBorder="1" applyAlignment="1">
      <alignment horizontal="center"/>
    </xf>
    <xf numFmtId="166" fontId="3" fillId="20" borderId="88" xfId="0" applyNumberFormat="1" applyFont="1" applyFill="1" applyBorder="1" applyAlignment="1">
      <alignment horizontal="center"/>
    </xf>
    <xf numFmtId="1" fontId="3" fillId="20" borderId="88" xfId="0" applyNumberFormat="1" applyFont="1" applyFill="1" applyBorder="1" applyAlignment="1">
      <alignment horizontal="center"/>
    </xf>
    <xf numFmtId="0" fontId="3" fillId="20" borderId="100" xfId="0" applyFont="1" applyFill="1" applyBorder="1" applyAlignment="1">
      <alignment horizontal="center"/>
    </xf>
    <xf numFmtId="1" fontId="3" fillId="20" borderId="87" xfId="0" applyNumberFormat="1" applyFont="1" applyFill="1" applyBorder="1" applyAlignment="1">
      <alignment horizontal="center"/>
    </xf>
    <xf numFmtId="0" fontId="3" fillId="20" borderId="189" xfId="0" applyFont="1" applyFill="1" applyBorder="1" applyAlignment="1">
      <alignment horizontal="center"/>
    </xf>
    <xf numFmtId="1" fontId="0" fillId="20" borderId="8" xfId="0" applyNumberFormat="1" applyFill="1" applyBorder="1" applyAlignment="1">
      <alignment horizontal="center"/>
    </xf>
    <xf numFmtId="166" fontId="0" fillId="20" borderId="12" xfId="0" applyNumberFormat="1" applyFill="1" applyBorder="1" applyAlignment="1">
      <alignment horizontal="center"/>
    </xf>
    <xf numFmtId="1" fontId="0" fillId="20" borderId="16" xfId="0" applyNumberFormat="1" applyFill="1" applyBorder="1" applyAlignment="1">
      <alignment horizontal="center"/>
    </xf>
    <xf numFmtId="166" fontId="0" fillId="20" borderId="93" xfId="0" applyNumberFormat="1" applyFill="1" applyBorder="1" applyAlignment="1">
      <alignment horizontal="center"/>
    </xf>
    <xf numFmtId="2" fontId="0" fillId="20" borderId="34" xfId="0" applyNumberFormat="1" applyFill="1" applyBorder="1" applyAlignment="1">
      <alignment horizontal="center"/>
    </xf>
    <xf numFmtId="0" fontId="3" fillId="20" borderId="174" xfId="0" applyFont="1" applyFill="1" applyBorder="1" applyAlignment="1">
      <alignment horizontal="center"/>
    </xf>
    <xf numFmtId="166" fontId="0" fillId="20" borderId="6" xfId="0" applyNumberFormat="1" applyFill="1" applyBorder="1" applyAlignment="1">
      <alignment horizontal="center"/>
    </xf>
    <xf numFmtId="166" fontId="0" fillId="20" borderId="188" xfId="0" applyNumberFormat="1" applyFill="1" applyBorder="1" applyAlignment="1">
      <alignment horizontal="center"/>
    </xf>
    <xf numFmtId="1" fontId="0" fillId="20" borderId="147" xfId="0" applyNumberFormat="1" applyFill="1" applyBorder="1" applyAlignment="1">
      <alignment horizontal="center"/>
    </xf>
    <xf numFmtId="166" fontId="0" fillId="20" borderId="190" xfId="0" applyNumberFormat="1" applyFill="1" applyBorder="1" applyAlignment="1">
      <alignment horizontal="center"/>
    </xf>
    <xf numFmtId="166" fontId="0" fillId="20" borderId="169" xfId="0" applyNumberFormat="1" applyFill="1" applyBorder="1" applyAlignment="1">
      <alignment horizontal="center"/>
    </xf>
    <xf numFmtId="166" fontId="0" fillId="20" borderId="172" xfId="0" applyNumberFormat="1" applyFill="1" applyBorder="1" applyAlignment="1">
      <alignment horizontal="center"/>
    </xf>
    <xf numFmtId="2" fontId="0" fillId="20" borderId="177" xfId="0" applyNumberFormat="1" applyFill="1" applyBorder="1" applyAlignment="1">
      <alignment horizontal="center"/>
    </xf>
    <xf numFmtId="2" fontId="0" fillId="20" borderId="159" xfId="0" applyNumberFormat="1" applyFill="1" applyBorder="1" applyAlignment="1">
      <alignment horizontal="center"/>
    </xf>
    <xf numFmtId="1" fontId="4" fillId="20" borderId="1" xfId="0" applyNumberFormat="1" applyFont="1" applyFill="1" applyBorder="1" applyAlignment="1">
      <alignment horizontal="center"/>
    </xf>
    <xf numFmtId="1" fontId="4" fillId="20" borderId="134" xfId="0" applyNumberFormat="1" applyFont="1" applyFill="1" applyBorder="1" applyAlignment="1">
      <alignment horizontal="center"/>
    </xf>
    <xf numFmtId="0" fontId="4" fillId="20" borderId="17" xfId="0" applyFont="1" applyFill="1" applyBorder="1" applyAlignment="1">
      <alignment horizontal="center" vertical="center"/>
    </xf>
    <xf numFmtId="0" fontId="0" fillId="20" borderId="10" xfId="0" applyFill="1" applyBorder="1" applyAlignment="1">
      <alignment horizontal="center"/>
    </xf>
    <xf numFmtId="0" fontId="0" fillId="20" borderId="1" xfId="0" applyFill="1" applyBorder="1" applyAlignment="1">
      <alignment horizontal="center"/>
    </xf>
    <xf numFmtId="0" fontId="4" fillId="20" borderId="1" xfId="0" applyFont="1" applyFill="1" applyBorder="1" applyAlignment="1">
      <alignment horizontal="center"/>
    </xf>
    <xf numFmtId="2" fontId="0" fillId="20" borderId="10" xfId="0" applyNumberFormat="1" applyFill="1" applyBorder="1" applyAlignment="1">
      <alignment horizontal="center"/>
    </xf>
    <xf numFmtId="0" fontId="4" fillId="20" borderId="17" xfId="0" applyFont="1" applyFill="1" applyBorder="1" applyAlignment="1">
      <alignment horizontal="center"/>
    </xf>
    <xf numFmtId="0" fontId="4" fillId="20" borderId="19" xfId="0" applyFont="1" applyFill="1" applyBorder="1" applyAlignment="1">
      <alignment horizontal="center"/>
    </xf>
    <xf numFmtId="2" fontId="0" fillId="20" borderId="1" xfId="0" applyNumberFormat="1" applyFill="1" applyBorder="1" applyAlignment="1">
      <alignment horizontal="center"/>
    </xf>
    <xf numFmtId="0" fontId="0" fillId="20" borderId="9" xfId="0" applyFill="1" applyBorder="1" applyAlignment="1">
      <alignment horizontal="center"/>
    </xf>
    <xf numFmtId="0" fontId="4" fillId="20" borderId="9" xfId="0" applyFont="1" applyFill="1" applyBorder="1" applyAlignment="1">
      <alignment horizontal="center"/>
    </xf>
    <xf numFmtId="0" fontId="0" fillId="20" borderId="78" xfId="0" applyFill="1" applyBorder="1" applyAlignment="1">
      <alignment horizontal="center"/>
    </xf>
    <xf numFmtId="0" fontId="4" fillId="20" borderId="79" xfId="0" applyFont="1" applyFill="1" applyBorder="1" applyAlignment="1">
      <alignment horizontal="center"/>
    </xf>
    <xf numFmtId="0" fontId="0" fillId="20" borderId="66" xfId="0" applyFill="1" applyBorder="1" applyAlignment="1">
      <alignment horizontal="center"/>
    </xf>
    <xf numFmtId="2" fontId="0" fillId="20" borderId="66" xfId="0" applyNumberFormat="1" applyFill="1" applyBorder="1" applyAlignment="1">
      <alignment horizontal="center"/>
    </xf>
    <xf numFmtId="0" fontId="4" fillId="20" borderId="141" xfId="0" applyFont="1" applyFill="1" applyBorder="1" applyAlignment="1">
      <alignment horizontal="center"/>
    </xf>
    <xf numFmtId="0" fontId="0" fillId="20" borderId="2" xfId="0" applyFill="1" applyBorder="1" applyAlignment="1">
      <alignment horizontal="center"/>
    </xf>
    <xf numFmtId="2" fontId="0" fillId="20" borderId="2" xfId="0" applyNumberFormat="1" applyFill="1" applyBorder="1" applyAlignment="1">
      <alignment horizontal="center"/>
    </xf>
    <xf numFmtId="0" fontId="4" fillId="20" borderId="76" xfId="0" applyFont="1" applyFill="1" applyBorder="1" applyAlignment="1">
      <alignment horizontal="center"/>
    </xf>
    <xf numFmtId="0" fontId="0" fillId="20" borderId="64" xfId="0" applyFill="1" applyBorder="1" applyAlignment="1">
      <alignment horizontal="center"/>
    </xf>
    <xf numFmtId="2" fontId="0" fillId="20" borderId="64" xfId="0" applyNumberFormat="1" applyFill="1" applyBorder="1" applyAlignment="1">
      <alignment horizontal="center"/>
    </xf>
    <xf numFmtId="0" fontId="4" fillId="20" borderId="65" xfId="0" applyFont="1" applyFill="1" applyBorder="1" applyAlignment="1">
      <alignment horizontal="center"/>
    </xf>
    <xf numFmtId="0" fontId="4" fillId="20" borderId="21" xfId="0" applyFont="1" applyFill="1" applyBorder="1" applyAlignment="1">
      <alignment horizontal="center" vertical="center"/>
    </xf>
    <xf numFmtId="166" fontId="0" fillId="20" borderId="10" xfId="0" applyNumberFormat="1" applyFill="1" applyBorder="1" applyAlignment="1">
      <alignment horizontal="center" vertical="center"/>
    </xf>
    <xf numFmtId="0" fontId="0" fillId="20" borderId="10" xfId="0" applyFill="1" applyBorder="1" applyAlignment="1">
      <alignment horizontal="center" vertical="center"/>
    </xf>
    <xf numFmtId="2" fontId="0" fillId="20" borderId="10" xfId="0" applyNumberFormat="1" applyFill="1" applyBorder="1" applyAlignment="1">
      <alignment horizontal="center" vertical="center"/>
    </xf>
    <xf numFmtId="166" fontId="0" fillId="20" borderId="15" xfId="0" applyNumberFormat="1" applyFill="1" applyBorder="1" applyAlignment="1">
      <alignment horizontal="center" vertical="center"/>
    </xf>
    <xf numFmtId="0" fontId="0" fillId="20" borderId="2" xfId="0" applyFill="1" applyBorder="1" applyAlignment="1">
      <alignment horizontal="center" vertical="center"/>
    </xf>
    <xf numFmtId="2" fontId="0" fillId="20" borderId="2" xfId="0" applyNumberFormat="1" applyFill="1" applyBorder="1" applyAlignment="1">
      <alignment horizontal="center" vertical="center"/>
    </xf>
    <xf numFmtId="0" fontId="4" fillId="20" borderId="76" xfId="0" applyFont="1" applyFill="1" applyBorder="1" applyAlignment="1">
      <alignment horizontal="center" vertical="center"/>
    </xf>
    <xf numFmtId="166" fontId="0" fillId="20" borderId="101" xfId="0" applyNumberFormat="1" applyFill="1" applyBorder="1" applyAlignment="1">
      <alignment horizontal="center" vertical="center"/>
    </xf>
    <xf numFmtId="0" fontId="0" fillId="20" borderId="66" xfId="0" applyFill="1" applyBorder="1" applyAlignment="1">
      <alignment horizontal="center" vertical="center"/>
    </xf>
    <xf numFmtId="2" fontId="0" fillId="20" borderId="66" xfId="0" applyNumberFormat="1" applyFill="1" applyBorder="1" applyAlignment="1">
      <alignment horizontal="center" vertical="center"/>
    </xf>
    <xf numFmtId="0" fontId="4" fillId="20" borderId="141" xfId="0" applyFont="1" applyFill="1" applyBorder="1" applyAlignment="1">
      <alignment horizontal="center" vertical="center"/>
    </xf>
    <xf numFmtId="166" fontId="0" fillId="20" borderId="162" xfId="0" applyNumberFormat="1" applyFill="1" applyBorder="1" applyAlignment="1">
      <alignment horizontal="center" vertical="center"/>
    </xf>
    <xf numFmtId="166" fontId="0" fillId="20" borderId="66" xfId="0" applyNumberFormat="1" applyFill="1" applyBorder="1" applyAlignment="1">
      <alignment horizontal="center" vertical="center"/>
    </xf>
    <xf numFmtId="166" fontId="0" fillId="20" borderId="141" xfId="0" applyNumberFormat="1" applyFill="1" applyBorder="1" applyAlignment="1">
      <alignment horizontal="center" vertical="center"/>
    </xf>
    <xf numFmtId="166" fontId="0" fillId="20" borderId="1" xfId="0" applyNumberFormat="1" applyFill="1" applyBorder="1" applyAlignment="1">
      <alignment horizontal="center" vertical="center"/>
    </xf>
    <xf numFmtId="0" fontId="0" fillId="20" borderId="1" xfId="0" applyFill="1" applyBorder="1" applyAlignment="1">
      <alignment horizontal="center" vertical="center"/>
    </xf>
    <xf numFmtId="0" fontId="4" fillId="20" borderId="19" xfId="0" applyFont="1" applyFill="1" applyBorder="1" applyAlignment="1">
      <alignment horizontal="center" vertical="center"/>
    </xf>
    <xf numFmtId="166" fontId="0" fillId="20" borderId="1" xfId="1" applyNumberFormat="1" applyFont="1" applyFill="1" applyBorder="1" applyAlignment="1">
      <alignment horizontal="center" vertical="center"/>
    </xf>
    <xf numFmtId="166" fontId="0" fillId="20" borderId="9" xfId="0" applyNumberFormat="1" applyFill="1" applyBorder="1" applyAlignment="1">
      <alignment horizontal="center" vertical="center"/>
    </xf>
    <xf numFmtId="0" fontId="0" fillId="20" borderId="73" xfId="0" applyFill="1" applyBorder="1" applyAlignment="1">
      <alignment horizontal="center" vertical="center"/>
    </xf>
    <xf numFmtId="2" fontId="0" fillId="20" borderId="21" xfId="0" applyNumberFormat="1" applyFill="1" applyBorder="1" applyAlignment="1">
      <alignment horizontal="center" vertical="center"/>
    </xf>
    <xf numFmtId="0" fontId="4" fillId="20" borderId="90" xfId="0" applyFont="1" applyFill="1" applyBorder="1" applyAlignment="1">
      <alignment horizontal="center" vertical="center"/>
    </xf>
    <xf numFmtId="0" fontId="4" fillId="20" borderId="125" xfId="0" applyFont="1" applyFill="1" applyBorder="1" applyAlignment="1">
      <alignment horizontal="center" vertical="center"/>
    </xf>
    <xf numFmtId="0" fontId="4" fillId="20" borderId="124" xfId="0" applyFont="1" applyFill="1" applyBorder="1" applyAlignment="1">
      <alignment horizontal="center" vertical="center"/>
    </xf>
    <xf numFmtId="0" fontId="4" fillId="20" borderId="130" xfId="0" applyFont="1" applyFill="1" applyBorder="1" applyAlignment="1">
      <alignment horizontal="center" vertical="center"/>
    </xf>
    <xf numFmtId="0" fontId="4" fillId="20" borderId="129" xfId="0" applyFont="1" applyFill="1" applyBorder="1" applyAlignment="1">
      <alignment horizontal="center" vertical="center"/>
    </xf>
    <xf numFmtId="2" fontId="4" fillId="20" borderId="129" xfId="0" applyNumberFormat="1" applyFont="1" applyFill="1" applyBorder="1" applyAlignment="1">
      <alignment horizontal="center" vertical="center"/>
    </xf>
    <xf numFmtId="166" fontId="0" fillId="20" borderId="2" xfId="0" applyNumberFormat="1" applyFill="1" applyBorder="1" applyAlignment="1">
      <alignment horizontal="center" vertical="center"/>
    </xf>
    <xf numFmtId="166" fontId="4" fillId="20" borderId="10" xfId="0" applyNumberFormat="1" applyFont="1" applyFill="1" applyBorder="1" applyAlignment="1">
      <alignment horizontal="center" vertical="center"/>
    </xf>
    <xf numFmtId="166" fontId="4" fillId="20" borderId="1" xfId="0" applyNumberFormat="1" applyFont="1" applyFill="1" applyBorder="1" applyAlignment="1">
      <alignment horizontal="center" vertical="center"/>
    </xf>
    <xf numFmtId="166" fontId="0" fillId="20" borderId="180" xfId="0" applyNumberFormat="1" applyFill="1" applyBorder="1" applyAlignment="1">
      <alignment horizontal="center" vertical="center"/>
    </xf>
    <xf numFmtId="166" fontId="4" fillId="20" borderId="30" xfId="0" applyNumberFormat="1" applyFont="1" applyFill="1" applyBorder="1" applyAlignment="1">
      <alignment horizontal="center" vertical="center"/>
    </xf>
    <xf numFmtId="0" fontId="4" fillId="20" borderId="4" xfId="0" applyFont="1" applyFill="1" applyBorder="1" applyAlignment="1">
      <alignment horizontal="center" vertical="center"/>
    </xf>
    <xf numFmtId="166" fontId="0" fillId="20" borderId="30" xfId="0" applyNumberFormat="1" applyFill="1" applyBorder="1" applyAlignment="1">
      <alignment horizontal="center"/>
    </xf>
    <xf numFmtId="166" fontId="0" fillId="20" borderId="21" xfId="0" applyNumberFormat="1" applyFill="1" applyBorder="1" applyAlignment="1">
      <alignment horizontal="center" vertical="center"/>
    </xf>
    <xf numFmtId="9" fontId="15" fillId="20" borderId="88" xfId="0" applyNumberFormat="1" applyFont="1" applyFill="1" applyBorder="1" applyAlignment="1">
      <alignment horizontal="center" vertical="center" wrapText="1"/>
    </xf>
    <xf numFmtId="9" fontId="15" fillId="20" borderId="91" xfId="0" applyNumberFormat="1" applyFont="1" applyFill="1" applyBorder="1" applyAlignment="1">
      <alignment horizontal="center" vertical="center" wrapText="1"/>
    </xf>
    <xf numFmtId="9" fontId="15" fillId="20" borderId="109" xfId="0" applyNumberFormat="1" applyFont="1" applyFill="1" applyBorder="1" applyAlignment="1">
      <alignment horizontal="center" vertical="center" wrapText="1"/>
    </xf>
    <xf numFmtId="9" fontId="15" fillId="20" borderId="139" xfId="0" applyNumberFormat="1" applyFont="1" applyFill="1" applyBorder="1" applyAlignment="1">
      <alignment horizontal="center" vertical="center" wrapText="1"/>
    </xf>
    <xf numFmtId="9" fontId="15" fillId="20" borderId="89" xfId="0" applyNumberFormat="1" applyFont="1" applyFill="1" applyBorder="1" applyAlignment="1">
      <alignment horizontal="center" vertical="center" wrapText="1"/>
    </xf>
    <xf numFmtId="9" fontId="15" fillId="20" borderId="187" xfId="0" applyNumberFormat="1" applyFont="1" applyFill="1" applyBorder="1" applyAlignment="1">
      <alignment horizontal="center" vertical="center" wrapText="1"/>
    </xf>
    <xf numFmtId="167" fontId="0" fillId="20" borderId="1" xfId="1" applyNumberFormat="1" applyFont="1" applyFill="1" applyBorder="1" applyAlignment="1">
      <alignment horizontal="center"/>
    </xf>
    <xf numFmtId="1" fontId="0" fillId="20" borderId="1" xfId="1" applyNumberFormat="1" applyFont="1" applyFill="1" applyBorder="1" applyAlignment="1">
      <alignment horizontal="center"/>
    </xf>
    <xf numFmtId="164" fontId="0" fillId="20" borderId="1" xfId="0" applyNumberFormat="1" applyFill="1" applyBorder="1" applyAlignment="1">
      <alignment horizontal="center"/>
    </xf>
    <xf numFmtId="166" fontId="0" fillId="20" borderId="1" xfId="0" applyNumberFormat="1" applyFill="1" applyBorder="1" applyAlignment="1">
      <alignment horizontal="center"/>
    </xf>
    <xf numFmtId="167" fontId="0" fillId="20" borderId="1" xfId="0" applyNumberFormat="1" applyFill="1" applyBorder="1" applyAlignment="1">
      <alignment horizontal="center"/>
    </xf>
    <xf numFmtId="0" fontId="3" fillId="20" borderId="10" xfId="0" applyFont="1" applyFill="1" applyBorder="1" applyAlignment="1">
      <alignment horizontal="center" vertical="center" wrapText="1"/>
    </xf>
    <xf numFmtId="9" fontId="0" fillId="20" borderId="10" xfId="1" applyFont="1" applyFill="1" applyBorder="1" applyAlignment="1">
      <alignment horizontal="center"/>
    </xf>
    <xf numFmtId="166" fontId="4" fillId="20" borderId="10" xfId="0" applyNumberFormat="1" applyFont="1" applyFill="1" applyBorder="1" applyAlignment="1">
      <alignment horizontal="center"/>
    </xf>
    <xf numFmtId="2" fontId="4" fillId="20" borderId="10" xfId="0" applyNumberFormat="1" applyFont="1" applyFill="1" applyBorder="1" applyAlignment="1">
      <alignment horizontal="center"/>
    </xf>
    <xf numFmtId="164" fontId="0" fillId="20" borderId="10" xfId="0" applyNumberFormat="1" applyFill="1" applyBorder="1" applyAlignment="1">
      <alignment horizontal="center"/>
    </xf>
    <xf numFmtId="2" fontId="4" fillId="20" borderId="1" xfId="0" applyNumberFormat="1" applyFont="1" applyFill="1" applyBorder="1" applyAlignment="1">
      <alignment horizontal="center" vertical="center"/>
    </xf>
    <xf numFmtId="2" fontId="4" fillId="20" borderId="1" xfId="0" applyNumberFormat="1" applyFont="1" applyFill="1" applyBorder="1" applyAlignment="1">
      <alignment horizontal="center"/>
    </xf>
    <xf numFmtId="0" fontId="0" fillId="20" borderId="1" xfId="0" applyFill="1" applyBorder="1"/>
    <xf numFmtId="166" fontId="0" fillId="20" borderId="1" xfId="0" applyNumberFormat="1" applyFill="1" applyBorder="1"/>
    <xf numFmtId="164" fontId="0" fillId="20" borderId="1" xfId="0" applyNumberFormat="1" applyFill="1" applyBorder="1"/>
    <xf numFmtId="0" fontId="2" fillId="20" borderId="1" xfId="6" applyFill="1" applyBorder="1"/>
    <xf numFmtId="2" fontId="13" fillId="20" borderId="62" xfId="6" applyNumberFormat="1" applyFont="1" applyFill="1" applyBorder="1" applyAlignment="1">
      <alignment horizontal="center"/>
    </xf>
    <xf numFmtId="0" fontId="2" fillId="20" borderId="0" xfId="6" applyFill="1"/>
    <xf numFmtId="166" fontId="4" fillId="20" borderId="9" xfId="0" applyNumberFormat="1" applyFont="1" applyFill="1" applyBorder="1" applyAlignment="1">
      <alignment horizontal="center" vertical="center"/>
    </xf>
    <xf numFmtId="2" fontId="4" fillId="20" borderId="2" xfId="0" applyNumberFormat="1" applyFont="1" applyFill="1" applyBorder="1" applyAlignment="1">
      <alignment horizontal="center" vertical="center"/>
    </xf>
    <xf numFmtId="2" fontId="4" fillId="20" borderId="30" xfId="0" applyNumberFormat="1" applyFont="1" applyFill="1" applyBorder="1" applyAlignment="1">
      <alignment horizontal="center" vertical="center"/>
    </xf>
    <xf numFmtId="170" fontId="0" fillId="20" borderId="10" xfId="0" applyNumberFormat="1" applyFill="1" applyBorder="1" applyAlignment="1">
      <alignment horizontal="center"/>
    </xf>
    <xf numFmtId="0" fontId="0" fillId="19" borderId="1" xfId="0" applyFill="1" applyBorder="1" applyAlignment="1" applyProtection="1">
      <alignment horizontal="center" vertical="center"/>
      <protection locked="0"/>
    </xf>
    <xf numFmtId="167" fontId="14" fillId="20" borderId="9" xfId="1" applyNumberFormat="1" applyFont="1" applyFill="1" applyBorder="1" applyAlignment="1">
      <alignment horizontal="center" vertical="center"/>
    </xf>
    <xf numFmtId="1" fontId="4" fillId="0" borderId="1" xfId="3" applyNumberFormat="1" applyBorder="1" applyAlignment="1">
      <alignment horizontal="center" vertical="center"/>
    </xf>
    <xf numFmtId="166" fontId="4" fillId="0" borderId="1" xfId="3" applyNumberFormat="1" applyBorder="1" applyAlignment="1">
      <alignment horizontal="center" vertical="center"/>
    </xf>
    <xf numFmtId="2" fontId="14" fillId="20" borderId="1" xfId="1" applyNumberFormat="1" applyFont="1" applyFill="1" applyBorder="1" applyAlignment="1" applyProtection="1">
      <alignment horizontal="center" vertical="center" shrinkToFit="1"/>
    </xf>
    <xf numFmtId="166" fontId="14" fillId="20" borderId="1" xfId="1" applyNumberFormat="1" applyFont="1" applyFill="1" applyBorder="1" applyAlignment="1" applyProtection="1">
      <alignment horizontal="center" vertical="center" shrinkToFit="1"/>
    </xf>
    <xf numFmtId="0" fontId="4" fillId="0" borderId="0" xfId="0" applyFont="1" applyAlignment="1">
      <alignment horizontal="right"/>
    </xf>
    <xf numFmtId="0" fontId="4" fillId="0" borderId="160" xfId="0" applyFont="1" applyBorder="1" applyAlignment="1">
      <alignment horizontal="right"/>
    </xf>
    <xf numFmtId="0" fontId="12" fillId="0" borderId="0" xfId="0" applyFont="1" applyAlignment="1">
      <alignment horizontal="center"/>
    </xf>
    <xf numFmtId="0" fontId="53" fillId="0" borderId="0" xfId="0" applyFont="1" applyAlignment="1">
      <alignment horizontal="left"/>
    </xf>
    <xf numFmtId="0" fontId="14" fillId="0" borderId="13" xfId="0" applyFont="1" applyBorder="1" applyAlignment="1">
      <alignment horizontal="center"/>
    </xf>
    <xf numFmtId="0" fontId="14" fillId="0" borderId="5" xfId="0" applyFont="1" applyBorder="1" applyAlignment="1">
      <alignment horizontal="center"/>
    </xf>
    <xf numFmtId="0" fontId="14" fillId="20" borderId="6" xfId="0" applyFont="1" applyFill="1" applyBorder="1" applyAlignment="1">
      <alignment horizontal="center" vertical="center" shrinkToFit="1"/>
    </xf>
    <xf numFmtId="0" fontId="14" fillId="20" borderId="3" xfId="0" applyFont="1" applyFill="1" applyBorder="1" applyAlignment="1">
      <alignment horizontal="center" vertical="center" shrinkToFit="1"/>
    </xf>
    <xf numFmtId="0" fontId="14" fillId="20" borderId="4" xfId="0" applyFont="1" applyFill="1" applyBorder="1" applyAlignment="1">
      <alignment horizontal="center" vertical="center" shrinkToFit="1"/>
    </xf>
    <xf numFmtId="0" fontId="21" fillId="0" borderId="14"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164"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160"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0" fillId="0" borderId="181" xfId="0" applyBorder="1" applyAlignment="1">
      <alignment horizontal="center"/>
    </xf>
    <xf numFmtId="0" fontId="0" fillId="0" borderId="184"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0" fillId="0" borderId="71" xfId="0" applyBorder="1" applyAlignment="1">
      <alignment horizontal="center"/>
    </xf>
    <xf numFmtId="0" fontId="0" fillId="0" borderId="72" xfId="0" applyBorder="1" applyAlignment="1">
      <alignment horizontal="center"/>
    </xf>
    <xf numFmtId="0" fontId="21" fillId="0" borderId="14" xfId="0" applyFont="1" applyBorder="1" applyAlignment="1">
      <alignment horizontal="center" vertical="center"/>
    </xf>
    <xf numFmtId="0" fontId="21" fillId="0" borderId="13" xfId="0" applyFont="1" applyBorder="1" applyAlignment="1">
      <alignment horizontal="center" vertical="center"/>
    </xf>
    <xf numFmtId="0" fontId="21" fillId="0" borderId="5" xfId="0" applyFont="1" applyBorder="1" applyAlignment="1">
      <alignment horizontal="center" vertical="center"/>
    </xf>
    <xf numFmtId="0" fontId="0" fillId="0" borderId="7" xfId="0" applyBorder="1" applyAlignment="1">
      <alignment horizontal="center"/>
    </xf>
    <xf numFmtId="0" fontId="21" fillId="0" borderId="12" xfId="0" applyFont="1" applyBorder="1" applyAlignment="1">
      <alignment horizontal="center" vertical="center"/>
    </xf>
    <xf numFmtId="0" fontId="21" fillId="0" borderId="8" xfId="0" applyFont="1" applyBorder="1" applyAlignment="1">
      <alignment horizontal="center" vertical="center"/>
    </xf>
    <xf numFmtId="0" fontId="15" fillId="0" borderId="6"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7" xfId="0" applyFont="1" applyBorder="1" applyAlignment="1">
      <alignment horizontal="center" vertical="center"/>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10" xfId="0" applyFont="1" applyBorder="1" applyAlignment="1">
      <alignment horizontal="center" vertical="center"/>
    </xf>
    <xf numFmtId="0" fontId="0" fillId="0" borderId="164"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21" fillId="20" borderId="3" xfId="0" applyFont="1" applyFill="1" applyBorder="1" applyAlignment="1">
      <alignment horizontal="center" vertical="center"/>
    </xf>
    <xf numFmtId="0" fontId="21" fillId="20" borderId="3" xfId="0" applyFont="1" applyFill="1" applyBorder="1" applyAlignment="1">
      <alignment horizontal="center" vertical="center" shrinkToFit="1"/>
    </xf>
    <xf numFmtId="166" fontId="14" fillId="20" borderId="67" xfId="0" applyNumberFormat="1" applyFont="1" applyFill="1" applyBorder="1" applyAlignment="1">
      <alignment horizontal="center" vertical="center" shrinkToFit="1"/>
    </xf>
    <xf numFmtId="166" fontId="14" fillId="20" borderId="68" xfId="0" applyNumberFormat="1" applyFont="1" applyFill="1" applyBorder="1" applyAlignment="1">
      <alignment horizontal="center" vertical="center" shrinkToFit="1"/>
    </xf>
    <xf numFmtId="166" fontId="14" fillId="20" borderId="69" xfId="0" applyNumberFormat="1" applyFont="1" applyFill="1" applyBorder="1" applyAlignment="1">
      <alignment horizontal="center" vertical="center" shrinkToFit="1"/>
    </xf>
    <xf numFmtId="166" fontId="14" fillId="20" borderId="70" xfId="0" applyNumberFormat="1" applyFont="1" applyFill="1" applyBorder="1" applyAlignment="1">
      <alignment horizontal="center" vertical="center" shrinkToFit="1"/>
    </xf>
    <xf numFmtId="166" fontId="14" fillId="20" borderId="71" xfId="0" applyNumberFormat="1" applyFont="1" applyFill="1" applyBorder="1" applyAlignment="1">
      <alignment horizontal="center" vertical="center" shrinkToFit="1"/>
    </xf>
    <xf numFmtId="166" fontId="14" fillId="20" borderId="72" xfId="0" applyNumberFormat="1" applyFont="1" applyFill="1" applyBorder="1" applyAlignment="1">
      <alignment horizontal="center" vertical="center" shrinkToFit="1"/>
    </xf>
    <xf numFmtId="0" fontId="21" fillId="0" borderId="82" xfId="0" applyFont="1" applyBorder="1" applyAlignment="1">
      <alignment horizontal="center" vertical="center"/>
    </xf>
    <xf numFmtId="0" fontId="21" fillId="0" borderId="81" xfId="0" applyFont="1" applyBorder="1" applyAlignment="1">
      <alignment horizontal="center" vertical="center"/>
    </xf>
    <xf numFmtId="0" fontId="14" fillId="20" borderId="0" xfId="0" applyFont="1" applyFill="1" applyAlignment="1">
      <alignment horizontal="center" vertical="center"/>
    </xf>
    <xf numFmtId="0" fontId="14" fillId="20" borderId="11" xfId="0" applyFont="1" applyFill="1" applyBorder="1" applyAlignment="1">
      <alignment horizontal="center" vertical="center"/>
    </xf>
    <xf numFmtId="0" fontId="15" fillId="0" borderId="13" xfId="0" applyFont="1" applyBorder="1" applyAlignment="1">
      <alignment horizontal="center" vertical="center"/>
    </xf>
    <xf numFmtId="0" fontId="15" fillId="0" borderId="5" xfId="0" applyFont="1" applyBorder="1" applyAlignment="1">
      <alignment horizontal="center" vertical="center"/>
    </xf>
    <xf numFmtId="0" fontId="15" fillId="0" borderId="9" xfId="0" applyFont="1" applyBorder="1" applyAlignment="1">
      <alignment horizontal="center" vertical="center"/>
    </xf>
    <xf numFmtId="0" fontId="21" fillId="0" borderId="10" xfId="0" applyFont="1" applyBorder="1" applyAlignment="1">
      <alignment horizontal="center" vertical="center" textRotation="90"/>
    </xf>
    <xf numFmtId="0" fontId="21" fillId="0" borderId="1" xfId="0" applyFont="1" applyBorder="1" applyAlignment="1">
      <alignment horizontal="center" vertical="center" textRotation="90"/>
    </xf>
    <xf numFmtId="0" fontId="52" fillId="0" borderId="164" xfId="0" applyFont="1" applyBorder="1" applyAlignment="1">
      <alignment horizontal="center" vertical="center" wrapText="1"/>
    </xf>
    <xf numFmtId="0" fontId="52" fillId="0" borderId="160"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5" xfId="0" applyFont="1" applyBorder="1" applyAlignment="1">
      <alignment horizontal="center" vertical="center" wrapText="1"/>
    </xf>
    <xf numFmtId="0" fontId="14" fillId="0" borderId="160" xfId="0" applyFont="1" applyBorder="1" applyAlignment="1">
      <alignment horizontal="center" vertical="center" wrapText="1"/>
    </xf>
    <xf numFmtId="0" fontId="14" fillId="20" borderId="1" xfId="0" applyFont="1" applyFill="1" applyBorder="1" applyAlignment="1">
      <alignment horizontal="center" vertical="center" shrinkToFit="1"/>
    </xf>
    <xf numFmtId="2" fontId="14" fillId="20" borderId="6" xfId="0" applyNumberFormat="1" applyFont="1" applyFill="1" applyBorder="1" applyAlignment="1">
      <alignment horizontal="center" vertical="center"/>
    </xf>
    <xf numFmtId="2" fontId="14" fillId="20" borderId="4" xfId="0" applyNumberFormat="1" applyFont="1" applyFill="1" applyBorder="1" applyAlignment="1">
      <alignment horizontal="center" vertical="center"/>
    </xf>
    <xf numFmtId="166" fontId="14" fillId="16" borderId="3" xfId="0" applyNumberFormat="1" applyFont="1" applyFill="1" applyBorder="1" applyAlignment="1" applyProtection="1">
      <alignment horizontal="center" vertical="center"/>
      <protection locked="0"/>
    </xf>
    <xf numFmtId="166" fontId="14" fillId="16" borderId="4" xfId="0" applyNumberFormat="1" applyFont="1" applyFill="1" applyBorder="1" applyAlignment="1" applyProtection="1">
      <alignment horizontal="center" vertical="center"/>
      <protection locked="0"/>
    </xf>
    <xf numFmtId="49" fontId="14" fillId="19" borderId="6" xfId="0" applyNumberFormat="1" applyFont="1" applyFill="1" applyBorder="1" applyAlignment="1" applyProtection="1">
      <alignment horizontal="center" vertical="center" shrinkToFit="1"/>
      <protection locked="0"/>
    </xf>
    <xf numFmtId="49" fontId="14" fillId="19" borderId="4" xfId="0" applyNumberFormat="1" applyFont="1" applyFill="1" applyBorder="1" applyAlignment="1" applyProtection="1">
      <alignment horizontal="center" vertical="center" shrinkToFit="1"/>
      <protection locked="0"/>
    </xf>
    <xf numFmtId="0" fontId="14" fillId="19" borderId="6" xfId="0" applyFont="1" applyFill="1" applyBorder="1" applyAlignment="1" applyProtection="1">
      <alignment horizontal="center" vertical="center" shrinkToFit="1"/>
      <protection locked="0"/>
    </xf>
    <xf numFmtId="0" fontId="14" fillId="19" borderId="3" xfId="0" applyFont="1" applyFill="1" applyBorder="1" applyAlignment="1" applyProtection="1">
      <alignment horizontal="center" vertical="center" shrinkToFit="1"/>
      <protection locked="0"/>
    </xf>
    <xf numFmtId="0" fontId="14" fillId="19" borderId="4" xfId="0" applyFont="1" applyFill="1" applyBorder="1" applyAlignment="1" applyProtection="1">
      <alignment horizontal="center" vertical="center" shrinkToFit="1"/>
      <protection locked="0"/>
    </xf>
    <xf numFmtId="168" fontId="14" fillId="19" borderId="6" xfId="0" applyNumberFormat="1" applyFont="1" applyFill="1" applyBorder="1" applyAlignment="1" applyProtection="1">
      <alignment horizontal="center" vertical="center" shrinkToFit="1"/>
      <protection locked="0"/>
    </xf>
    <xf numFmtId="168" fontId="14" fillId="19" borderId="3" xfId="0" applyNumberFormat="1" applyFont="1" applyFill="1" applyBorder="1" applyAlignment="1" applyProtection="1">
      <alignment horizontal="center" vertical="center" shrinkToFit="1"/>
      <protection locked="0"/>
    </xf>
    <xf numFmtId="168" fontId="14" fillId="19" borderId="4" xfId="0" applyNumberFormat="1" applyFont="1" applyFill="1" applyBorder="1" applyAlignment="1" applyProtection="1">
      <alignment horizontal="center" vertical="center" shrinkToFit="1"/>
      <protection locked="0"/>
    </xf>
    <xf numFmtId="167" fontId="14" fillId="20" borderId="67" xfId="1" applyNumberFormat="1" applyFont="1" applyFill="1" applyBorder="1" applyAlignment="1">
      <alignment horizontal="center" vertical="center" shrinkToFit="1"/>
    </xf>
    <xf numFmtId="167" fontId="14" fillId="20" borderId="68" xfId="1" applyNumberFormat="1" applyFont="1" applyFill="1" applyBorder="1" applyAlignment="1">
      <alignment horizontal="center" vertical="center" shrinkToFit="1"/>
    </xf>
    <xf numFmtId="167" fontId="14" fillId="20" borderId="71" xfId="1" applyNumberFormat="1" applyFont="1" applyFill="1" applyBorder="1" applyAlignment="1">
      <alignment horizontal="center" vertical="center" shrinkToFit="1"/>
    </xf>
    <xf numFmtId="167" fontId="14" fillId="20" borderId="72" xfId="1" applyNumberFormat="1" applyFont="1" applyFill="1" applyBorder="1" applyAlignment="1">
      <alignment horizontal="center" vertical="center" shrinkToFit="1"/>
    </xf>
    <xf numFmtId="0" fontId="15" fillId="0" borderId="14" xfId="0" applyFont="1" applyBorder="1" applyAlignment="1">
      <alignment horizontal="center" vertical="center"/>
    </xf>
    <xf numFmtId="0" fontId="14" fillId="19" borderId="2" xfId="0" applyFont="1" applyFill="1" applyBorder="1" applyAlignment="1" applyProtection="1">
      <alignment horizontal="center" vertical="center" wrapText="1"/>
      <protection locked="0"/>
    </xf>
    <xf numFmtId="0" fontId="15" fillId="0" borderId="160" xfId="0" applyFont="1" applyBorder="1" applyAlignment="1">
      <alignment horizontal="right" vertical="center"/>
    </xf>
    <xf numFmtId="0" fontId="15" fillId="0" borderId="2" xfId="0" applyFont="1" applyBorder="1" applyAlignment="1">
      <alignment horizontal="right" vertical="center"/>
    </xf>
    <xf numFmtId="0" fontId="21" fillId="0" borderId="15"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8" xfId="0" applyFont="1" applyBorder="1" applyAlignment="1">
      <alignment horizontal="center" vertical="center" wrapText="1"/>
    </xf>
    <xf numFmtId="166" fontId="0" fillId="16" borderId="6" xfId="0" applyNumberFormat="1" applyFill="1" applyBorder="1" applyAlignment="1" applyProtection="1">
      <alignment horizontal="center" vertical="center" shrinkToFit="1"/>
      <protection locked="0"/>
    </xf>
    <xf numFmtId="166" fontId="0" fillId="16" borderId="3" xfId="0" applyNumberFormat="1" applyFill="1" applyBorder="1" applyAlignment="1" applyProtection="1">
      <alignment horizontal="center" vertical="center" shrinkToFit="1"/>
      <protection locked="0"/>
    </xf>
    <xf numFmtId="166" fontId="0" fillId="16" borderId="4" xfId="0" applyNumberFormat="1" applyFill="1" applyBorder="1" applyAlignment="1" applyProtection="1">
      <alignment horizontal="center" vertical="center" shrinkToFit="1"/>
      <protection locked="0"/>
    </xf>
    <xf numFmtId="49" fontId="14" fillId="19" borderId="3" xfId="0" applyNumberFormat="1" applyFont="1" applyFill="1" applyBorder="1" applyAlignment="1" applyProtection="1">
      <alignment horizontal="center" vertical="center" shrinkToFit="1"/>
      <protection locked="0"/>
    </xf>
    <xf numFmtId="166" fontId="21" fillId="16" borderId="3" xfId="0" applyNumberFormat="1" applyFont="1" applyFill="1" applyBorder="1" applyAlignment="1" applyProtection="1">
      <alignment horizontal="center" vertical="center" shrinkToFit="1"/>
      <protection locked="0"/>
    </xf>
    <xf numFmtId="166" fontId="21" fillId="16" borderId="4" xfId="0" applyNumberFormat="1" applyFont="1" applyFill="1" applyBorder="1" applyAlignment="1" applyProtection="1">
      <alignment horizontal="center" vertical="center" shrinkToFit="1"/>
      <protection locked="0"/>
    </xf>
    <xf numFmtId="0" fontId="21" fillId="0" borderId="164" xfId="0" applyFont="1" applyBorder="1" applyAlignment="1">
      <alignment horizontal="center"/>
    </xf>
    <xf numFmtId="0" fontId="21" fillId="0" borderId="160" xfId="0" applyFont="1" applyBorder="1" applyAlignment="1">
      <alignment horizontal="center"/>
    </xf>
    <xf numFmtId="2" fontId="21" fillId="0" borderId="14" xfId="0" applyNumberFormat="1" applyFont="1" applyBorder="1" applyAlignment="1">
      <alignment horizontal="center" vertical="center" wrapText="1"/>
    </xf>
    <xf numFmtId="2" fontId="21" fillId="0" borderId="13" xfId="0" applyNumberFormat="1" applyFont="1" applyBorder="1" applyAlignment="1">
      <alignment horizontal="center" vertical="center" wrapText="1"/>
    </xf>
    <xf numFmtId="2" fontId="21" fillId="0" borderId="5" xfId="0" applyNumberFormat="1" applyFont="1" applyBorder="1" applyAlignment="1">
      <alignment horizontal="center" vertical="center" wrapText="1"/>
    </xf>
    <xf numFmtId="2" fontId="21" fillId="0" borderId="164" xfId="0" applyNumberFormat="1" applyFont="1" applyBorder="1" applyAlignment="1">
      <alignment horizontal="center" vertical="center" wrapText="1"/>
    </xf>
    <xf numFmtId="2" fontId="21" fillId="0" borderId="0" xfId="0" applyNumberFormat="1" applyFont="1" applyAlignment="1">
      <alignment horizontal="center" vertical="center" wrapText="1"/>
    </xf>
    <xf numFmtId="2" fontId="21" fillId="0" borderId="160" xfId="0" applyNumberFormat="1" applyFont="1" applyBorder="1" applyAlignment="1">
      <alignment horizontal="center" vertical="center" wrapText="1"/>
    </xf>
    <xf numFmtId="0" fontId="47" fillId="0" borderId="14" xfId="0" applyFont="1" applyBorder="1" applyAlignment="1">
      <alignment horizontal="center"/>
    </xf>
    <xf numFmtId="0" fontId="47" fillId="0" borderId="13" xfId="0" applyFont="1" applyBorder="1" applyAlignment="1">
      <alignment horizontal="center"/>
    </xf>
    <xf numFmtId="0" fontId="47" fillId="0" borderId="160" xfId="0" applyFont="1" applyBorder="1" applyAlignment="1">
      <alignment horizontal="center"/>
    </xf>
    <xf numFmtId="0" fontId="21" fillId="0" borderId="162" xfId="0" applyFont="1" applyBorder="1" applyAlignment="1">
      <alignment horizontal="center" vertical="center" wrapText="1"/>
    </xf>
    <xf numFmtId="0" fontId="21" fillId="0" borderId="10" xfId="0" applyFont="1" applyBorder="1" applyAlignment="1">
      <alignment horizontal="center" vertical="center" wrapText="1"/>
    </xf>
    <xf numFmtId="0" fontId="0" fillId="0" borderId="27" xfId="0" applyBorder="1" applyAlignment="1">
      <alignment horizontal="center"/>
    </xf>
    <xf numFmtId="0" fontId="21" fillId="20" borderId="9" xfId="0" applyFont="1" applyFill="1" applyBorder="1" applyAlignment="1">
      <alignment horizontal="center" vertical="center" textRotation="90" wrapText="1"/>
    </xf>
    <xf numFmtId="0" fontId="21" fillId="20" borderId="162" xfId="0" applyFont="1" applyFill="1" applyBorder="1" applyAlignment="1">
      <alignment horizontal="center" vertical="center" textRotation="90" wrapText="1"/>
    </xf>
    <xf numFmtId="0" fontId="21" fillId="20" borderId="10" xfId="0" applyFont="1" applyFill="1" applyBorder="1" applyAlignment="1">
      <alignment horizontal="center" vertical="center" textRotation="90" wrapText="1"/>
    </xf>
    <xf numFmtId="2" fontId="21" fillId="0" borderId="1" xfId="0" applyNumberFormat="1" applyFont="1" applyBorder="1" applyAlignment="1">
      <alignment horizontal="center" vertical="center"/>
    </xf>
    <xf numFmtId="2" fontId="21" fillId="0" borderId="9" xfId="0" applyNumberFormat="1" applyFont="1" applyBorder="1" applyAlignment="1">
      <alignment horizontal="center" vertical="center"/>
    </xf>
    <xf numFmtId="0" fontId="47" fillId="0" borderId="14" xfId="0" applyFont="1" applyBorder="1" applyAlignment="1">
      <alignment horizontal="center" vertical="center"/>
    </xf>
    <xf numFmtId="0" fontId="47" fillId="0" borderId="13" xfId="0" applyFont="1" applyBorder="1" applyAlignment="1">
      <alignment horizontal="center" vertical="center"/>
    </xf>
    <xf numFmtId="0" fontId="47" fillId="0" borderId="5" xfId="0" applyFont="1" applyBorder="1" applyAlignment="1">
      <alignment horizontal="center" vertical="center"/>
    </xf>
    <xf numFmtId="0" fontId="14" fillId="0" borderId="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1" xfId="0" applyFont="1" applyBorder="1" applyAlignment="1">
      <alignment horizontal="center" vertical="center" wrapText="1"/>
    </xf>
    <xf numFmtId="0" fontId="21" fillId="0" borderId="1" xfId="0" applyFont="1" applyBorder="1" applyAlignment="1">
      <alignment horizontal="right" vertical="center"/>
    </xf>
    <xf numFmtId="0" fontId="0" fillId="0" borderId="182" xfId="0" applyBorder="1" applyAlignment="1">
      <alignment horizontal="center"/>
    </xf>
    <xf numFmtId="0" fontId="0" fillId="0" borderId="183" xfId="0" applyBorder="1" applyAlignment="1">
      <alignment horizontal="center"/>
    </xf>
    <xf numFmtId="0" fontId="21" fillId="0" borderId="9" xfId="0" applyFont="1" applyBorder="1" applyAlignment="1">
      <alignment horizontal="center" vertical="center" textRotation="90" wrapText="1"/>
    </xf>
    <xf numFmtId="0" fontId="21" fillId="0" borderId="10" xfId="0" applyFont="1" applyBorder="1" applyAlignment="1">
      <alignment horizontal="center" vertical="center" textRotation="90" wrapText="1"/>
    </xf>
    <xf numFmtId="2" fontId="21" fillId="0" borderId="3" xfId="0" applyNumberFormat="1" applyFont="1" applyBorder="1" applyAlignment="1">
      <alignment horizontal="center" vertical="center"/>
    </xf>
    <xf numFmtId="2" fontId="21" fillId="0" borderId="4" xfId="0" applyNumberFormat="1" applyFont="1" applyBorder="1" applyAlignment="1">
      <alignment horizontal="center" vertical="center"/>
    </xf>
    <xf numFmtId="0" fontId="21" fillId="0" borderId="9" xfId="0" applyFont="1" applyBorder="1" applyAlignment="1">
      <alignment horizontal="center" vertical="center" textRotation="90"/>
    </xf>
    <xf numFmtId="0" fontId="21" fillId="0" borderId="162" xfId="0" applyFont="1" applyBorder="1" applyAlignment="1">
      <alignment horizontal="center" vertical="center" textRotation="90"/>
    </xf>
    <xf numFmtId="166" fontId="14" fillId="12" borderId="182" xfId="0" applyNumberFormat="1" applyFont="1" applyFill="1" applyBorder="1" applyAlignment="1">
      <alignment horizontal="center" vertical="center"/>
    </xf>
    <xf numFmtId="166" fontId="14" fillId="12" borderId="183" xfId="0" applyNumberFormat="1" applyFont="1" applyFill="1" applyBorder="1" applyAlignment="1">
      <alignment horizontal="center" vertical="center"/>
    </xf>
    <xf numFmtId="0" fontId="0" fillId="0" borderId="8" xfId="0" applyBorder="1" applyAlignment="1">
      <alignment horizontal="center"/>
    </xf>
    <xf numFmtId="2" fontId="21" fillId="0" borderId="6" xfId="0" applyNumberFormat="1" applyFont="1" applyBorder="1" applyAlignment="1">
      <alignment horizontal="center" vertical="center"/>
    </xf>
    <xf numFmtId="0" fontId="21" fillId="0" borderId="14" xfId="0" applyFont="1" applyBorder="1" applyAlignment="1">
      <alignment horizontal="center" vertical="center" wrapText="1"/>
    </xf>
    <xf numFmtId="0" fontId="15" fillId="0" borderId="13" xfId="0" applyFont="1" applyBorder="1" applyAlignment="1">
      <alignment horizontal="right" vertical="center"/>
    </xf>
    <xf numFmtId="0" fontId="15" fillId="0" borderId="5" xfId="0" applyFont="1" applyBorder="1" applyAlignment="1">
      <alignment horizontal="right" vertical="center"/>
    </xf>
    <xf numFmtId="49" fontId="14" fillId="19" borderId="14" xfId="0" applyNumberFormat="1" applyFont="1" applyFill="1" applyBorder="1" applyAlignment="1" applyProtection="1">
      <alignment horizontal="center" vertical="center" shrinkToFit="1"/>
      <protection locked="0"/>
    </xf>
    <xf numFmtId="49" fontId="14" fillId="19" borderId="5" xfId="0" applyNumberFormat="1" applyFont="1" applyFill="1" applyBorder="1" applyAlignment="1" applyProtection="1">
      <alignment horizontal="center" vertical="center" shrinkToFit="1"/>
      <protection locked="0"/>
    </xf>
    <xf numFmtId="0" fontId="10" fillId="0" borderId="164" xfId="2" applyBorder="1" applyAlignment="1" applyProtection="1">
      <alignment horizontal="center" vertical="center" textRotation="90" wrapText="1" shrinkToFit="1"/>
    </xf>
    <xf numFmtId="0" fontId="10" fillId="0" borderId="160" xfId="2" applyBorder="1" applyAlignment="1" applyProtection="1">
      <alignment horizontal="center" vertical="center" textRotation="90" wrapText="1" shrinkToFit="1"/>
    </xf>
    <xf numFmtId="0" fontId="10" fillId="0" borderId="12" xfId="2" applyBorder="1" applyAlignment="1" applyProtection="1">
      <alignment horizontal="center" vertical="center" textRotation="90" wrapText="1" shrinkToFit="1"/>
    </xf>
    <xf numFmtId="0" fontId="10" fillId="0" borderId="8" xfId="2" applyBorder="1" applyAlignment="1" applyProtection="1">
      <alignment horizontal="center" vertical="center" textRotation="90" wrapText="1" shrinkToFit="1"/>
    </xf>
    <xf numFmtId="49" fontId="14" fillId="19" borderId="13" xfId="0" applyNumberFormat="1" applyFont="1" applyFill="1" applyBorder="1" applyAlignment="1" applyProtection="1">
      <alignment horizontal="center" vertical="center" shrinkToFit="1"/>
      <protection locked="0"/>
    </xf>
    <xf numFmtId="0" fontId="21" fillId="0" borderId="164" xfId="0" applyFont="1" applyBorder="1" applyAlignment="1">
      <alignment horizontal="center" vertical="center" shrinkToFit="1"/>
    </xf>
    <xf numFmtId="0" fontId="21" fillId="0" borderId="0" xfId="0" applyFont="1" applyAlignment="1">
      <alignment horizontal="center" vertical="center" shrinkToFit="1"/>
    </xf>
    <xf numFmtId="0" fontId="21" fillId="0" borderId="160"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164" xfId="0" applyFont="1" applyBorder="1" applyAlignment="1">
      <alignment horizontal="center" vertical="center"/>
    </xf>
    <xf numFmtId="0" fontId="21" fillId="0" borderId="0" xfId="0" applyFont="1" applyAlignment="1">
      <alignment horizontal="center" vertical="center"/>
    </xf>
    <xf numFmtId="0" fontId="21" fillId="0" borderId="160" xfId="0" applyFont="1" applyBorder="1" applyAlignment="1">
      <alignment horizontal="center" vertical="center"/>
    </xf>
    <xf numFmtId="0" fontId="47" fillId="0" borderId="14" xfId="0" applyFont="1" applyBorder="1" applyAlignment="1">
      <alignment horizontal="center" vertical="center" shrinkToFit="1"/>
    </xf>
    <xf numFmtId="0" fontId="47" fillId="0" borderId="13" xfId="0" applyFont="1" applyBorder="1" applyAlignment="1">
      <alignment horizontal="center" vertical="center" shrinkToFit="1"/>
    </xf>
    <xf numFmtId="0" fontId="47" fillId="0" borderId="5" xfId="0" applyFont="1" applyBorder="1" applyAlignment="1">
      <alignment horizontal="center" vertical="center" shrinkToFit="1"/>
    </xf>
    <xf numFmtId="0" fontId="21" fillId="0" borderId="6" xfId="0" applyFont="1" applyBorder="1" applyAlignment="1">
      <alignment horizontal="right" vertical="center" shrinkToFit="1"/>
    </xf>
    <xf numFmtId="0" fontId="21" fillId="0" borderId="3" xfId="0" applyFont="1" applyBorder="1" applyAlignment="1">
      <alignment horizontal="right" vertical="center" shrinkToFit="1"/>
    </xf>
    <xf numFmtId="0" fontId="21" fillId="0" borderId="4" xfId="0" applyFont="1" applyBorder="1" applyAlignment="1">
      <alignment horizontal="right" vertical="center" shrinkToFit="1"/>
    </xf>
    <xf numFmtId="0" fontId="21" fillId="0" borderId="6" xfId="0" applyFont="1" applyBorder="1" applyAlignment="1">
      <alignment horizontal="right" vertical="center"/>
    </xf>
    <xf numFmtId="0" fontId="21" fillId="0" borderId="4" xfId="0" applyFont="1" applyBorder="1" applyAlignment="1">
      <alignment horizontal="right" vertical="center"/>
    </xf>
    <xf numFmtId="0" fontId="14" fillId="20" borderId="12" xfId="0" applyFont="1" applyFill="1" applyBorder="1" applyAlignment="1">
      <alignment horizontal="center" vertical="center"/>
    </xf>
    <xf numFmtId="0" fontId="14" fillId="20" borderId="8" xfId="0" applyFont="1" applyFill="1" applyBorder="1" applyAlignment="1">
      <alignment horizontal="center" vertical="center"/>
    </xf>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21" fillId="0" borderId="1" xfId="0" applyFont="1" applyBorder="1" applyAlignment="1">
      <alignment horizontal="right" vertical="center" shrinkToFit="1"/>
    </xf>
    <xf numFmtId="9" fontId="14" fillId="20" borderId="9" xfId="1" applyFont="1" applyFill="1" applyBorder="1" applyAlignment="1">
      <alignment horizontal="center" vertical="center"/>
    </xf>
    <xf numFmtId="9" fontId="14" fillId="20" borderId="162" xfId="1" applyFont="1" applyFill="1" applyBorder="1" applyAlignment="1">
      <alignment horizontal="center" vertical="center"/>
    </xf>
    <xf numFmtId="0" fontId="21" fillId="0" borderId="162" xfId="0" applyFont="1" applyBorder="1" applyAlignment="1">
      <alignment horizontal="center" vertical="center" textRotation="90" wrapText="1"/>
    </xf>
    <xf numFmtId="0" fontId="0" fillId="0" borderId="14" xfId="0" applyBorder="1" applyAlignment="1">
      <alignment horizontal="center"/>
    </xf>
    <xf numFmtId="0" fontId="0" fillId="0" borderId="86" xfId="0" applyBorder="1" applyAlignment="1">
      <alignment horizontal="center"/>
    </xf>
    <xf numFmtId="0" fontId="0" fillId="0" borderId="15" xfId="0" applyBorder="1" applyAlignment="1">
      <alignment horizontal="center"/>
    </xf>
    <xf numFmtId="0" fontId="0" fillId="0" borderId="84" xfId="0" applyBorder="1" applyAlignment="1">
      <alignment horizontal="center"/>
    </xf>
    <xf numFmtId="0" fontId="0" fillId="0" borderId="100" xfId="0" applyBorder="1" applyAlignment="1">
      <alignment horizontal="center"/>
    </xf>
    <xf numFmtId="0" fontId="0" fillId="0" borderId="140" xfId="0" applyBorder="1" applyAlignment="1">
      <alignment horizontal="center"/>
    </xf>
    <xf numFmtId="0" fontId="0" fillId="0" borderId="6" xfId="0" applyBorder="1" applyAlignment="1">
      <alignment horizontal="center"/>
    </xf>
    <xf numFmtId="0" fontId="0" fillId="0" borderId="25" xfId="0"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122" xfId="0" applyFont="1" applyBorder="1" applyAlignment="1">
      <alignment horizontal="center"/>
    </xf>
    <xf numFmtId="0" fontId="3" fillId="0" borderId="91" xfId="0" applyFont="1" applyBorder="1" applyAlignment="1">
      <alignment horizontal="center"/>
    </xf>
    <xf numFmtId="0" fontId="4" fillId="0" borderId="110" xfId="0" applyFont="1" applyBorder="1" applyAlignment="1">
      <alignment horizontal="center" vertical="center" wrapText="1"/>
    </xf>
    <xf numFmtId="0" fontId="3" fillId="0" borderId="143" xfId="0" applyFont="1" applyBorder="1" applyAlignment="1">
      <alignment horizontal="center"/>
    </xf>
    <xf numFmtId="0" fontId="3" fillId="0" borderId="144" xfId="0" applyFont="1" applyBorder="1" applyAlignment="1">
      <alignment horizontal="center"/>
    </xf>
    <xf numFmtId="0" fontId="3" fillId="0" borderId="145" xfId="0" applyFont="1" applyBorder="1" applyAlignment="1">
      <alignment horizontal="center"/>
    </xf>
    <xf numFmtId="0" fontId="14" fillId="0" borderId="146" xfId="0" applyFont="1" applyBorder="1" applyAlignment="1">
      <alignment horizontal="center" vertical="center" wrapText="1"/>
    </xf>
    <xf numFmtId="0" fontId="14" fillId="0" borderId="147" xfId="0" applyFont="1" applyBorder="1" applyAlignment="1">
      <alignment horizontal="center" vertical="center" wrapText="1"/>
    </xf>
    <xf numFmtId="0" fontId="4" fillId="0" borderId="124" xfId="0" applyFont="1" applyBorder="1" applyAlignment="1">
      <alignment horizontal="center" vertical="center" wrapText="1"/>
    </xf>
    <xf numFmtId="0" fontId="4" fillId="0" borderId="123" xfId="0" applyFont="1" applyBorder="1" applyAlignment="1">
      <alignment horizontal="center" vertical="center" wrapText="1"/>
    </xf>
    <xf numFmtId="0" fontId="0" fillId="0" borderId="101" xfId="0" applyBorder="1" applyAlignment="1">
      <alignment horizontal="center"/>
    </xf>
    <xf numFmtId="0" fontId="0" fillId="0" borderId="102" xfId="0" applyBorder="1" applyAlignment="1">
      <alignment horizontal="center"/>
    </xf>
    <xf numFmtId="0" fontId="0" fillId="0" borderId="80" xfId="0" applyBorder="1" applyAlignment="1">
      <alignment horizontal="center"/>
    </xf>
    <xf numFmtId="0" fontId="0" fillId="0" borderId="83" xfId="0" applyBorder="1" applyAlignment="1">
      <alignment horizontal="center"/>
    </xf>
    <xf numFmtId="0" fontId="4" fillId="0" borderId="122" xfId="0" applyFont="1" applyBorder="1" applyAlignment="1">
      <alignment horizontal="center" vertical="center" wrapText="1"/>
    </xf>
    <xf numFmtId="0" fontId="4" fillId="15" borderId="80" xfId="0" applyFont="1" applyFill="1" applyBorder="1" applyAlignment="1">
      <alignment horizontal="center"/>
    </xf>
    <xf numFmtId="0" fontId="0" fillId="15" borderId="81" xfId="0" applyFill="1" applyBorder="1" applyAlignment="1">
      <alignment horizontal="center"/>
    </xf>
    <xf numFmtId="0" fontId="4" fillId="0" borderId="121" xfId="0" applyFont="1" applyBorder="1" applyAlignment="1">
      <alignment horizontal="center" vertical="center" wrapText="1"/>
    </xf>
    <xf numFmtId="0" fontId="4" fillId="20" borderId="124" xfId="0" applyFont="1" applyFill="1" applyBorder="1" applyAlignment="1">
      <alignment horizontal="center" vertical="center"/>
    </xf>
    <xf numFmtId="0" fontId="4" fillId="20" borderId="110" xfId="0" applyFont="1" applyFill="1" applyBorder="1" applyAlignment="1">
      <alignment horizontal="center" vertical="center"/>
    </xf>
    <xf numFmtId="0" fontId="4" fillId="20" borderId="125" xfId="0" applyFont="1" applyFill="1" applyBorder="1" applyAlignment="1">
      <alignment horizontal="center" vertical="center"/>
    </xf>
    <xf numFmtId="0" fontId="0" fillId="20" borderId="129" xfId="0" applyFill="1" applyBorder="1" applyAlignment="1">
      <alignment horizontal="center"/>
    </xf>
    <xf numFmtId="0" fontId="0" fillId="20" borderId="3" xfId="0" applyFill="1" applyBorder="1" applyAlignment="1">
      <alignment horizontal="center"/>
    </xf>
    <xf numFmtId="0" fontId="3" fillId="0" borderId="78" xfId="0" applyFont="1" applyBorder="1" applyAlignment="1">
      <alignment horizontal="center" vertical="center"/>
    </xf>
    <xf numFmtId="173" fontId="4" fillId="20" borderId="21" xfId="0" applyNumberFormat="1" applyFont="1" applyFill="1" applyBorder="1" applyAlignment="1">
      <alignment horizontal="center" vertical="center"/>
    </xf>
    <xf numFmtId="166" fontId="0" fillId="20" borderId="124" xfId="0" applyNumberFormat="1" applyFill="1" applyBorder="1" applyAlignment="1">
      <alignment horizontal="center" vertical="center"/>
    </xf>
    <xf numFmtId="166" fontId="0" fillId="20" borderId="110" xfId="0" applyNumberFormat="1" applyFill="1" applyBorder="1" applyAlignment="1">
      <alignment horizontal="center" vertical="center"/>
    </xf>
    <xf numFmtId="166" fontId="0" fillId="20" borderId="125" xfId="0" applyNumberForma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73" fontId="4" fillId="20" borderId="90" xfId="0" applyNumberFormat="1" applyFont="1" applyFill="1" applyBorder="1" applyAlignment="1">
      <alignment horizontal="center" vertical="center"/>
    </xf>
    <xf numFmtId="166" fontId="0" fillId="16" borderId="32" xfId="0" applyNumberFormat="1" applyFill="1" applyBorder="1" applyAlignment="1" applyProtection="1">
      <alignment horizontal="center" vertical="center"/>
      <protection locked="0"/>
    </xf>
    <xf numFmtId="166" fontId="0" fillId="16" borderId="56" xfId="0" applyNumberFormat="1" applyFill="1" applyBorder="1" applyAlignment="1" applyProtection="1">
      <alignment horizontal="center" vertical="center"/>
      <protection locked="0"/>
    </xf>
    <xf numFmtId="0" fontId="3" fillId="0" borderId="125" xfId="0" applyFont="1" applyBorder="1" applyAlignment="1">
      <alignment horizontal="right" vertical="center"/>
    </xf>
    <xf numFmtId="0" fontId="3" fillId="0" borderId="7" xfId="0" applyFont="1" applyBorder="1" applyAlignment="1">
      <alignment horizontal="right" vertical="center"/>
    </xf>
    <xf numFmtId="0" fontId="3" fillId="0" borderId="131" xfId="0" applyFont="1" applyBorder="1" applyAlignment="1">
      <alignment horizontal="right" vertical="center"/>
    </xf>
    <xf numFmtId="0" fontId="3" fillId="0" borderId="74" xfId="0" applyFont="1" applyBorder="1" applyAlignment="1">
      <alignment horizontal="right" vertical="center"/>
    </xf>
    <xf numFmtId="0" fontId="3" fillId="0" borderId="129" xfId="0" applyFont="1" applyBorder="1" applyAlignment="1">
      <alignment horizontal="right" vertical="center"/>
    </xf>
    <xf numFmtId="0" fontId="3" fillId="0" borderId="3" xfId="0" applyFont="1" applyBorder="1" applyAlignment="1">
      <alignment horizontal="right" vertical="center"/>
    </xf>
    <xf numFmtId="0" fontId="3" fillId="0" borderId="143" xfId="0" applyFont="1" applyBorder="1" applyAlignment="1">
      <alignment horizontal="center" vertical="center"/>
    </xf>
    <xf numFmtId="0" fontId="3" fillId="0" borderId="144" xfId="0" applyFont="1" applyBorder="1" applyAlignment="1">
      <alignment horizontal="center" vertical="center"/>
    </xf>
    <xf numFmtId="0" fontId="3" fillId="0" borderId="145" xfId="0" applyFont="1" applyBorder="1" applyAlignment="1">
      <alignment horizontal="center" vertical="center"/>
    </xf>
    <xf numFmtId="0" fontId="0" fillId="16" borderId="148" xfId="0" applyFill="1" applyBorder="1" applyAlignment="1" applyProtection="1">
      <alignment horizontal="center" vertical="center" shrinkToFit="1"/>
      <protection locked="0"/>
    </xf>
    <xf numFmtId="0" fontId="0" fillId="16" borderId="150" xfId="0" applyFill="1" applyBorder="1" applyAlignment="1" applyProtection="1">
      <alignment horizontal="center" vertical="center" shrinkToFit="1"/>
      <protection locked="0"/>
    </xf>
    <xf numFmtId="0" fontId="0" fillId="16" borderId="151" xfId="0" applyFill="1" applyBorder="1" applyAlignment="1" applyProtection="1">
      <alignment horizontal="center" vertical="center" shrinkToFit="1"/>
      <protection locked="0"/>
    </xf>
    <xf numFmtId="0" fontId="0" fillId="16" borderId="55" xfId="0" applyFill="1" applyBorder="1" applyAlignment="1" applyProtection="1">
      <alignment horizontal="center" vertical="center" shrinkToFit="1"/>
      <protection locked="0"/>
    </xf>
    <xf numFmtId="0" fontId="0" fillId="16" borderId="152" xfId="0" applyFill="1" applyBorder="1" applyAlignment="1" applyProtection="1">
      <alignment horizontal="center" vertical="center" shrinkToFit="1"/>
      <protection locked="0"/>
    </xf>
    <xf numFmtId="0" fontId="0" fillId="16" borderId="153" xfId="0" applyFill="1" applyBorder="1" applyAlignment="1" applyProtection="1">
      <alignment horizontal="center" vertical="center" shrinkToFit="1"/>
      <protection locked="0"/>
    </xf>
    <xf numFmtId="0" fontId="4" fillId="16" borderId="55" xfId="0" applyFont="1" applyFill="1" applyBorder="1" applyAlignment="1" applyProtection="1">
      <alignment horizontal="center" vertical="center" shrinkToFit="1"/>
      <protection locked="0"/>
    </xf>
    <xf numFmtId="0" fontId="4" fillId="16" borderId="152" xfId="0" applyFont="1" applyFill="1" applyBorder="1" applyAlignment="1" applyProtection="1">
      <alignment horizontal="center" vertical="center" shrinkToFit="1"/>
      <protection locked="0"/>
    </xf>
    <xf numFmtId="0" fontId="4" fillId="16" borderId="153" xfId="0" applyFont="1" applyFill="1" applyBorder="1" applyAlignment="1" applyProtection="1">
      <alignment horizontal="center" vertical="center" shrinkToFit="1"/>
      <protection locked="0"/>
    </xf>
    <xf numFmtId="0" fontId="0" fillId="16" borderId="154" xfId="0" applyFill="1" applyBorder="1" applyAlignment="1" applyProtection="1">
      <alignment horizontal="center" vertical="center" shrinkToFit="1"/>
      <protection locked="0"/>
    </xf>
    <xf numFmtId="0" fontId="0" fillId="16" borderId="155" xfId="0" applyFill="1" applyBorder="1" applyAlignment="1" applyProtection="1">
      <alignment horizontal="center" vertical="center" shrinkToFit="1"/>
      <protection locked="0"/>
    </xf>
    <xf numFmtId="0" fontId="0" fillId="16" borderId="156" xfId="0" applyFill="1" applyBorder="1" applyAlignment="1" applyProtection="1">
      <alignment horizontal="center" vertical="center" shrinkToFit="1"/>
      <protection locked="0"/>
    </xf>
    <xf numFmtId="0" fontId="4" fillId="0" borderId="104" xfId="0" applyFont="1" applyBorder="1" applyAlignment="1">
      <alignment horizontal="center" vertical="center"/>
    </xf>
    <xf numFmtId="0" fontId="4" fillId="0" borderId="105" xfId="0" applyFont="1" applyBorder="1" applyAlignment="1">
      <alignment horizontal="center" vertical="center"/>
    </xf>
    <xf numFmtId="166" fontId="0" fillId="16" borderId="55" xfId="0" applyNumberFormat="1" applyFill="1" applyBorder="1" applyAlignment="1" applyProtection="1">
      <alignment horizontal="center" vertical="center"/>
      <protection locked="0"/>
    </xf>
    <xf numFmtId="0" fontId="3"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167" xfId="0" applyFont="1" applyBorder="1" applyAlignment="1">
      <alignment horizontal="center" vertical="center"/>
    </xf>
    <xf numFmtId="166" fontId="4" fillId="0" borderId="124" xfId="0" applyNumberFormat="1" applyFont="1" applyBorder="1" applyAlignment="1">
      <alignment horizontal="center" vertical="center" wrapText="1"/>
    </xf>
    <xf numFmtId="0" fontId="0" fillId="0" borderId="110" xfId="0" applyBorder="1" applyAlignment="1">
      <alignment horizontal="center" vertical="center" wrapText="1"/>
    </xf>
    <xf numFmtId="166" fontId="0" fillId="16" borderId="148" xfId="0" applyNumberFormat="1" applyFill="1" applyBorder="1" applyAlignment="1" applyProtection="1">
      <alignment horizontal="center" vertical="center"/>
      <protection locked="0"/>
    </xf>
    <xf numFmtId="166" fontId="0" fillId="16" borderId="149" xfId="0" applyNumberFormat="1" applyFill="1" applyBorder="1" applyAlignment="1" applyProtection="1">
      <alignment horizontal="center" vertical="center"/>
      <protection locked="0"/>
    </xf>
    <xf numFmtId="0" fontId="4" fillId="0" borderId="121" xfId="0" applyFont="1" applyBorder="1" applyAlignment="1">
      <alignment horizontal="center" vertical="center"/>
    </xf>
    <xf numFmtId="0" fontId="4" fillId="0" borderId="123" xfId="0" applyFont="1" applyBorder="1" applyAlignment="1">
      <alignment horizontal="center" vertical="center"/>
    </xf>
    <xf numFmtId="0" fontId="4" fillId="0" borderId="110" xfId="0" applyFont="1" applyBorder="1" applyAlignment="1">
      <alignment horizontal="center" vertical="center"/>
    </xf>
    <xf numFmtId="0" fontId="4" fillId="15" borderId="6" xfId="0" applyFont="1" applyFill="1" applyBorder="1" applyAlignment="1">
      <alignment horizontal="center"/>
    </xf>
    <xf numFmtId="0" fontId="4" fillId="15" borderId="4" xfId="0" applyFont="1" applyFill="1" applyBorder="1" applyAlignment="1">
      <alignment horizontal="center"/>
    </xf>
    <xf numFmtId="0" fontId="4" fillId="20" borderId="131" xfId="0" applyFont="1" applyFill="1" applyBorder="1" applyAlignment="1">
      <alignment horizontal="center" vertical="center"/>
    </xf>
    <xf numFmtId="0" fontId="4" fillId="20" borderId="74" xfId="0" applyFont="1" applyFill="1" applyBorder="1" applyAlignment="1">
      <alignment horizontal="center" vertical="center"/>
    </xf>
    <xf numFmtId="0" fontId="3" fillId="0" borderId="164" xfId="0" applyFont="1" applyBorder="1" applyAlignment="1">
      <alignment horizontal="center"/>
    </xf>
    <xf numFmtId="0" fontId="3" fillId="0" borderId="84" xfId="0" applyFont="1" applyBorder="1" applyAlignment="1">
      <alignment horizontal="center"/>
    </xf>
    <xf numFmtId="0" fontId="12" fillId="0" borderId="120"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4" fillId="0" borderId="124" xfId="0" applyFont="1" applyBorder="1" applyAlignment="1">
      <alignment horizontal="center" vertical="center" wrapText="1"/>
    </xf>
    <xf numFmtId="0" fontId="14" fillId="0" borderId="125" xfId="0" applyFont="1" applyBorder="1" applyAlignment="1">
      <alignment horizontal="center" vertical="center" wrapText="1"/>
    </xf>
    <xf numFmtId="0" fontId="4" fillId="0" borderId="124" xfId="0" applyFont="1" applyBorder="1" applyAlignment="1">
      <alignment horizontal="center" vertical="center"/>
    </xf>
    <xf numFmtId="0" fontId="4" fillId="0" borderId="125" xfId="0" applyFont="1" applyBorder="1" applyAlignment="1">
      <alignment horizontal="center" vertical="center"/>
    </xf>
    <xf numFmtId="0" fontId="3" fillId="0" borderId="122" xfId="0" applyFont="1" applyBorder="1" applyAlignment="1">
      <alignment horizontal="center" vertical="center"/>
    </xf>
    <xf numFmtId="0" fontId="3" fillId="0" borderId="91" xfId="0" applyFont="1" applyBorder="1" applyAlignment="1">
      <alignment horizontal="center" vertical="center"/>
    </xf>
    <xf numFmtId="0" fontId="4" fillId="0" borderId="129" xfId="0" applyFont="1" applyBorder="1" applyAlignment="1">
      <alignment horizontal="center" vertical="center"/>
    </xf>
    <xf numFmtId="0" fontId="4" fillId="0" borderId="4" xfId="0" applyFont="1" applyBorder="1" applyAlignment="1">
      <alignment horizontal="center" vertical="center"/>
    </xf>
    <xf numFmtId="0" fontId="3" fillId="0" borderId="79" xfId="0" applyFont="1" applyBorder="1" applyAlignment="1">
      <alignment horizontal="center" vertical="center"/>
    </xf>
    <xf numFmtId="0" fontId="0" fillId="0" borderId="80" xfId="0" applyBorder="1" applyAlignment="1">
      <alignment horizontal="center" vertical="center"/>
    </xf>
    <xf numFmtId="0" fontId="0" fillId="0" borderId="83" xfId="0" applyBorder="1" applyAlignment="1">
      <alignment horizontal="center" vertical="center"/>
    </xf>
    <xf numFmtId="0" fontId="4" fillId="0" borderId="126" xfId="0" applyFont="1" applyBorder="1" applyAlignment="1">
      <alignment horizontal="center" vertical="center"/>
    </xf>
    <xf numFmtId="0" fontId="4" fillId="0" borderId="127" xfId="0" applyFont="1"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0" fontId="17" fillId="0" borderId="133" xfId="0" applyFont="1" applyBorder="1" applyAlignment="1">
      <alignment horizontal="center" vertical="center"/>
    </xf>
    <xf numFmtId="0" fontId="17" fillId="0" borderId="134" xfId="0" applyFont="1" applyBorder="1" applyAlignment="1">
      <alignment horizontal="center" vertical="center"/>
    </xf>
    <xf numFmtId="0" fontId="17" fillId="0" borderId="135" xfId="0" applyFont="1" applyBorder="1" applyAlignment="1">
      <alignment horizontal="center" vertical="center"/>
    </xf>
    <xf numFmtId="0" fontId="4" fillId="0" borderId="1"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0" fontId="0" fillId="0" borderId="14" xfId="0" applyBorder="1" applyAlignment="1">
      <alignment horizontal="center" vertical="center"/>
    </xf>
    <xf numFmtId="0" fontId="0" fillId="0" borderId="86" xfId="0" applyBorder="1" applyAlignment="1">
      <alignment horizontal="center" vertical="center"/>
    </xf>
    <xf numFmtId="0" fontId="0" fillId="0" borderId="15" xfId="0" applyBorder="1" applyAlignment="1">
      <alignment horizontal="center" vertical="center"/>
    </xf>
    <xf numFmtId="0" fontId="0" fillId="0" borderId="84" xfId="0" applyBorder="1" applyAlignment="1">
      <alignment horizontal="center" vertical="center"/>
    </xf>
    <xf numFmtId="0" fontId="0" fillId="0" borderId="0" xfId="0" applyAlignment="1">
      <alignment horizontal="center" vertical="center"/>
    </xf>
    <xf numFmtId="0" fontId="0" fillId="0" borderId="100" xfId="0" applyBorder="1" applyAlignment="1">
      <alignment horizontal="center" vertical="center"/>
    </xf>
    <xf numFmtId="0" fontId="0" fillId="0" borderId="140"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85" xfId="0" applyBorder="1" applyAlignment="1">
      <alignment horizontal="center" vertical="center"/>
    </xf>
    <xf numFmtId="0" fontId="4" fillId="20" borderId="129" xfId="0" applyFont="1" applyFill="1" applyBorder="1" applyAlignment="1">
      <alignment horizontal="center" vertical="center"/>
    </xf>
    <xf numFmtId="0" fontId="4" fillId="20" borderId="4" xfId="0" applyFont="1" applyFill="1" applyBorder="1" applyAlignment="1">
      <alignment horizontal="center" vertical="center"/>
    </xf>
    <xf numFmtId="0" fontId="0" fillId="0" borderId="129" xfId="0"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xf>
    <xf numFmtId="0" fontId="4" fillId="0" borderId="13" xfId="0" applyFont="1" applyBorder="1" applyAlignment="1">
      <alignment horizontal="center"/>
    </xf>
    <xf numFmtId="0" fontId="4" fillId="0" borderId="5" xfId="0" applyFont="1" applyBorder="1" applyAlignment="1">
      <alignment horizontal="center"/>
    </xf>
    <xf numFmtId="0" fontId="3" fillId="0" borderId="157" xfId="0" applyFont="1" applyBorder="1" applyAlignment="1">
      <alignment horizontal="center" vertical="center" wrapText="1"/>
    </xf>
    <xf numFmtId="0" fontId="3" fillId="0" borderId="158" xfId="0" applyFont="1" applyBorder="1" applyAlignment="1">
      <alignment horizontal="center" vertical="center" wrapText="1"/>
    </xf>
    <xf numFmtId="0" fontId="3" fillId="0" borderId="22" xfId="0" applyFont="1" applyBorder="1" applyAlignment="1">
      <alignment horizontal="center" wrapText="1"/>
    </xf>
    <xf numFmtId="0" fontId="3" fillId="0" borderId="163" xfId="0" applyFont="1" applyBorder="1" applyAlignment="1">
      <alignment horizontal="center"/>
    </xf>
    <xf numFmtId="0" fontId="3" fillId="0" borderId="110" xfId="0" applyFont="1" applyBorder="1" applyAlignment="1">
      <alignment horizontal="center"/>
    </xf>
    <xf numFmtId="0" fontId="3" fillId="0" borderId="35" xfId="0" applyFont="1" applyBorder="1" applyAlignment="1">
      <alignment horizontal="center"/>
    </xf>
    <xf numFmtId="0" fontId="10" fillId="0" borderId="12" xfId="2" applyBorder="1" applyAlignment="1" applyProtection="1">
      <alignment horizontal="center"/>
    </xf>
    <xf numFmtId="0" fontId="10" fillId="0" borderId="7" xfId="2" applyBorder="1" applyAlignment="1" applyProtection="1">
      <alignment horizontal="center"/>
    </xf>
    <xf numFmtId="0" fontId="10" fillId="0" borderId="8" xfId="2" applyBorder="1" applyAlignment="1" applyProtection="1">
      <alignment horizontal="center"/>
    </xf>
    <xf numFmtId="0" fontId="0" fillId="0" borderId="170" xfId="0" applyBorder="1" applyAlignment="1">
      <alignment horizontal="center" vertical="center" wrapText="1"/>
    </xf>
    <xf numFmtId="0" fontId="0" fillId="0" borderId="171" xfId="0" applyBorder="1" applyAlignment="1">
      <alignment horizontal="center" vertical="center" wrapText="1"/>
    </xf>
    <xf numFmtId="0" fontId="4" fillId="0" borderId="170" xfId="0" applyFont="1" applyBorder="1" applyAlignment="1">
      <alignment horizontal="center" vertical="center" wrapText="1"/>
    </xf>
    <xf numFmtId="0" fontId="4" fillId="0" borderId="171"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0" borderId="133" xfId="0" applyFont="1" applyBorder="1" applyAlignment="1">
      <alignment horizontal="center" vertical="center"/>
    </xf>
    <xf numFmtId="0" fontId="3" fillId="0" borderId="134" xfId="0" applyFont="1" applyBorder="1" applyAlignment="1">
      <alignment horizontal="center" vertical="center"/>
    </xf>
    <xf numFmtId="0" fontId="3" fillId="0" borderId="135" xfId="0" applyFont="1" applyBorder="1" applyAlignment="1">
      <alignment horizontal="center" vertical="center"/>
    </xf>
    <xf numFmtId="2" fontId="0" fillId="0" borderId="138" xfId="0" applyNumberFormat="1" applyBorder="1" applyAlignment="1">
      <alignment horizontal="center" vertical="center"/>
    </xf>
    <xf numFmtId="2" fontId="0" fillId="0" borderId="108" xfId="0" applyNumberFormat="1" applyBorder="1" applyAlignment="1">
      <alignment horizontal="center" vertical="center"/>
    </xf>
    <xf numFmtId="2" fontId="0" fillId="0" borderId="26" xfId="0" applyNumberFormat="1" applyBorder="1" applyAlignment="1">
      <alignment horizontal="center" vertical="center"/>
    </xf>
    <xf numFmtId="2" fontId="0" fillId="0" borderId="132" xfId="0" applyNumberFormat="1" applyBorder="1" applyAlignment="1">
      <alignment horizontal="center" vertical="center"/>
    </xf>
    <xf numFmtId="0" fontId="12" fillId="0" borderId="0" xfId="0" applyFont="1" applyAlignment="1">
      <alignment horizontal="center" shrinkToFit="1"/>
    </xf>
    <xf numFmtId="0" fontId="0" fillId="0" borderId="99" xfId="0" applyBorder="1" applyAlignment="1">
      <alignment horizontal="center" vertical="center"/>
    </xf>
    <xf numFmtId="0" fontId="0" fillId="0" borderId="108" xfId="0" applyBorder="1" applyAlignment="1">
      <alignment horizontal="center" vertical="center"/>
    </xf>
    <xf numFmtId="0" fontId="15" fillId="0" borderId="160" xfId="0" applyFont="1" applyBorder="1" applyAlignment="1">
      <alignment horizontal="center" vertical="center" textRotation="90" wrapText="1"/>
    </xf>
    <xf numFmtId="0" fontId="15" fillId="0" borderId="91" xfId="0" applyFont="1" applyBorder="1" applyAlignment="1">
      <alignment horizontal="center" vertical="center" textRotation="90" wrapText="1"/>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15" fillId="0" borderId="115" xfId="0" applyFont="1" applyBorder="1" applyAlignment="1">
      <alignment horizontal="center" vertical="center" textRotation="90" wrapText="1"/>
    </xf>
    <xf numFmtId="0" fontId="15" fillId="0" borderId="76" xfId="0" applyFont="1" applyBorder="1" applyAlignment="1">
      <alignment horizontal="center" vertical="center" textRotation="90" wrapText="1"/>
    </xf>
    <xf numFmtId="10" fontId="15" fillId="0" borderId="2" xfId="0" applyNumberFormat="1" applyFont="1" applyBorder="1" applyAlignment="1">
      <alignment horizontal="center" vertical="center" textRotation="90" wrapText="1"/>
    </xf>
    <xf numFmtId="0" fontId="47" fillId="0" borderId="186" xfId="0" applyFont="1" applyBorder="1" applyAlignment="1">
      <alignment horizontal="center" vertical="center" textRotation="90" wrapText="1"/>
    </xf>
    <xf numFmtId="0" fontId="50" fillId="0" borderId="111" xfId="0" applyFont="1" applyBorder="1" applyAlignment="1">
      <alignment horizontal="center"/>
    </xf>
    <xf numFmtId="0" fontId="50" fillId="0" borderId="112" xfId="0" applyFont="1" applyBorder="1" applyAlignment="1">
      <alignment horizontal="center"/>
    </xf>
    <xf numFmtId="0" fontId="50" fillId="0" borderId="113" xfId="0" applyFont="1" applyBorder="1" applyAlignment="1">
      <alignment horizontal="center"/>
    </xf>
    <xf numFmtId="0" fontId="50" fillId="0" borderId="114" xfId="0" applyFont="1" applyBorder="1" applyAlignment="1">
      <alignment horizontal="center" vertical="center" wrapText="1"/>
    </xf>
    <xf numFmtId="0" fontId="50" fillId="0" borderId="75" xfId="0" applyFont="1" applyBorder="1" applyAlignment="1">
      <alignment horizontal="center" vertical="center" wrapText="1"/>
    </xf>
    <xf numFmtId="0" fontId="50" fillId="0" borderId="87" xfId="0" applyFont="1" applyBorder="1" applyAlignment="1">
      <alignment horizontal="center" vertical="center" wrapText="1"/>
    </xf>
    <xf numFmtId="0" fontId="15" fillId="0" borderId="89" xfId="0" applyFont="1" applyBorder="1" applyAlignment="1">
      <alignment horizontal="center" vertical="center" textRotation="90" wrapText="1"/>
    </xf>
    <xf numFmtId="0" fontId="15" fillId="0" borderId="119" xfId="0" applyFont="1" applyBorder="1" applyAlignment="1">
      <alignment horizontal="center" vertical="center" textRotation="90" wrapText="1"/>
    </xf>
    <xf numFmtId="0" fontId="15" fillId="0" borderId="2" xfId="0" applyFont="1" applyBorder="1" applyAlignment="1">
      <alignment horizontal="center" vertical="center" textRotation="90" wrapText="1"/>
    </xf>
    <xf numFmtId="0" fontId="50" fillId="0" borderId="116" xfId="0" applyFont="1" applyBorder="1" applyAlignment="1">
      <alignment horizontal="center" vertical="center"/>
    </xf>
    <xf numFmtId="0" fontId="50" fillId="0" borderId="117" xfId="0" applyFont="1" applyBorder="1" applyAlignment="1">
      <alignment horizontal="center" vertical="center"/>
    </xf>
    <xf numFmtId="0" fontId="50" fillId="0" borderId="118" xfId="0" applyFont="1" applyBorder="1" applyAlignment="1">
      <alignment horizontal="center" vertical="center"/>
    </xf>
    <xf numFmtId="0" fontId="50" fillId="0" borderId="32" xfId="0" applyFont="1" applyBorder="1" applyAlignment="1">
      <alignment horizontal="center" vertical="center"/>
    </xf>
    <xf numFmtId="0" fontId="50" fillId="0" borderId="0" xfId="0" applyFont="1" applyAlignment="1">
      <alignment horizontal="center" vertical="center"/>
    </xf>
    <xf numFmtId="0" fontId="50" fillId="0" borderId="109" xfId="0" applyFont="1" applyBorder="1" applyAlignment="1">
      <alignment horizontal="center" vertical="center"/>
    </xf>
    <xf numFmtId="0" fontId="15" fillId="0" borderId="162" xfId="0" applyFont="1" applyBorder="1" applyAlignment="1">
      <alignment horizontal="center" vertical="center" wrapText="1"/>
    </xf>
    <xf numFmtId="0" fontId="15" fillId="0" borderId="88" xfId="0" applyFont="1" applyBorder="1" applyAlignment="1">
      <alignment horizontal="center" vertical="center" wrapText="1"/>
    </xf>
    <xf numFmtId="0" fontId="3" fillId="0" borderId="179" xfId="0" applyFont="1" applyBorder="1" applyAlignment="1">
      <alignment horizontal="center"/>
    </xf>
    <xf numFmtId="0" fontId="47" fillId="0" borderId="15" xfId="0" applyFont="1" applyBorder="1" applyAlignment="1">
      <alignment horizontal="center" vertical="center" wrapText="1"/>
    </xf>
    <xf numFmtId="0" fontId="47" fillId="0" borderId="11" xfId="0" applyFont="1" applyBorder="1" applyAlignment="1">
      <alignment horizontal="center" vertical="center" wrapText="1"/>
    </xf>
    <xf numFmtId="0" fontId="15" fillId="0" borderId="162" xfId="0" applyFont="1" applyBorder="1" applyAlignment="1">
      <alignment horizontal="center" vertical="center" textRotation="90" wrapText="1"/>
    </xf>
    <xf numFmtId="0" fontId="47" fillId="0" borderId="2" xfId="0" applyFont="1" applyBorder="1" applyAlignment="1">
      <alignment horizontal="center" vertical="center" textRotation="90" wrapText="1"/>
    </xf>
    <xf numFmtId="9" fontId="15" fillId="0" borderId="2" xfId="1" applyFont="1" applyBorder="1" applyAlignment="1">
      <alignment horizontal="center" vertical="center" textRotation="90" wrapText="1"/>
    </xf>
    <xf numFmtId="0" fontId="15" fillId="0" borderId="162" xfId="0" applyFont="1" applyBorder="1" applyAlignment="1">
      <alignment horizontal="center" vertical="center" textRotation="90" shrinkToFit="1"/>
    </xf>
    <xf numFmtId="0" fontId="15" fillId="0" borderId="92" xfId="0" applyFont="1" applyBorder="1" applyAlignment="1">
      <alignment horizontal="center" vertical="center" textRotation="90" wrapText="1"/>
    </xf>
    <xf numFmtId="0" fontId="15" fillId="0" borderId="137"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xf>
    <xf numFmtId="0" fontId="3" fillId="0" borderId="0" xfId="0" applyFont="1" applyAlignment="1">
      <alignment horizontal="center"/>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0" fontId="48" fillId="0" borderId="1" xfId="0" applyFont="1" applyBorder="1" applyAlignment="1">
      <alignment horizontal="center" vertical="center"/>
    </xf>
    <xf numFmtId="0" fontId="4" fillId="7" borderId="1" xfId="0" applyFont="1" applyFill="1" applyBorder="1" applyAlignment="1">
      <alignment horizontal="center" shrinkToFit="1"/>
    </xf>
    <xf numFmtId="0" fontId="48" fillId="0" borderId="6"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20" fillId="0" borderId="1" xfId="0" applyFont="1" applyBorder="1" applyAlignment="1">
      <alignment horizontal="center"/>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20" fillId="0" borderId="6" xfId="0" applyFont="1" applyBorder="1" applyAlignment="1">
      <alignment horizontal="center"/>
    </xf>
    <xf numFmtId="0" fontId="20" fillId="0" borderId="3" xfId="0" applyFont="1" applyBorder="1" applyAlignment="1">
      <alignment horizontal="center"/>
    </xf>
    <xf numFmtId="0" fontId="20" fillId="0" borderId="4" xfId="0" applyFont="1" applyBorder="1" applyAlignment="1">
      <alignment horizontal="center"/>
    </xf>
    <xf numFmtId="0" fontId="3" fillId="0" borderId="1" xfId="0" applyFont="1" applyBorder="1" applyAlignment="1">
      <alignment horizontal="center"/>
    </xf>
    <xf numFmtId="0" fontId="3" fillId="0" borderId="9" xfId="0" applyFont="1" applyBorder="1" applyAlignment="1">
      <alignment horizontal="center"/>
    </xf>
    <xf numFmtId="0" fontId="25" fillId="10" borderId="11" xfId="0" applyFont="1" applyFill="1" applyBorder="1" applyAlignment="1">
      <alignment horizontal="left" vertical="top" wrapText="1"/>
    </xf>
    <xf numFmtId="0" fontId="16" fillId="0" borderId="0" xfId="0" applyFont="1" applyAlignment="1">
      <alignment horizontal="center"/>
    </xf>
    <xf numFmtId="0" fontId="0" fillId="9" borderId="0" xfId="0" applyFill="1" applyAlignment="1">
      <alignment horizontal="left"/>
    </xf>
    <xf numFmtId="0" fontId="19" fillId="9" borderId="35" xfId="0" applyFont="1" applyFill="1" applyBorder="1" applyAlignment="1">
      <alignment horizontal="center" vertical="center"/>
    </xf>
    <xf numFmtId="0" fontId="4" fillId="9" borderId="0" xfId="0" applyFont="1" applyFill="1" applyAlignment="1">
      <alignment horizontal="left"/>
    </xf>
    <xf numFmtId="0" fontId="22" fillId="9" borderId="0" xfId="0" applyFont="1" applyFill="1" applyAlignment="1">
      <alignment horizontal="left" vertical="top" wrapText="1"/>
    </xf>
    <xf numFmtId="0" fontId="22" fillId="9" borderId="35" xfId="0" applyFont="1" applyFill="1" applyBorder="1" applyAlignment="1">
      <alignment horizontal="left" vertical="top" wrapText="1"/>
    </xf>
    <xf numFmtId="0" fontId="22" fillId="9" borderId="37" xfId="0" applyFont="1" applyFill="1" applyBorder="1" applyAlignment="1">
      <alignment horizontal="left" vertical="top" wrapText="1"/>
    </xf>
    <xf numFmtId="0" fontId="22" fillId="9" borderId="38" xfId="0" applyFont="1" applyFill="1" applyBorder="1" applyAlignment="1">
      <alignment horizontal="left" vertical="top" wrapText="1"/>
    </xf>
    <xf numFmtId="2" fontId="3" fillId="9" borderId="55" xfId="0" applyNumberFormat="1" applyFont="1" applyFill="1" applyBorder="1" applyAlignment="1">
      <alignment horizontal="center" vertical="center"/>
    </xf>
    <xf numFmtId="0" fontId="0" fillId="0" borderId="56" xfId="0" applyBorder="1"/>
    <xf numFmtId="0" fontId="24" fillId="10" borderId="0" xfId="0" applyFont="1" applyFill="1" applyAlignment="1">
      <alignment horizontal="left" vertical="center" wrapText="1" indent="4"/>
    </xf>
    <xf numFmtId="0" fontId="24" fillId="0" borderId="0" xfId="0" applyFont="1" applyAlignment="1">
      <alignment horizontal="left" vertical="center" wrapText="1" indent="4"/>
    </xf>
    <xf numFmtId="0" fontId="24" fillId="0" borderId="35" xfId="0" applyFont="1" applyBorder="1" applyAlignment="1">
      <alignment horizontal="left" vertical="center" wrapText="1" indent="4"/>
    </xf>
    <xf numFmtId="0" fontId="24" fillId="0" borderId="37" xfId="0" applyFont="1" applyBorder="1" applyAlignment="1">
      <alignment horizontal="left" vertical="center" wrapText="1" indent="4"/>
    </xf>
    <xf numFmtId="0" fontId="24" fillId="0" borderId="38" xfId="0" applyFont="1" applyBorder="1" applyAlignment="1">
      <alignment horizontal="left" vertical="center" wrapText="1" indent="4"/>
    </xf>
    <xf numFmtId="0" fontId="22" fillId="11" borderId="32" xfId="0" applyFont="1" applyFill="1" applyBorder="1" applyAlignment="1">
      <alignment horizontal="left" vertical="top" wrapText="1" indent="3"/>
    </xf>
    <xf numFmtId="0" fontId="22" fillId="11" borderId="33" xfId="0" applyFont="1" applyFill="1" applyBorder="1" applyAlignment="1">
      <alignment horizontal="left" vertical="top" wrapText="1" indent="3"/>
    </xf>
    <xf numFmtId="0" fontId="22" fillId="11" borderId="0" xfId="0" applyFont="1" applyFill="1" applyAlignment="1">
      <alignment horizontal="left" vertical="top" wrapText="1" indent="3"/>
    </xf>
    <xf numFmtId="0" fontId="22" fillId="11" borderId="35" xfId="0" applyFont="1" applyFill="1" applyBorder="1" applyAlignment="1">
      <alignment horizontal="left" vertical="top" wrapText="1" indent="3"/>
    </xf>
    <xf numFmtId="0" fontId="4" fillId="11" borderId="0" xfId="0" applyFont="1" applyFill="1" applyAlignment="1">
      <alignment horizontal="center" wrapText="1"/>
    </xf>
    <xf numFmtId="0" fontId="4" fillId="11" borderId="46" xfId="0" applyFont="1" applyFill="1" applyBorder="1" applyAlignment="1">
      <alignment horizontal="center" wrapText="1"/>
    </xf>
    <xf numFmtId="0" fontId="0" fillId="11" borderId="0" xfId="0" applyFill="1" applyAlignment="1">
      <alignment horizontal="center" wrapText="1"/>
    </xf>
    <xf numFmtId="0" fontId="0" fillId="11" borderId="0" xfId="0" applyFill="1" applyAlignment="1">
      <alignment horizontal="center"/>
    </xf>
    <xf numFmtId="0" fontId="0" fillId="11" borderId="46" xfId="0" applyFill="1" applyBorder="1" applyAlignment="1">
      <alignment horizontal="center"/>
    </xf>
    <xf numFmtId="0" fontId="27" fillId="11" borderId="0" xfId="0" applyFont="1" applyFill="1" applyAlignment="1">
      <alignment horizontal="center" wrapText="1"/>
    </xf>
    <xf numFmtId="0" fontId="27" fillId="11" borderId="26" xfId="0" applyFont="1" applyFill="1" applyBorder="1" applyAlignment="1">
      <alignment horizontal="center" wrapText="1"/>
    </xf>
    <xf numFmtId="0" fontId="12" fillId="11" borderId="0" xfId="0" applyFont="1" applyFill="1" applyAlignment="1">
      <alignment horizontal="center" wrapText="1"/>
    </xf>
    <xf numFmtId="0" fontId="12" fillId="11" borderId="47" xfId="0" applyFont="1" applyFill="1" applyBorder="1" applyAlignment="1">
      <alignment horizontal="center" wrapText="1"/>
    </xf>
    <xf numFmtId="0" fontId="0" fillId="0" borderId="0" xfId="0" applyAlignment="1">
      <alignment horizontal="left" wrapText="1" indent="3"/>
    </xf>
    <xf numFmtId="0" fontId="0" fillId="0" borderId="35" xfId="0" applyBorder="1" applyAlignment="1">
      <alignment horizontal="left" wrapText="1" indent="3"/>
    </xf>
    <xf numFmtId="0" fontId="0" fillId="0" borderId="37" xfId="0" applyBorder="1" applyAlignment="1">
      <alignment horizontal="left" wrapText="1" indent="3"/>
    </xf>
    <xf numFmtId="0" fontId="0" fillId="0" borderId="38" xfId="0" applyBorder="1" applyAlignment="1">
      <alignment horizontal="left" wrapText="1" indent="3"/>
    </xf>
    <xf numFmtId="166" fontId="22" fillId="2" borderId="32" xfId="0" applyNumberFormat="1" applyFont="1" applyFill="1" applyBorder="1" applyAlignment="1">
      <alignment horizontal="left" vertical="center" wrapText="1"/>
    </xf>
    <xf numFmtId="166" fontId="22" fillId="2" borderId="33" xfId="0" applyNumberFormat="1" applyFont="1" applyFill="1" applyBorder="1" applyAlignment="1">
      <alignment horizontal="left" vertical="center" wrapText="1"/>
    </xf>
    <xf numFmtId="166" fontId="22" fillId="2" borderId="0" xfId="0" applyNumberFormat="1" applyFont="1" applyFill="1" applyAlignment="1">
      <alignment horizontal="left" vertical="center" wrapText="1"/>
    </xf>
    <xf numFmtId="166" fontId="22" fillId="2" borderId="35" xfId="0" applyNumberFormat="1" applyFont="1" applyFill="1" applyBorder="1" applyAlignment="1">
      <alignment horizontal="left" vertical="center" wrapText="1"/>
    </xf>
    <xf numFmtId="0" fontId="0" fillId="9" borderId="0" xfId="0" applyFill="1" applyAlignment="1">
      <alignment horizontal="center"/>
    </xf>
    <xf numFmtId="0" fontId="4" fillId="9" borderId="47" xfId="0" applyFont="1" applyFill="1" applyBorder="1" applyAlignment="1">
      <alignment horizontal="center"/>
    </xf>
    <xf numFmtId="2" fontId="4" fillId="9" borderId="53" xfId="0" applyNumberFormat="1" applyFont="1" applyFill="1" applyBorder="1" applyAlignment="1">
      <alignment horizontal="center" vertical="center"/>
    </xf>
    <xf numFmtId="0" fontId="0" fillId="0" borderId="54" xfId="0" applyBorder="1"/>
    <xf numFmtId="0" fontId="36" fillId="0" borderId="0" xfId="5" applyAlignment="1" applyProtection="1">
      <alignment horizontal="left" vertical="top" wrapText="1"/>
    </xf>
    <xf numFmtId="0" fontId="36" fillId="0" borderId="0" xfId="5" applyAlignment="1" applyProtection="1"/>
    <xf numFmtId="0" fontId="12" fillId="9" borderId="59" xfId="0" applyFont="1" applyFill="1" applyBorder="1" applyAlignment="1">
      <alignment horizontal="center" vertical="center"/>
    </xf>
    <xf numFmtId="0" fontId="0" fillId="0" borderId="60" xfId="0" applyBorder="1"/>
    <xf numFmtId="0" fontId="22" fillId="9" borderId="0" xfId="0" applyFont="1" applyFill="1" applyAlignment="1">
      <alignment horizontal="left" vertical="center" wrapText="1" indent="10"/>
    </xf>
    <xf numFmtId="0" fontId="22" fillId="9" borderId="35" xfId="0" applyFont="1" applyFill="1" applyBorder="1" applyAlignment="1">
      <alignment horizontal="left" vertical="center" wrapText="1" indent="10"/>
    </xf>
    <xf numFmtId="0" fontId="22" fillId="9" borderId="37" xfId="0" applyFont="1" applyFill="1" applyBorder="1" applyAlignment="1">
      <alignment horizontal="center" vertical="center" wrapText="1"/>
    </xf>
    <xf numFmtId="0" fontId="0" fillId="0" borderId="37" xfId="0" applyBorder="1" applyAlignment="1">
      <alignment horizontal="center"/>
    </xf>
    <xf numFmtId="0" fontId="0" fillId="0" borderId="38" xfId="0" applyBorder="1" applyAlignment="1">
      <alignment horizontal="center"/>
    </xf>
    <xf numFmtId="0" fontId="12" fillId="12" borderId="0" xfId="0" applyFont="1" applyFill="1" applyAlignment="1">
      <alignment horizontal="left" vertical="center" wrapText="1"/>
    </xf>
    <xf numFmtId="0" fontId="17" fillId="0" borderId="0" xfId="0" applyFont="1" applyAlignment="1">
      <alignment horizontal="left" wrapText="1"/>
    </xf>
    <xf numFmtId="0" fontId="4" fillId="0" borderId="0" xfId="0" applyFont="1" applyAlignment="1">
      <alignment horizontal="left" vertical="top" wrapText="1"/>
    </xf>
    <xf numFmtId="0" fontId="25" fillId="10" borderId="11" xfId="3" applyFont="1" applyFill="1" applyBorder="1" applyAlignment="1">
      <alignment horizontal="left" vertical="top" wrapText="1"/>
    </xf>
    <xf numFmtId="0" fontId="16" fillId="0" borderId="0" xfId="3" applyFont="1" applyAlignment="1">
      <alignment horizontal="center"/>
    </xf>
    <xf numFmtId="0" fontId="4" fillId="9" borderId="0" xfId="3" applyFill="1" applyAlignment="1">
      <alignment horizontal="left"/>
    </xf>
    <xf numFmtId="0" fontId="19" fillId="9" borderId="35" xfId="3" applyFont="1" applyFill="1" applyBorder="1" applyAlignment="1">
      <alignment horizontal="center" vertical="center"/>
    </xf>
    <xf numFmtId="0" fontId="22" fillId="9" borderId="0" xfId="3" applyFont="1" applyFill="1" applyAlignment="1">
      <alignment horizontal="left" vertical="top" wrapText="1"/>
    </xf>
    <xf numFmtId="0" fontId="22" fillId="9" borderId="35" xfId="3" applyFont="1" applyFill="1" applyBorder="1" applyAlignment="1">
      <alignment horizontal="left" vertical="top" wrapText="1"/>
    </xf>
    <xf numFmtId="0" fontId="22" fillId="9" borderId="37" xfId="3" applyFont="1" applyFill="1" applyBorder="1" applyAlignment="1">
      <alignment horizontal="left" vertical="top" wrapText="1"/>
    </xf>
    <xf numFmtId="0" fontId="22" fillId="9" borderId="38" xfId="3" applyFont="1" applyFill="1" applyBorder="1" applyAlignment="1">
      <alignment horizontal="left" vertical="top" wrapText="1"/>
    </xf>
    <xf numFmtId="2" fontId="3" fillId="9" borderId="55" xfId="3" applyNumberFormat="1" applyFont="1" applyFill="1" applyBorder="1" applyAlignment="1">
      <alignment horizontal="center" vertical="center"/>
    </xf>
    <xf numFmtId="0" fontId="4" fillId="0" borderId="56" xfId="3" applyBorder="1"/>
    <xf numFmtId="0" fontId="24" fillId="10" borderId="0" xfId="3" applyFont="1" applyFill="1" applyAlignment="1">
      <alignment horizontal="left" vertical="center" wrapText="1" indent="4"/>
    </xf>
    <xf numFmtId="0" fontId="24" fillId="0" borderId="0" xfId="3" applyFont="1" applyAlignment="1">
      <alignment horizontal="left" vertical="center" wrapText="1" indent="4"/>
    </xf>
    <xf numFmtId="0" fontId="24" fillId="0" borderId="35" xfId="3" applyFont="1" applyBorder="1" applyAlignment="1">
      <alignment horizontal="left" vertical="center" wrapText="1" indent="4"/>
    </xf>
    <xf numFmtId="0" fontId="24" fillId="0" borderId="37" xfId="3" applyFont="1" applyBorder="1" applyAlignment="1">
      <alignment horizontal="left" vertical="center" wrapText="1" indent="4"/>
    </xf>
    <xf numFmtId="0" fontId="24" fillId="0" borderId="38" xfId="3" applyFont="1" applyBorder="1" applyAlignment="1">
      <alignment horizontal="left" vertical="center" wrapText="1" indent="4"/>
    </xf>
    <xf numFmtId="0" fontId="22" fillId="11" borderId="32" xfId="3" applyFont="1" applyFill="1" applyBorder="1" applyAlignment="1">
      <alignment horizontal="left" vertical="top" wrapText="1" indent="3"/>
    </xf>
    <xf numFmtId="0" fontId="22" fillId="11" borderId="33" xfId="3" applyFont="1" applyFill="1" applyBorder="1" applyAlignment="1">
      <alignment horizontal="left" vertical="top" wrapText="1" indent="3"/>
    </xf>
    <xf numFmtId="0" fontId="22" fillId="11" borderId="0" xfId="3" applyFont="1" applyFill="1" applyAlignment="1">
      <alignment horizontal="left" vertical="top" wrapText="1" indent="3"/>
    </xf>
    <xf numFmtId="0" fontId="22" fillId="11" borderId="35" xfId="3" applyFont="1" applyFill="1" applyBorder="1" applyAlignment="1">
      <alignment horizontal="left" vertical="top" wrapText="1" indent="3"/>
    </xf>
    <xf numFmtId="0" fontId="4" fillId="11" borderId="0" xfId="3" applyFill="1" applyAlignment="1">
      <alignment horizontal="center" wrapText="1"/>
    </xf>
    <xf numFmtId="0" fontId="4" fillId="11" borderId="46" xfId="3" applyFill="1" applyBorder="1" applyAlignment="1">
      <alignment horizontal="center" wrapText="1"/>
    </xf>
    <xf numFmtId="0" fontId="4" fillId="11" borderId="0" xfId="3" applyFill="1" applyAlignment="1">
      <alignment horizontal="center"/>
    </xf>
    <xf numFmtId="0" fontId="4" fillId="11" borderId="46" xfId="3" applyFill="1" applyBorder="1" applyAlignment="1">
      <alignment horizontal="center"/>
    </xf>
    <xf numFmtId="0" fontId="27" fillId="11" borderId="0" xfId="3" applyFont="1" applyFill="1" applyAlignment="1">
      <alignment horizontal="center" wrapText="1"/>
    </xf>
    <xf numFmtId="0" fontId="27" fillId="11" borderId="26" xfId="3" applyFont="1" applyFill="1" applyBorder="1" applyAlignment="1">
      <alignment horizontal="center" wrapText="1"/>
    </xf>
    <xf numFmtId="0" fontId="12" fillId="11" borderId="0" xfId="3" applyFont="1" applyFill="1" applyAlignment="1">
      <alignment horizontal="center" wrapText="1"/>
    </xf>
    <xf numFmtId="0" fontId="12" fillId="11" borderId="47" xfId="3" applyFont="1" applyFill="1" applyBorder="1" applyAlignment="1">
      <alignment horizontal="center" wrapText="1"/>
    </xf>
    <xf numFmtId="0" fontId="4" fillId="0" borderId="0" xfId="3" applyAlignment="1">
      <alignment horizontal="left" wrapText="1" indent="3"/>
    </xf>
    <xf numFmtId="0" fontId="4" fillId="0" borderId="35" xfId="3" applyBorder="1" applyAlignment="1">
      <alignment horizontal="left" wrapText="1" indent="3"/>
    </xf>
    <xf numFmtId="0" fontId="4" fillId="0" borderId="37" xfId="3" applyBorder="1" applyAlignment="1">
      <alignment horizontal="left" wrapText="1" indent="3"/>
    </xf>
    <xf numFmtId="0" fontId="4" fillId="0" borderId="38" xfId="3" applyBorder="1" applyAlignment="1">
      <alignment horizontal="left" wrapText="1" indent="3"/>
    </xf>
    <xf numFmtId="166" fontId="22" fillId="2" borderId="32" xfId="3" applyNumberFormat="1" applyFont="1" applyFill="1" applyBorder="1" applyAlignment="1">
      <alignment horizontal="left" vertical="center" wrapText="1"/>
    </xf>
    <xf numFmtId="166" fontId="22" fillId="2" borderId="33" xfId="3" applyNumberFormat="1" applyFont="1" applyFill="1" applyBorder="1" applyAlignment="1">
      <alignment horizontal="left" vertical="center" wrapText="1"/>
    </xf>
    <xf numFmtId="166" fontId="22" fillId="2" borderId="0" xfId="3" applyNumberFormat="1" applyFont="1" applyFill="1" applyAlignment="1">
      <alignment horizontal="left" vertical="center" wrapText="1"/>
    </xf>
    <xf numFmtId="166" fontId="22" fillId="2" borderId="35" xfId="3" applyNumberFormat="1" applyFont="1" applyFill="1" applyBorder="1" applyAlignment="1">
      <alignment horizontal="left" vertical="center" wrapText="1"/>
    </xf>
    <xf numFmtId="0" fontId="4" fillId="9" borderId="0" xfId="3" applyFill="1" applyAlignment="1">
      <alignment horizontal="center"/>
    </xf>
    <xf numFmtId="0" fontId="4" fillId="9" borderId="47" xfId="3" applyFill="1" applyBorder="1" applyAlignment="1">
      <alignment horizontal="center"/>
    </xf>
    <xf numFmtId="2" fontId="4" fillId="9" borderId="53" xfId="3" applyNumberFormat="1" applyFill="1" applyBorder="1" applyAlignment="1">
      <alignment horizontal="center" vertical="center"/>
    </xf>
    <xf numFmtId="0" fontId="4" fillId="0" borderId="54" xfId="3" applyBorder="1"/>
    <xf numFmtId="0" fontId="12" fillId="9" borderId="59" xfId="3" applyFont="1" applyFill="1" applyBorder="1" applyAlignment="1">
      <alignment horizontal="center" vertical="center"/>
    </xf>
    <xf numFmtId="0" fontId="4" fillId="0" borderId="60" xfId="3" applyBorder="1"/>
    <xf numFmtId="0" fontId="22" fillId="9" borderId="0" xfId="3" applyFont="1" applyFill="1" applyAlignment="1">
      <alignment horizontal="left" vertical="center" wrapText="1" indent="10"/>
    </xf>
    <xf numFmtId="0" fontId="22" fillId="9" borderId="35" xfId="3" applyFont="1" applyFill="1" applyBorder="1" applyAlignment="1">
      <alignment horizontal="left" vertical="center" wrapText="1" indent="10"/>
    </xf>
    <xf numFmtId="0" fontId="22" fillId="9" borderId="37" xfId="3" applyFont="1" applyFill="1" applyBorder="1" applyAlignment="1">
      <alignment horizontal="center" vertical="center" wrapText="1"/>
    </xf>
    <xf numFmtId="0" fontId="4" fillId="0" borderId="37" xfId="3" applyBorder="1" applyAlignment="1">
      <alignment horizontal="center"/>
    </xf>
    <xf numFmtId="0" fontId="4" fillId="0" borderId="38" xfId="3" applyBorder="1" applyAlignment="1">
      <alignment horizontal="center"/>
    </xf>
    <xf numFmtId="0" fontId="12" fillId="12" borderId="0" xfId="3" applyFont="1" applyFill="1" applyAlignment="1">
      <alignment horizontal="left" vertical="center" wrapText="1"/>
    </xf>
    <xf numFmtId="0" fontId="17" fillId="0" borderId="0" xfId="3" applyFont="1" applyAlignment="1">
      <alignment horizontal="left" wrapText="1"/>
    </xf>
    <xf numFmtId="0" fontId="4" fillId="0" borderId="0" xfId="3"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4" fillId="0" borderId="1" xfId="0" applyFont="1" applyBorder="1" applyAlignment="1">
      <alignment horizont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4"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wrapText="1"/>
    </xf>
    <xf numFmtId="0" fontId="0" fillId="0" borderId="10" xfId="0" applyBorder="1" applyAlignment="1">
      <alignment horizontal="center" wrapText="1"/>
    </xf>
    <xf numFmtId="0" fontId="3" fillId="0" borderId="14" xfId="0" applyFont="1" applyBorder="1" applyAlignment="1">
      <alignment horizontal="center"/>
    </xf>
    <xf numFmtId="0" fontId="3" fillId="0" borderId="13" xfId="0" applyFont="1" applyBorder="1" applyAlignment="1">
      <alignment horizontal="center"/>
    </xf>
    <xf numFmtId="0" fontId="3" fillId="0" borderId="5" xfId="0" applyFont="1" applyBorder="1" applyAlignment="1">
      <alignment horizontal="center"/>
    </xf>
    <xf numFmtId="2" fontId="0" fillId="20" borderId="6" xfId="0" applyNumberFormat="1" applyFill="1" applyBorder="1" applyAlignment="1">
      <alignment horizontal="center" vertical="center"/>
    </xf>
    <xf numFmtId="2" fontId="0" fillId="20"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10" fillId="0" borderId="0" xfId="2" applyAlignment="1" applyProtection="1">
      <alignment horizontal="center"/>
    </xf>
    <xf numFmtId="0" fontId="14" fillId="0" borderId="22" xfId="0" applyFont="1" applyBorder="1" applyAlignment="1">
      <alignment horizontal="center" vertical="center" wrapText="1"/>
    </xf>
    <xf numFmtId="0" fontId="14" fillId="0" borderId="142" xfId="0" applyFont="1" applyBorder="1" applyAlignment="1">
      <alignment horizontal="center" vertical="center" wrapText="1"/>
    </xf>
    <xf numFmtId="0" fontId="14" fillId="0" borderId="110" xfId="0" applyFont="1" applyBorder="1" applyAlignment="1">
      <alignment horizontal="center" vertical="center" wrapText="1"/>
    </xf>
    <xf numFmtId="0" fontId="14" fillId="0" borderId="123" xfId="0" applyFont="1" applyBorder="1" applyAlignment="1">
      <alignment horizontal="center" vertical="center" wrapText="1"/>
    </xf>
    <xf numFmtId="0" fontId="14" fillId="0" borderId="28" xfId="0" applyFont="1" applyBorder="1" applyAlignment="1">
      <alignment horizontal="center" vertical="center" wrapText="1"/>
    </xf>
    <xf numFmtId="0" fontId="4" fillId="0" borderId="6"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173" fontId="4" fillId="6" borderId="1" xfId="0" applyNumberFormat="1" applyFont="1" applyFill="1" applyBorder="1" applyAlignment="1">
      <alignment horizontal="center" vertical="center"/>
    </xf>
    <xf numFmtId="173" fontId="4" fillId="6" borderId="19" xfId="0" applyNumberFormat="1" applyFont="1" applyFill="1" applyBorder="1" applyAlignment="1">
      <alignment horizontal="center" vertical="center"/>
    </xf>
    <xf numFmtId="173" fontId="4" fillId="6" borderId="21" xfId="0" applyNumberFormat="1" applyFont="1" applyFill="1" applyBorder="1" applyAlignment="1">
      <alignment horizontal="center" vertical="center"/>
    </xf>
    <xf numFmtId="173" fontId="4" fillId="6" borderId="90" xfId="0" applyNumberFormat="1" applyFont="1" applyFill="1" applyBorder="1" applyAlignment="1">
      <alignment horizontal="center" vertical="center"/>
    </xf>
  </cellXfs>
  <cellStyles count="9">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Normal 4" xfId="8" xr:uid="{5E1D4A25-6BFF-4373-BD1D-EC6E7A8DFED0}"/>
    <cellStyle name="Percent" xfId="1" builtinId="5"/>
    <cellStyle name="Percent 2" xfId="4" xr:uid="{00000000-0005-0000-0000-000032000000}"/>
  </cellStyles>
  <dxfs count="108">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99"/>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ont>
        <b/>
        <i val="0"/>
      </font>
      <fill>
        <patternFill>
          <bgColor rgb="FFFFFF00"/>
        </patternFill>
      </fill>
    </dxf>
    <dxf>
      <font>
        <b/>
        <i val="0"/>
      </font>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ont>
        <b/>
        <i val="0"/>
      </font>
      <fill>
        <patternFill>
          <bgColor rgb="FFFF0000"/>
        </patternFill>
      </fill>
    </dxf>
    <dxf>
      <font>
        <b val="0"/>
        <i val="0"/>
      </font>
      <fill>
        <patternFill>
          <bgColor rgb="FFFF0000"/>
        </patternFill>
      </fill>
    </dxf>
    <dxf>
      <fill>
        <patternFill>
          <bgColor rgb="FF92D050"/>
        </patternFill>
      </fill>
    </dxf>
    <dxf>
      <fill>
        <patternFill>
          <bgColor rgb="FF92D050"/>
        </patternFill>
      </fill>
    </dxf>
    <dxf>
      <font>
        <b/>
        <i val="0"/>
      </font>
      <fill>
        <patternFill>
          <bgColor rgb="FFFF0000"/>
        </patternFill>
      </fill>
    </dxf>
    <dxf>
      <font>
        <b/>
        <i val="0"/>
      </font>
      <fill>
        <patternFill>
          <bgColor rgb="FFFF0000"/>
        </patternFill>
      </fill>
    </dxf>
    <dxf>
      <fill>
        <patternFill>
          <bgColor rgb="FFFF0000"/>
        </patternFill>
      </fill>
    </dxf>
    <dxf>
      <font>
        <b/>
        <i val="0"/>
      </font>
      <fill>
        <patternFill>
          <bgColor rgb="FFFF0000"/>
        </patternFill>
      </fill>
    </dxf>
    <dxf>
      <font>
        <b val="0"/>
        <i val="0"/>
      </font>
      <fill>
        <patternFill patternType="solid">
          <bgColor rgb="FFFFC000"/>
        </patternFill>
      </fill>
    </dxf>
    <dxf>
      <font>
        <b/>
        <i val="0"/>
      </font>
      <fill>
        <patternFill>
          <bgColor rgb="FFFF0000"/>
        </patternFill>
      </fill>
    </dxf>
    <dxf>
      <font>
        <b/>
        <i val="0"/>
      </font>
    </dxf>
    <dxf>
      <font>
        <b/>
        <i val="0"/>
      </font>
      <fill>
        <patternFill>
          <bgColor rgb="FFFF0000"/>
        </patternFill>
      </fill>
    </dxf>
    <dxf>
      <font>
        <b/>
        <i val="0"/>
      </font>
    </dxf>
    <dxf>
      <font>
        <b/>
        <i val="0"/>
      </font>
    </dxf>
    <dxf>
      <fill>
        <patternFill>
          <bgColor rgb="FFFFFF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ill>
        <patternFill patternType="lightUp"/>
      </fill>
    </dxf>
    <dxf>
      <fill>
        <patternFill patternType="lightUp"/>
      </fill>
    </dxf>
    <dxf>
      <fill>
        <patternFill patternType="lightUp"/>
      </fill>
    </dxf>
    <dxf>
      <fill>
        <patternFill patternType="lightUp"/>
      </fill>
    </dxf>
    <dxf>
      <fill>
        <patternFill patternType="lightUp"/>
      </fill>
    </dxf>
    <dxf>
      <font>
        <strike val="0"/>
      </font>
      <fill>
        <patternFill patternType="lightUp"/>
      </fill>
    </dxf>
    <dxf>
      <fill>
        <patternFill patternType="lightUp"/>
      </fill>
    </dxf>
    <dxf>
      <font>
        <b/>
        <i val="0"/>
      </font>
      <fill>
        <patternFill>
          <bgColor rgb="FF92D050"/>
        </patternFill>
      </fill>
    </dxf>
    <dxf>
      <font>
        <b/>
        <i val="0"/>
      </font>
      <fill>
        <patternFill>
          <bgColor rgb="FF92D050"/>
        </patternFill>
      </fill>
    </dxf>
    <dxf>
      <fill>
        <patternFill patternType="solid"/>
      </fill>
    </dxf>
    <dxf>
      <fill>
        <patternFill patternType="lightUp"/>
      </fill>
    </dxf>
    <dxf>
      <fill>
        <patternFill patternType="lightUp"/>
      </fill>
    </dxf>
    <dxf>
      <fill>
        <patternFill patternType="lightUp"/>
      </fill>
    </dxf>
    <dxf>
      <fill>
        <patternFill patternType="lightUp"/>
      </fill>
    </dxf>
    <dxf>
      <fill>
        <patternFill>
          <bgColor rgb="FFFF0000"/>
        </patternFill>
      </fill>
    </dxf>
    <dxf>
      <font>
        <b/>
        <i val="0"/>
      </font>
      <fill>
        <patternFill>
          <bgColor rgb="FF92D050"/>
        </patternFill>
      </fill>
    </dxf>
    <dxf>
      <font>
        <b/>
        <i val="0"/>
      </font>
      <fill>
        <patternFill>
          <bgColor rgb="FF92D050"/>
        </patternFill>
      </fill>
    </dxf>
    <dxf>
      <font>
        <b/>
        <i val="0"/>
      </font>
    </dxf>
    <dxf>
      <font>
        <b/>
        <i val="0"/>
      </font>
    </dxf>
    <dxf>
      <font>
        <b/>
        <i val="0"/>
      </font>
    </dxf>
    <dxf>
      <font>
        <b/>
        <i val="0"/>
      </font>
    </dxf>
    <dxf>
      <font>
        <b/>
        <i val="0"/>
      </font>
    </dxf>
    <dxf>
      <font>
        <b/>
        <i val="0"/>
      </font>
    </dxf>
    <dxf>
      <protection locked="0" hidden="0"/>
    </dxf>
    <dxf>
      <alignment horizontal="center" vertical="bottom" textRotation="0" wrapText="1" indent="0" justifyLastLine="0" shrinkToFit="0" readingOrder="0"/>
      <protection locked="0" hidden="0"/>
    </dxf>
    <dxf>
      <alignment horizontal="center" textRotation="0" indent="0" justifyLastLine="0" shrinkToFit="0" readingOrder="0"/>
      <protection locked="0" hidden="0"/>
    </dxf>
    <dxf>
      <font>
        <b val="0"/>
        <i val="0"/>
        <strike val="0"/>
        <condense val="0"/>
        <extend val="0"/>
        <outline val="0"/>
        <shadow val="0"/>
        <u val="none"/>
        <vertAlign val="baseline"/>
        <sz val="10"/>
        <color auto="1"/>
        <name val="Arial"/>
        <scheme val="none"/>
      </font>
      <numFmt numFmtId="167" formatCode="0.0%"/>
      <protection locked="0" hidden="0"/>
    </dxf>
    <dxf>
      <protection locked="0" hidden="0"/>
    </dxf>
    <dxf>
      <protection locked="0" hidden="0"/>
    </dxf>
    <dxf>
      <protection locked="0" hidden="0"/>
    </dxf>
    <dxf>
      <protection locked="0" hidden="0"/>
    </dxf>
    <dxf>
      <protection locked="0" hidden="0"/>
    </dxf>
    <dxf>
      <protection locked="0" hidden="0"/>
    </dxf>
    <dxf>
      <font>
        <b/>
        <i val="0"/>
        <strike val="0"/>
        <condense val="0"/>
        <extend val="0"/>
        <outline val="0"/>
        <shadow val="0"/>
        <u val="none"/>
        <vertAlign val="baseline"/>
        <sz val="10"/>
        <color auto="1"/>
        <name val="Arial"/>
        <scheme val="none"/>
      </font>
    </dxf>
    <dxf>
      <protection locked="0" hidden="0"/>
    </dxf>
    <dxf>
      <numFmt numFmtId="1" formatCode="0"/>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protection locked="0" hidden="0"/>
    </dxf>
    <dxf>
      <protection locked="0" hidden="0"/>
    </dxf>
    <dxf>
      <protection locked="0" hidden="0"/>
    </dxf>
    <dxf>
      <alignment horizontal="center" vertical="center" textRotation="0" wrapText="1" indent="0" justifyLastLine="0" shrinkToFit="0" readingOrder="0"/>
    </dxf>
  </dxfs>
  <tableStyles count="0" defaultTableStyle="TableStyleMedium9" defaultPivotStyle="PivotStyleLight16"/>
  <colors>
    <mruColors>
      <color rgb="FFCCECFF"/>
      <color rgb="FFFFFFCC"/>
      <color rgb="FFCCCCFF"/>
      <color rgb="FF66CCFF"/>
      <color rgb="FFFFFF99"/>
      <color rgb="FFFFFF66"/>
      <color rgb="FFDDDDDD"/>
      <color rgb="FFB2B2B2"/>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US Customary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7.2880197731410357E-2"/>
                  <c:y val="0.42969432988442396"/>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Coef'!$B$5:$B$21</c:f>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f>'Thermal Vol Exp Coef'!$D$5:$D$21</c:f>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0-C986-4B65-A9BD-E3B9E40F24B5}"/>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1-C986-4B65-A9BD-E3B9E40F24B5}"/>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Metric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9.8435482212038447E-2"/>
                  <c:y val="0.39735946206873191"/>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Coef'!$F$5:$F$22</c:f>
              <c:numCache>
                <c:formatCode>General</c:formatCode>
                <c:ptCount val="18"/>
                <c:pt idx="0">
                  <c:v>15</c:v>
                </c:pt>
                <c:pt idx="1">
                  <c:v>20</c:v>
                </c:pt>
                <c:pt idx="2">
                  <c:v>25</c:v>
                </c:pt>
                <c:pt idx="3">
                  <c:v>30</c:v>
                </c:pt>
                <c:pt idx="4">
                  <c:v>35</c:v>
                </c:pt>
                <c:pt idx="5">
                  <c:v>40</c:v>
                </c:pt>
                <c:pt idx="6">
                  <c:v>45</c:v>
                </c:pt>
                <c:pt idx="7">
                  <c:v>50</c:v>
                </c:pt>
                <c:pt idx="8">
                  <c:v>55</c:v>
                </c:pt>
                <c:pt idx="9">
                  <c:v>60</c:v>
                </c:pt>
                <c:pt idx="10">
                  <c:v>65</c:v>
                </c:pt>
                <c:pt idx="11">
                  <c:v>70</c:v>
                </c:pt>
                <c:pt idx="12">
                  <c:v>75</c:v>
                </c:pt>
                <c:pt idx="13">
                  <c:v>80</c:v>
                </c:pt>
                <c:pt idx="14">
                  <c:v>85</c:v>
                </c:pt>
                <c:pt idx="15">
                  <c:v>90</c:v>
                </c:pt>
                <c:pt idx="16">
                  <c:v>95</c:v>
                </c:pt>
                <c:pt idx="17">
                  <c:v>100</c:v>
                </c:pt>
              </c:numCache>
            </c:numRef>
          </c:xVal>
          <c:yVal>
            <c:numRef>
              <c:f>'Thermal Vol Exp Coef'!$H$5:$H$22</c:f>
              <c:numCache>
                <c:formatCode>General</c:formatCode>
                <c:ptCount val="18"/>
                <c:pt idx="0">
                  <c:v>1.5100000000000001E-4</c:v>
                </c:pt>
                <c:pt idx="1">
                  <c:v>2.0699999999999999E-4</c:v>
                </c:pt>
                <c:pt idx="2">
                  <c:v>2.5700000000000001E-4</c:v>
                </c:pt>
                <c:pt idx="3">
                  <c:v>3.0299999999999999E-4</c:v>
                </c:pt>
                <c:pt idx="4">
                  <c:v>3.4500000000000004E-4</c:v>
                </c:pt>
                <c:pt idx="5">
                  <c:v>3.8400000000000001E-4</c:v>
                </c:pt>
                <c:pt idx="6">
                  <c:v>4.2000000000000002E-4</c:v>
                </c:pt>
                <c:pt idx="7">
                  <c:v>4.5400000000000003E-4</c:v>
                </c:pt>
                <c:pt idx="8">
                  <c:v>4.8600000000000005E-4</c:v>
                </c:pt>
                <c:pt idx="9">
                  <c:v>5.1600000000000007E-4</c:v>
                </c:pt>
                <c:pt idx="10">
                  <c:v>5.440000000000001E-4</c:v>
                </c:pt>
                <c:pt idx="11">
                  <c:v>5.71E-4</c:v>
                </c:pt>
                <c:pt idx="12">
                  <c:v>5.9699999999999998E-4</c:v>
                </c:pt>
                <c:pt idx="13">
                  <c:v>6.2100000000000002E-4</c:v>
                </c:pt>
                <c:pt idx="14">
                  <c:v>6.4400000000000004E-4</c:v>
                </c:pt>
                <c:pt idx="15">
                  <c:v>6.6600000000000003E-4</c:v>
                </c:pt>
                <c:pt idx="16">
                  <c:v>6.87E-4</c:v>
                </c:pt>
                <c:pt idx="17">
                  <c:v>7.0300000000000007E-4</c:v>
                </c:pt>
              </c:numCache>
            </c:numRef>
          </c:yVal>
          <c:smooth val="1"/>
          <c:extLst>
            <c:ext xmlns:c16="http://schemas.microsoft.com/office/drawing/2014/chart" uri="{C3380CC4-5D6E-409C-BE32-E72D297353CC}">
              <c16:uniqueId val="{00000001-BD0A-483C-963C-A6EBF04EF736}"/>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2-BD0A-483C-963C-A6EBF04EF736}"/>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12" dropStyle="combo" dx="22" fmlaLink="D14" fmlaRange="$I$12:$I$22" noThreeD="1" sel="2" val="0"/>
</file>

<file path=xl/ctrlProps/ctrlProp10.xml><?xml version="1.0" encoding="utf-8"?>
<formControlPr xmlns="http://schemas.microsoft.com/office/spreadsheetml/2009/9/main" objectType="Drop" dropLines="12" dropStyle="combo" dx="22" fmlaLink="D16" fmlaRange="$I$12:$I$22" noThreeD="1" sel="9" val="0"/>
</file>

<file path=xl/ctrlProps/ctrlProp11.xml><?xml version="1.0" encoding="utf-8"?>
<formControlPr xmlns="http://schemas.microsoft.com/office/spreadsheetml/2009/9/main" objectType="Drop" dropLines="12" dropStyle="combo" dx="22" fmlaLink="D17" fmlaRange="$I$12:$I$22" noThreeD="1" sel="1"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 val="0"/>
</file>

<file path=xl/ctrlProps/ctrlProp14.xml><?xml version="1.0" encoding="utf-8"?>
<formControlPr xmlns="http://schemas.microsoft.com/office/spreadsheetml/2009/9/main" objectType="Drop" dropLines="12" dropStyle="combo" dx="22" fmlaLink="D19" fmlaRange="$I$12:$I$22" noThreeD="1" sel="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fmlaLink="$D$45"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Drop" dropLines="12" dropStyle="combo" dx="22" fmlaLink="D23" fmlaRange="$I$12:$I$22" noThreeD="1" sel="1" val="0"/>
</file>

<file path=xl/ctrlProps/ctrlProp19.xml><?xml version="1.0" encoding="utf-8"?>
<formControlPr xmlns="http://schemas.microsoft.com/office/spreadsheetml/2009/9/main" objectType="Radio" firstButton="1" fmlaLink="$K$3"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checked="Checked" fmlaLink="$F$46" lockText="1" noThreeD="1"/>
</file>

<file path=xl/ctrlProps/ctrlProp22.xml><?xml version="1.0" encoding="utf-8"?>
<formControlPr xmlns="http://schemas.microsoft.com/office/spreadsheetml/2009/9/main" objectType="CheckBox" checked="Checked" fmlaLink="$D$39" lockText="1" noThreeD="1"/>
</file>

<file path=xl/ctrlProps/ctrlProp23.xml><?xml version="1.0" encoding="utf-8"?>
<formControlPr xmlns="http://schemas.microsoft.com/office/spreadsheetml/2009/9/main" objectType="CheckBox" checked="Checked" fmlaLink="$E$39" lockText="1" noThreeD="1"/>
</file>

<file path=xl/ctrlProps/ctrlProp24.xml><?xml version="1.0" encoding="utf-8"?>
<formControlPr xmlns="http://schemas.microsoft.com/office/spreadsheetml/2009/9/main" objectType="CheckBox" checked="Checked" fmlaLink="$F$39" lockText="1" noThreeD="1"/>
</file>

<file path=xl/ctrlProps/ctrlProp25.xml><?xml version="1.0" encoding="utf-8"?>
<formControlPr xmlns="http://schemas.microsoft.com/office/spreadsheetml/2009/9/main" objectType="CheckBox" checked="Checked" fmlaLink="$E$46" lockText="1" noThreeD="1"/>
</file>

<file path=xl/ctrlProps/ctrlProp26.xml><?xml version="1.0" encoding="utf-8"?>
<formControlPr xmlns="http://schemas.microsoft.com/office/spreadsheetml/2009/9/main" objectType="Drop" dropLines="12" dropStyle="combo" dx="22" fmlaLink="D15" fmlaRange="$I$13:$I$23" noThreeD="1" sel="2" val="0"/>
</file>

<file path=xl/ctrlProps/ctrlProp27.xml><?xml version="1.0" encoding="utf-8"?>
<formControlPr xmlns="http://schemas.microsoft.com/office/spreadsheetml/2009/9/main" objectType="Drop" dropLines="12" dropStyle="combo" dx="22" fmlaLink="D16" fmlaRange="$I$13:$I$23" noThreeD="1" sel="5" val="0"/>
</file>

<file path=xl/ctrlProps/ctrlProp28.xml><?xml version="1.0" encoding="utf-8"?>
<formControlPr xmlns="http://schemas.microsoft.com/office/spreadsheetml/2009/9/main" objectType="Drop" dropLines="12" dropStyle="combo" dx="22" fmlaLink="D17" fmlaRange="$I$13:$I$23" noThreeD="1" sel="1" val="0"/>
</file>

<file path=xl/ctrlProps/ctrlProp29.xml><?xml version="1.0" encoding="utf-8"?>
<formControlPr xmlns="http://schemas.microsoft.com/office/spreadsheetml/2009/9/main" objectType="Drop" dropLines="12" dropStyle="combo" dx="22" fmlaLink="D18"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22" fmlaRange="$I$13:$I$23" noThreeD="1" sel="1" val="0"/>
</file>

<file path=xl/ctrlProps/ctrlProp31.xml><?xml version="1.0" encoding="utf-8"?>
<formControlPr xmlns="http://schemas.microsoft.com/office/spreadsheetml/2009/9/main" objectType="Drop" dropLines="12" dropStyle="combo" dx="22" fmlaLink="D19" fmlaRange="$I$13:$I$23" noThreeD="1" sel="1" val="0"/>
</file>

<file path=xl/ctrlProps/ctrlProp32.xml><?xml version="1.0" encoding="utf-8"?>
<formControlPr xmlns="http://schemas.microsoft.com/office/spreadsheetml/2009/9/main" objectType="Drop" dropLines="12" dropStyle="combo" dx="22" fmlaLink="D20" fmlaRange="$I$13:$I$23" noThreeD="1" sel="1" val="0"/>
</file>

<file path=xl/ctrlProps/ctrlProp33.xml><?xml version="1.0" encoding="utf-8"?>
<formControlPr xmlns="http://schemas.microsoft.com/office/spreadsheetml/2009/9/main" objectType="Drop" dropLines="12" dropStyle="combo" dx="22" fmlaLink="D21" fmlaRange="$I$13:$I$23" noThreeD="1" sel="1" val="0"/>
</file>

<file path=xl/ctrlProps/ctrlProp34.xml><?xml version="1.0" encoding="utf-8"?>
<formControlPr xmlns="http://schemas.microsoft.com/office/spreadsheetml/2009/9/main" objectType="CheckBox" checked="Checked" fmlaLink="$D$46" lockText="1" noThreeD="1"/>
</file>

<file path=xl/ctrlProps/ctrlProp35.xml><?xml version="1.0" encoding="utf-8"?>
<formControlPr xmlns="http://schemas.microsoft.com/office/spreadsheetml/2009/9/main" objectType="Drop" dropLines="12" dropStyle="combo" dx="22" fmlaLink="D23" fmlaRange="$I$13:$I$23" noThreeD="1" sel="5" val="0"/>
</file>

<file path=xl/ctrlProps/ctrlProp36.xml><?xml version="1.0" encoding="utf-8"?>
<formControlPr xmlns="http://schemas.microsoft.com/office/spreadsheetml/2009/9/main" objectType="Drop" dropLines="12" dropStyle="combo" dx="22" fmlaLink="D24" fmlaRange="$I$13:$I$23" noThreeD="1" sel="5" val="0"/>
</file>

<file path=xl/ctrlProps/ctrlProp4.xml><?xml version="1.0" encoding="utf-8"?>
<formControlPr xmlns="http://schemas.microsoft.com/office/spreadsheetml/2009/9/main" objectType="CheckBox" fmlaLink="$F$45" lockText="1" noThreeD="1"/>
</file>

<file path=xl/ctrlProps/ctrlProp5.xml><?xml version="1.0" encoding="utf-8"?>
<formControlPr xmlns="http://schemas.microsoft.com/office/spreadsheetml/2009/9/main" objectType="CheckBox" fmlaLink="$D$38" lockText="1" noThreeD="1"/>
</file>

<file path=xl/ctrlProps/ctrlProp6.xml><?xml version="1.0" encoding="utf-8"?>
<formControlPr xmlns="http://schemas.microsoft.com/office/spreadsheetml/2009/9/main" objectType="CheckBox" fmlaLink="$E$38" lockText="1" noThreeD="1"/>
</file>

<file path=xl/ctrlProps/ctrlProp7.xml><?xml version="1.0" encoding="utf-8"?>
<formControlPr xmlns="http://schemas.microsoft.com/office/spreadsheetml/2009/9/main" objectType="CheckBox" fmlaLink="$F$38" lockText="1" noThreeD="1"/>
</file>

<file path=xl/ctrlProps/ctrlProp8.xml><?xml version="1.0" encoding="utf-8"?>
<formControlPr xmlns="http://schemas.microsoft.com/office/spreadsheetml/2009/9/main" objectType="CheckBox" fmlaLink="$E$45" lockText="1" noThreeD="1"/>
</file>

<file path=xl/ctrlProps/ctrlProp9.xml><?xml version="1.0" encoding="utf-8"?>
<formControlPr xmlns="http://schemas.microsoft.com/office/spreadsheetml/2009/9/main" objectType="Drop" dropLines="12" dropStyle="combo" dx="22" fmlaLink="D15" fmlaRange="$I$12:$I$22" noThreeD="1" sel="9"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4.png"/><Relationship Id="rId1" Type="http://schemas.openxmlformats.org/officeDocument/2006/relationships/hyperlink" Target="http://www.homebrewsupply.com/?a_aid=toddhuizingh&amp;a_bid=70d8cb08#a_aid=toddhuizingh&amp;a_bid=70d8cb08&amp;chan=code2"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11</xdr:col>
      <xdr:colOff>42076</xdr:colOff>
      <xdr:row>17</xdr:row>
      <xdr:rowOff>54941</xdr:rowOff>
    </xdr:from>
    <xdr:to>
      <xdr:col>12</xdr:col>
      <xdr:colOff>366590</xdr:colOff>
      <xdr:row>21</xdr:row>
      <xdr:rowOff>114208</xdr:rowOff>
    </xdr:to>
    <xdr:pic>
      <xdr:nvPicPr>
        <xdr:cNvPr id="7" name="Picture 6" title="Beer-N-BBQ by Larry">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8505" y="2742352"/>
          <a:ext cx="725924" cy="712410"/>
        </a:xfrm>
        <a:prstGeom prst="rect">
          <a:avLst/>
        </a:prstGeom>
        <a:effectLst/>
      </xdr:spPr>
    </xdr:pic>
    <xdr:clientData/>
  </xdr:twoCellAnchor>
  <xdr:twoCellAnchor>
    <xdr:from>
      <xdr:col>29</xdr:col>
      <xdr:colOff>129890</xdr:colOff>
      <xdr:row>28</xdr:row>
      <xdr:rowOff>63503</xdr:rowOff>
    </xdr:from>
    <xdr:to>
      <xdr:col>34</xdr:col>
      <xdr:colOff>349251</xdr:colOff>
      <xdr:row>30</xdr:row>
      <xdr:rowOff>139212</xdr:rowOff>
    </xdr:to>
    <xdr:sp macro="" textlink="">
      <xdr:nvSpPr>
        <xdr:cNvPr id="8" name="Arrow: Bent-Up 7">
          <a:extLst>
            <a:ext uri="{FF2B5EF4-FFF2-40B4-BE49-F238E27FC236}">
              <a16:creationId xmlns:a16="http://schemas.microsoft.com/office/drawing/2014/main" id="{00000000-0008-0000-0100-000008000000}"/>
            </a:ext>
          </a:extLst>
        </xdr:cNvPr>
        <xdr:cNvSpPr/>
      </xdr:nvSpPr>
      <xdr:spPr>
        <a:xfrm rot="16200000" flipH="1">
          <a:off x="13016505" y="3332754"/>
          <a:ext cx="398093" cy="2710515"/>
        </a:xfrm>
        <a:prstGeom prst="bentUpArrow">
          <a:avLst>
            <a:gd name="adj1" fmla="val 14762"/>
            <a:gd name="adj2" fmla="val 16220"/>
            <a:gd name="adj3" fmla="val 4244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51955</xdr:colOff>
      <xdr:row>23</xdr:row>
      <xdr:rowOff>77932</xdr:rowOff>
    </xdr:from>
    <xdr:to>
      <xdr:col>29</xdr:col>
      <xdr:colOff>294409</xdr:colOff>
      <xdr:row>24</xdr:row>
      <xdr:rowOff>103909</xdr:rowOff>
    </xdr:to>
    <xdr:sp macro="" textlink="">
      <xdr:nvSpPr>
        <xdr:cNvPr id="9" name="Arrow: Right 8">
          <a:extLst>
            <a:ext uri="{FF2B5EF4-FFF2-40B4-BE49-F238E27FC236}">
              <a16:creationId xmlns:a16="http://schemas.microsoft.com/office/drawing/2014/main" id="{00000000-0008-0000-0100-000009000000}"/>
            </a:ext>
          </a:extLst>
        </xdr:cNvPr>
        <xdr:cNvSpPr/>
      </xdr:nvSpPr>
      <xdr:spPr>
        <a:xfrm>
          <a:off x="11793682" y="3775364"/>
          <a:ext cx="242454"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51156</xdr:colOff>
      <xdr:row>10</xdr:row>
      <xdr:rowOff>74469</xdr:rowOff>
    </xdr:from>
    <xdr:to>
      <xdr:col>29</xdr:col>
      <xdr:colOff>293610</xdr:colOff>
      <xdr:row>11</xdr:row>
      <xdr:rowOff>100446</xdr:rowOff>
    </xdr:to>
    <xdr:sp macro="" textlink="">
      <xdr:nvSpPr>
        <xdr:cNvPr id="10" name="Arrow: Right 9">
          <a:extLst>
            <a:ext uri="{FF2B5EF4-FFF2-40B4-BE49-F238E27FC236}">
              <a16:creationId xmlns:a16="http://schemas.microsoft.com/office/drawing/2014/main" id="{00000000-0008-0000-0100-00000A000000}"/>
            </a:ext>
          </a:extLst>
        </xdr:cNvPr>
        <xdr:cNvSpPr/>
      </xdr:nvSpPr>
      <xdr:spPr>
        <a:xfrm>
          <a:off x="11781560" y="1598469"/>
          <a:ext cx="242454" cy="1871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57154</xdr:colOff>
      <xdr:row>15</xdr:row>
      <xdr:rowOff>85728</xdr:rowOff>
    </xdr:from>
    <xdr:to>
      <xdr:col>32</xdr:col>
      <xdr:colOff>419100</xdr:colOff>
      <xdr:row>22</xdr:row>
      <xdr:rowOff>139211</xdr:rowOff>
    </xdr:to>
    <xdr:sp macro="" textlink="">
      <xdr:nvSpPr>
        <xdr:cNvPr id="11" name="Arrow: Bent-Up 10">
          <a:extLst>
            <a:ext uri="{FF2B5EF4-FFF2-40B4-BE49-F238E27FC236}">
              <a16:creationId xmlns:a16="http://schemas.microsoft.com/office/drawing/2014/main" id="{00000000-0008-0000-0100-00000B000000}"/>
            </a:ext>
          </a:extLst>
        </xdr:cNvPr>
        <xdr:cNvSpPr/>
      </xdr:nvSpPr>
      <xdr:spPr>
        <a:xfrm rot="16200000" flipH="1">
          <a:off x="12073674" y="2129574"/>
          <a:ext cx="1181829" cy="1754061"/>
        </a:xfrm>
        <a:prstGeom prst="bentUpArrow">
          <a:avLst>
            <a:gd name="adj1" fmla="val 7005"/>
            <a:gd name="adj2" fmla="val 5720"/>
            <a:gd name="adj3" fmla="val 147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356152</xdr:colOff>
      <xdr:row>21</xdr:row>
      <xdr:rowOff>0</xdr:rowOff>
    </xdr:from>
    <xdr:to>
      <xdr:col>11</xdr:col>
      <xdr:colOff>99391</xdr:colOff>
      <xdr:row>21</xdr:row>
      <xdr:rowOff>140804</xdr:rowOff>
    </xdr:to>
    <xdr:sp macro="" textlink="">
      <xdr:nvSpPr>
        <xdr:cNvPr id="2" name="Arrow: Down 1">
          <a:extLst>
            <a:ext uri="{FF2B5EF4-FFF2-40B4-BE49-F238E27FC236}">
              <a16:creationId xmlns:a16="http://schemas.microsoft.com/office/drawing/2014/main" id="{00000000-0008-0000-0200-000002000000}"/>
            </a:ext>
          </a:extLst>
        </xdr:cNvPr>
        <xdr:cNvSpPr/>
      </xdr:nvSpPr>
      <xdr:spPr>
        <a:xfrm>
          <a:off x="6708913" y="3685761"/>
          <a:ext cx="190500" cy="14080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13</xdr:row>
          <xdr:rowOff>9525</xdr:rowOff>
        </xdr:from>
        <xdr:to>
          <xdr:col>3</xdr:col>
          <xdr:colOff>971550</xdr:colOff>
          <xdr:row>13</xdr:row>
          <xdr:rowOff>209550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6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0</xdr:rowOff>
        </xdr:from>
        <xdr:to>
          <xdr:col>8</xdr:col>
          <xdr:colOff>295275</xdr:colOff>
          <xdr:row>3</xdr:row>
          <xdr:rowOff>28575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161925</xdr:rowOff>
        </xdr:from>
        <xdr:to>
          <xdr:col>8</xdr:col>
          <xdr:colOff>295275</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695325</xdr:colOff>
          <xdr:row>45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695325</xdr:colOff>
          <xdr:row>37</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6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695325</xdr:colOff>
          <xdr:row>37</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6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695325</xdr:colOff>
          <xdr:row>38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6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695325</xdr:colOff>
          <xdr:row>45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6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971550</xdr:colOff>
          <xdr:row>14</xdr:row>
          <xdr:rowOff>209550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971550</xdr:colOff>
          <xdr:row>15</xdr:row>
          <xdr:rowOff>209550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971550</xdr:colOff>
          <xdr:row>16</xdr:row>
          <xdr:rowOff>209550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xdr:rowOff>
        </xdr:from>
        <xdr:to>
          <xdr:col>3</xdr:col>
          <xdr:colOff>971550</xdr:colOff>
          <xdr:row>20</xdr:row>
          <xdr:rowOff>209550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971550</xdr:colOff>
          <xdr:row>17</xdr:row>
          <xdr:rowOff>209550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3</xdr:col>
          <xdr:colOff>971550</xdr:colOff>
          <xdr:row>18</xdr:row>
          <xdr:rowOff>209550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xdr:rowOff>
        </xdr:from>
        <xdr:to>
          <xdr:col>3</xdr:col>
          <xdr:colOff>971550</xdr:colOff>
          <xdr:row>19</xdr:row>
          <xdr:rowOff>209550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6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695325</xdr:colOff>
          <xdr:row>45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6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9525</xdr:rowOff>
        </xdr:from>
        <xdr:to>
          <xdr:col>3</xdr:col>
          <xdr:colOff>971550</xdr:colOff>
          <xdr:row>21</xdr:row>
          <xdr:rowOff>209550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6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37</xdr:row>
      <xdr:rowOff>200025</xdr:rowOff>
    </xdr:from>
    <xdr:to>
      <xdr:col>7</xdr:col>
      <xdr:colOff>161925</xdr:colOff>
      <xdr:row>38</xdr:row>
      <xdr:rowOff>123825</xdr:rowOff>
    </xdr:to>
    <xdr:sp macro="" textlink="">
      <xdr:nvSpPr>
        <xdr:cNvPr id="23" name="Line 47">
          <a:extLst>
            <a:ext uri="{FF2B5EF4-FFF2-40B4-BE49-F238E27FC236}">
              <a16:creationId xmlns:a16="http://schemas.microsoft.com/office/drawing/2014/main" id="{00000000-0008-0000-06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38</xdr:row>
      <xdr:rowOff>123825</xdr:rowOff>
    </xdr:from>
    <xdr:to>
      <xdr:col>7</xdr:col>
      <xdr:colOff>552450</xdr:colOff>
      <xdr:row>38</xdr:row>
      <xdr:rowOff>123825</xdr:rowOff>
    </xdr:to>
    <xdr:sp macro="" textlink="">
      <xdr:nvSpPr>
        <xdr:cNvPr id="24" name="Line 48">
          <a:extLst>
            <a:ext uri="{FF2B5EF4-FFF2-40B4-BE49-F238E27FC236}">
              <a16:creationId xmlns:a16="http://schemas.microsoft.com/office/drawing/2014/main" id="{00000000-0008-0000-06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5" name="Line 49">
          <a:extLst>
            <a:ext uri="{FF2B5EF4-FFF2-40B4-BE49-F238E27FC236}">
              <a16:creationId xmlns:a16="http://schemas.microsoft.com/office/drawing/2014/main" id="{00000000-0008-0000-06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133350</xdr:rowOff>
    </xdr:to>
    <xdr:sp macro="" textlink="">
      <xdr:nvSpPr>
        <xdr:cNvPr id="26" name="Line 51">
          <a:extLst>
            <a:ext uri="{FF2B5EF4-FFF2-40B4-BE49-F238E27FC236}">
              <a16:creationId xmlns:a16="http://schemas.microsoft.com/office/drawing/2014/main" id="{00000000-0008-0000-06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7" name="Line 52">
          <a:extLst>
            <a:ext uri="{FF2B5EF4-FFF2-40B4-BE49-F238E27FC236}">
              <a16:creationId xmlns:a16="http://schemas.microsoft.com/office/drawing/2014/main" id="{00000000-0008-0000-06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8" name="Line 53">
          <a:extLst>
            <a:ext uri="{FF2B5EF4-FFF2-40B4-BE49-F238E27FC236}">
              <a16:creationId xmlns:a16="http://schemas.microsoft.com/office/drawing/2014/main" id="{00000000-0008-0000-06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9" name="Line 54">
          <a:extLst>
            <a:ext uri="{FF2B5EF4-FFF2-40B4-BE49-F238E27FC236}">
              <a16:creationId xmlns:a16="http://schemas.microsoft.com/office/drawing/2014/main" id="{00000000-0008-0000-06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30" name="Line 56">
          <a:extLst>
            <a:ext uri="{FF2B5EF4-FFF2-40B4-BE49-F238E27FC236}">
              <a16:creationId xmlns:a16="http://schemas.microsoft.com/office/drawing/2014/main" id="{00000000-0008-0000-06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31" name="Line 59">
          <a:extLst>
            <a:ext uri="{FF2B5EF4-FFF2-40B4-BE49-F238E27FC236}">
              <a16:creationId xmlns:a16="http://schemas.microsoft.com/office/drawing/2014/main" id="{00000000-0008-0000-06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2" name="Line 65">
          <a:extLst>
            <a:ext uri="{FF2B5EF4-FFF2-40B4-BE49-F238E27FC236}">
              <a16:creationId xmlns:a16="http://schemas.microsoft.com/office/drawing/2014/main" id="{00000000-0008-0000-06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3" name="Line 66">
          <a:extLst>
            <a:ext uri="{FF2B5EF4-FFF2-40B4-BE49-F238E27FC236}">
              <a16:creationId xmlns:a16="http://schemas.microsoft.com/office/drawing/2014/main" id="{00000000-0008-0000-06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4" name="Line 72">
          <a:extLst>
            <a:ext uri="{FF2B5EF4-FFF2-40B4-BE49-F238E27FC236}">
              <a16:creationId xmlns:a16="http://schemas.microsoft.com/office/drawing/2014/main" id="{00000000-0008-0000-06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5" name="Line 73">
          <a:extLst>
            <a:ext uri="{FF2B5EF4-FFF2-40B4-BE49-F238E27FC236}">
              <a16:creationId xmlns:a16="http://schemas.microsoft.com/office/drawing/2014/main" id="{00000000-0008-0000-06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6" name="Line 74">
          <a:extLst>
            <a:ext uri="{FF2B5EF4-FFF2-40B4-BE49-F238E27FC236}">
              <a16:creationId xmlns:a16="http://schemas.microsoft.com/office/drawing/2014/main" id="{00000000-0008-0000-06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7" name="Line 75">
          <a:extLst>
            <a:ext uri="{FF2B5EF4-FFF2-40B4-BE49-F238E27FC236}">
              <a16:creationId xmlns:a16="http://schemas.microsoft.com/office/drawing/2014/main" id="{00000000-0008-0000-06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133350</xdr:rowOff>
    </xdr:from>
    <xdr:to>
      <xdr:col>8</xdr:col>
      <xdr:colOff>209550</xdr:colOff>
      <xdr:row>37</xdr:row>
      <xdr:rowOff>133350</xdr:rowOff>
    </xdr:to>
    <xdr:sp macro="" textlink="">
      <xdr:nvSpPr>
        <xdr:cNvPr id="38" name="Line 77">
          <a:extLst>
            <a:ext uri="{FF2B5EF4-FFF2-40B4-BE49-F238E27FC236}">
              <a16:creationId xmlns:a16="http://schemas.microsoft.com/office/drawing/2014/main" id="{00000000-0008-0000-06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9" name="Line 78">
          <a:extLst>
            <a:ext uri="{FF2B5EF4-FFF2-40B4-BE49-F238E27FC236}">
              <a16:creationId xmlns:a16="http://schemas.microsoft.com/office/drawing/2014/main" id="{00000000-0008-0000-06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40" name="Line 79">
          <a:extLst>
            <a:ext uri="{FF2B5EF4-FFF2-40B4-BE49-F238E27FC236}">
              <a16:creationId xmlns:a16="http://schemas.microsoft.com/office/drawing/2014/main" id="{00000000-0008-0000-06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41" name="Line 80">
          <a:extLst>
            <a:ext uri="{FF2B5EF4-FFF2-40B4-BE49-F238E27FC236}">
              <a16:creationId xmlns:a16="http://schemas.microsoft.com/office/drawing/2014/main" id="{00000000-0008-0000-06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42" name="Line 81">
          <a:extLst>
            <a:ext uri="{FF2B5EF4-FFF2-40B4-BE49-F238E27FC236}">
              <a16:creationId xmlns:a16="http://schemas.microsoft.com/office/drawing/2014/main" id="{00000000-0008-0000-06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3" name="Line 82">
          <a:extLst>
            <a:ext uri="{FF2B5EF4-FFF2-40B4-BE49-F238E27FC236}">
              <a16:creationId xmlns:a16="http://schemas.microsoft.com/office/drawing/2014/main" id="{00000000-0008-0000-06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4" name="Line 83">
          <a:extLst>
            <a:ext uri="{FF2B5EF4-FFF2-40B4-BE49-F238E27FC236}">
              <a16:creationId xmlns:a16="http://schemas.microsoft.com/office/drawing/2014/main" id="{00000000-0008-0000-06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62</xdr:row>
      <xdr:rowOff>190499</xdr:rowOff>
    </xdr:from>
    <xdr:to>
      <xdr:col>4</xdr:col>
      <xdr:colOff>633190</xdr:colOff>
      <xdr:row>64</xdr:row>
      <xdr:rowOff>1</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6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1800225</xdr:colOff>
          <xdr:row>79</xdr:row>
          <xdr:rowOff>95250</xdr:rowOff>
        </xdr:from>
        <xdr:to>
          <xdr:col>3</xdr:col>
          <xdr:colOff>514350</xdr:colOff>
          <xdr:row>79</xdr:row>
          <xdr:rowOff>104775</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6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57</xdr:row>
          <xdr:rowOff>171450</xdr:rowOff>
        </xdr:from>
        <xdr:to>
          <xdr:col>2</xdr:col>
          <xdr:colOff>1581150</xdr:colOff>
          <xdr:row>61</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6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9525</xdr:rowOff>
        </xdr:from>
        <xdr:to>
          <xdr:col>3</xdr:col>
          <xdr:colOff>971550</xdr:colOff>
          <xdr:row>22</xdr:row>
          <xdr:rowOff>209550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6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962025</xdr:colOff>
          <xdr:row>2</xdr:row>
          <xdr:rowOff>0</xdr:rowOff>
        </xdr:from>
        <xdr:to>
          <xdr:col>8</xdr:col>
          <xdr:colOff>295275</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161925</xdr:rowOff>
        </xdr:from>
        <xdr:to>
          <xdr:col>8</xdr:col>
          <xdr:colOff>295275</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45</xdr:row>
          <xdr:rowOff>0</xdr:rowOff>
        </xdr:from>
        <xdr:to>
          <xdr:col>5</xdr:col>
          <xdr:colOff>695325</xdr:colOff>
          <xdr:row>46</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38</xdr:row>
          <xdr:rowOff>0</xdr:rowOff>
        </xdr:from>
        <xdr:to>
          <xdr:col>3</xdr:col>
          <xdr:colOff>695325</xdr:colOff>
          <xdr:row>39</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0</xdr:rowOff>
        </xdr:from>
        <xdr:to>
          <xdr:col>4</xdr:col>
          <xdr:colOff>695325</xdr:colOff>
          <xdr:row>39</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38</xdr:row>
          <xdr:rowOff>0</xdr:rowOff>
        </xdr:from>
        <xdr:to>
          <xdr:col>5</xdr:col>
          <xdr:colOff>695325</xdr:colOff>
          <xdr:row>39</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0</xdr:rowOff>
        </xdr:from>
        <xdr:to>
          <xdr:col>4</xdr:col>
          <xdr:colOff>695325</xdr:colOff>
          <xdr:row>46</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7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7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971550</xdr:colOff>
          <xdr:row>14</xdr:row>
          <xdr:rowOff>209550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971550</xdr:colOff>
          <xdr:row>15</xdr:row>
          <xdr:rowOff>209550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971550</xdr:colOff>
          <xdr:row>16</xdr:row>
          <xdr:rowOff>209550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971550</xdr:colOff>
          <xdr:row>17</xdr:row>
          <xdr:rowOff>209550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9525</xdr:rowOff>
        </xdr:from>
        <xdr:to>
          <xdr:col>3</xdr:col>
          <xdr:colOff>971550</xdr:colOff>
          <xdr:row>21</xdr:row>
          <xdr:rowOff>209550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3</xdr:col>
          <xdr:colOff>971550</xdr:colOff>
          <xdr:row>18</xdr:row>
          <xdr:rowOff>209550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xdr:rowOff>
        </xdr:from>
        <xdr:to>
          <xdr:col>3</xdr:col>
          <xdr:colOff>971550</xdr:colOff>
          <xdr:row>19</xdr:row>
          <xdr:rowOff>209550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xdr:rowOff>
        </xdr:from>
        <xdr:to>
          <xdr:col>3</xdr:col>
          <xdr:colOff>971550</xdr:colOff>
          <xdr:row>20</xdr:row>
          <xdr:rowOff>209550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45</xdr:row>
          <xdr:rowOff>0</xdr:rowOff>
        </xdr:from>
        <xdr:to>
          <xdr:col>3</xdr:col>
          <xdr:colOff>695325</xdr:colOff>
          <xdr:row>46</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9525</xdr:rowOff>
        </xdr:from>
        <xdr:to>
          <xdr:col>3</xdr:col>
          <xdr:colOff>971550</xdr:colOff>
          <xdr:row>22</xdr:row>
          <xdr:rowOff>209550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41</xdr:row>
      <xdr:rowOff>95250</xdr:rowOff>
    </xdr:from>
    <xdr:to>
      <xdr:col>5</xdr:col>
      <xdr:colOff>495300</xdr:colOff>
      <xdr:row>42</xdr:row>
      <xdr:rowOff>66675</xdr:rowOff>
    </xdr:to>
    <xdr:sp macro="" textlink="">
      <xdr:nvSpPr>
        <xdr:cNvPr id="21" name="Line 45">
          <a:extLst>
            <a:ext uri="{FF2B5EF4-FFF2-40B4-BE49-F238E27FC236}">
              <a16:creationId xmlns:a16="http://schemas.microsoft.com/office/drawing/2014/main" id="{00000000-0008-0000-07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41</xdr:row>
      <xdr:rowOff>95250</xdr:rowOff>
    </xdr:from>
    <xdr:to>
      <xdr:col>6</xdr:col>
      <xdr:colOff>9525</xdr:colOff>
      <xdr:row>41</xdr:row>
      <xdr:rowOff>95250</xdr:rowOff>
    </xdr:to>
    <xdr:sp macro="" textlink="">
      <xdr:nvSpPr>
        <xdr:cNvPr id="22" name="Line 46">
          <a:extLst>
            <a:ext uri="{FF2B5EF4-FFF2-40B4-BE49-F238E27FC236}">
              <a16:creationId xmlns:a16="http://schemas.microsoft.com/office/drawing/2014/main" id="{00000000-0008-0000-07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36</xdr:row>
      <xdr:rowOff>104775</xdr:rowOff>
    </xdr:from>
    <xdr:to>
      <xdr:col>8</xdr:col>
      <xdr:colOff>114300</xdr:colOff>
      <xdr:row>36</xdr:row>
      <xdr:rowOff>104775</xdr:rowOff>
    </xdr:to>
    <xdr:sp macro="" textlink="">
      <xdr:nvSpPr>
        <xdr:cNvPr id="23" name="Line 49">
          <a:extLst>
            <a:ext uri="{FF2B5EF4-FFF2-40B4-BE49-F238E27FC236}">
              <a16:creationId xmlns:a16="http://schemas.microsoft.com/office/drawing/2014/main" id="{00000000-0008-0000-07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104775</xdr:rowOff>
    </xdr:from>
    <xdr:to>
      <xdr:col>8</xdr:col>
      <xdr:colOff>114300</xdr:colOff>
      <xdr:row>38</xdr:row>
      <xdr:rowOff>123825</xdr:rowOff>
    </xdr:to>
    <xdr:sp macro="" textlink="">
      <xdr:nvSpPr>
        <xdr:cNvPr id="24" name="Line 51">
          <a:extLst>
            <a:ext uri="{FF2B5EF4-FFF2-40B4-BE49-F238E27FC236}">
              <a16:creationId xmlns:a16="http://schemas.microsoft.com/office/drawing/2014/main" id="{00000000-0008-0000-07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32</xdr:row>
      <xdr:rowOff>180975</xdr:rowOff>
    </xdr:from>
    <xdr:to>
      <xdr:col>7</xdr:col>
      <xdr:colOff>333375</xdr:colOff>
      <xdr:row>32</xdr:row>
      <xdr:rowOff>180975</xdr:rowOff>
    </xdr:to>
    <xdr:sp macro="" textlink="">
      <xdr:nvSpPr>
        <xdr:cNvPr id="25" name="Line 52">
          <a:extLst>
            <a:ext uri="{FF2B5EF4-FFF2-40B4-BE49-F238E27FC236}">
              <a16:creationId xmlns:a16="http://schemas.microsoft.com/office/drawing/2014/main" id="{00000000-0008-0000-07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190500</xdr:rowOff>
    </xdr:from>
    <xdr:to>
      <xdr:col>2</xdr:col>
      <xdr:colOff>962025</xdr:colOff>
      <xdr:row>54</xdr:row>
      <xdr:rowOff>95250</xdr:rowOff>
    </xdr:to>
    <xdr:sp macro="" textlink="">
      <xdr:nvSpPr>
        <xdr:cNvPr id="26" name="Line 53">
          <a:extLst>
            <a:ext uri="{FF2B5EF4-FFF2-40B4-BE49-F238E27FC236}">
              <a16:creationId xmlns:a16="http://schemas.microsoft.com/office/drawing/2014/main" id="{00000000-0008-0000-07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54</xdr:row>
      <xdr:rowOff>95250</xdr:rowOff>
    </xdr:from>
    <xdr:to>
      <xdr:col>2</xdr:col>
      <xdr:colOff>1133475</xdr:colOff>
      <xdr:row>54</xdr:row>
      <xdr:rowOff>95250</xdr:rowOff>
    </xdr:to>
    <xdr:sp macro="" textlink="">
      <xdr:nvSpPr>
        <xdr:cNvPr id="27" name="Line 54">
          <a:extLst>
            <a:ext uri="{FF2B5EF4-FFF2-40B4-BE49-F238E27FC236}">
              <a16:creationId xmlns:a16="http://schemas.microsoft.com/office/drawing/2014/main" id="{00000000-0008-0000-07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28</xdr:row>
      <xdr:rowOff>85725</xdr:rowOff>
    </xdr:from>
    <xdr:to>
      <xdr:col>5</xdr:col>
      <xdr:colOff>971550</xdr:colOff>
      <xdr:row>29</xdr:row>
      <xdr:rowOff>28575</xdr:rowOff>
    </xdr:to>
    <xdr:sp macro="" textlink="">
      <xdr:nvSpPr>
        <xdr:cNvPr id="28" name="Line 56">
          <a:extLst>
            <a:ext uri="{FF2B5EF4-FFF2-40B4-BE49-F238E27FC236}">
              <a16:creationId xmlns:a16="http://schemas.microsoft.com/office/drawing/2014/main" id="{00000000-0008-0000-07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28</xdr:row>
      <xdr:rowOff>85725</xdr:rowOff>
    </xdr:from>
    <xdr:to>
      <xdr:col>7</xdr:col>
      <xdr:colOff>333375</xdr:colOff>
      <xdr:row>28</xdr:row>
      <xdr:rowOff>85725</xdr:rowOff>
    </xdr:to>
    <xdr:sp macro="" textlink="">
      <xdr:nvSpPr>
        <xdr:cNvPr id="29" name="Line 59">
          <a:extLst>
            <a:ext uri="{FF2B5EF4-FFF2-40B4-BE49-F238E27FC236}">
              <a16:creationId xmlns:a16="http://schemas.microsoft.com/office/drawing/2014/main" id="{00000000-0008-0000-07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40</xdr:row>
      <xdr:rowOff>114300</xdr:rowOff>
    </xdr:from>
    <xdr:to>
      <xdr:col>2</xdr:col>
      <xdr:colOff>114300</xdr:colOff>
      <xdr:row>40</xdr:row>
      <xdr:rowOff>114300</xdr:rowOff>
    </xdr:to>
    <xdr:sp macro="" textlink="">
      <xdr:nvSpPr>
        <xdr:cNvPr id="30" name="Line 60">
          <a:extLst>
            <a:ext uri="{FF2B5EF4-FFF2-40B4-BE49-F238E27FC236}">
              <a16:creationId xmlns:a16="http://schemas.microsoft.com/office/drawing/2014/main" id="{00000000-0008-0000-07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2</xdr:col>
      <xdr:colOff>85725</xdr:colOff>
      <xdr:row>39</xdr:row>
      <xdr:rowOff>123825</xdr:rowOff>
    </xdr:to>
    <xdr:sp macro="" textlink="">
      <xdr:nvSpPr>
        <xdr:cNvPr id="31" name="Line 61">
          <a:extLst>
            <a:ext uri="{FF2B5EF4-FFF2-40B4-BE49-F238E27FC236}">
              <a16:creationId xmlns:a16="http://schemas.microsoft.com/office/drawing/2014/main" id="{00000000-0008-0000-07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1</xdr:col>
      <xdr:colOff>47625</xdr:colOff>
      <xdr:row>40</xdr:row>
      <xdr:rowOff>114300</xdr:rowOff>
    </xdr:to>
    <xdr:sp macro="" textlink="">
      <xdr:nvSpPr>
        <xdr:cNvPr id="32" name="Line 62">
          <a:extLst>
            <a:ext uri="{FF2B5EF4-FFF2-40B4-BE49-F238E27FC236}">
              <a16:creationId xmlns:a16="http://schemas.microsoft.com/office/drawing/2014/main" id="{00000000-0008-0000-07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323850</xdr:colOff>
      <xdr:row>36</xdr:row>
      <xdr:rowOff>114300</xdr:rowOff>
    </xdr:to>
    <xdr:sp macro="" textlink="">
      <xdr:nvSpPr>
        <xdr:cNvPr id="33" name="Line 63">
          <a:extLst>
            <a:ext uri="{FF2B5EF4-FFF2-40B4-BE49-F238E27FC236}">
              <a16:creationId xmlns:a16="http://schemas.microsoft.com/office/drawing/2014/main" id="{00000000-0008-0000-07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37</xdr:row>
      <xdr:rowOff>123825</xdr:rowOff>
    </xdr:from>
    <xdr:to>
      <xdr:col>2</xdr:col>
      <xdr:colOff>180975</xdr:colOff>
      <xdr:row>37</xdr:row>
      <xdr:rowOff>123825</xdr:rowOff>
    </xdr:to>
    <xdr:sp macro="" textlink="">
      <xdr:nvSpPr>
        <xdr:cNvPr id="34" name="Line 64">
          <a:extLst>
            <a:ext uri="{FF2B5EF4-FFF2-40B4-BE49-F238E27FC236}">
              <a16:creationId xmlns:a16="http://schemas.microsoft.com/office/drawing/2014/main" id="{00000000-0008-0000-07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28575</xdr:colOff>
      <xdr:row>37</xdr:row>
      <xdr:rowOff>123825</xdr:rowOff>
    </xdr:to>
    <xdr:sp macro="" textlink="">
      <xdr:nvSpPr>
        <xdr:cNvPr id="35" name="Line 65">
          <a:extLst>
            <a:ext uri="{FF2B5EF4-FFF2-40B4-BE49-F238E27FC236}">
              <a16:creationId xmlns:a16="http://schemas.microsoft.com/office/drawing/2014/main" id="{00000000-0008-0000-07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47</xdr:row>
      <xdr:rowOff>114300</xdr:rowOff>
    </xdr:from>
    <xdr:to>
      <xdr:col>2</xdr:col>
      <xdr:colOff>114300</xdr:colOff>
      <xdr:row>47</xdr:row>
      <xdr:rowOff>114300</xdr:rowOff>
    </xdr:to>
    <xdr:sp macro="" textlink="">
      <xdr:nvSpPr>
        <xdr:cNvPr id="36" name="Line 66">
          <a:extLst>
            <a:ext uri="{FF2B5EF4-FFF2-40B4-BE49-F238E27FC236}">
              <a16:creationId xmlns:a16="http://schemas.microsoft.com/office/drawing/2014/main" id="{00000000-0008-0000-07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2</xdr:col>
      <xdr:colOff>85725</xdr:colOff>
      <xdr:row>46</xdr:row>
      <xdr:rowOff>123825</xdr:rowOff>
    </xdr:to>
    <xdr:sp macro="" textlink="">
      <xdr:nvSpPr>
        <xdr:cNvPr id="37" name="Line 67">
          <a:extLst>
            <a:ext uri="{FF2B5EF4-FFF2-40B4-BE49-F238E27FC236}">
              <a16:creationId xmlns:a16="http://schemas.microsoft.com/office/drawing/2014/main" id="{00000000-0008-0000-07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1</xdr:col>
      <xdr:colOff>47625</xdr:colOff>
      <xdr:row>47</xdr:row>
      <xdr:rowOff>114300</xdr:rowOff>
    </xdr:to>
    <xdr:sp macro="" textlink="">
      <xdr:nvSpPr>
        <xdr:cNvPr id="38" name="Line 68">
          <a:extLst>
            <a:ext uri="{FF2B5EF4-FFF2-40B4-BE49-F238E27FC236}">
              <a16:creationId xmlns:a16="http://schemas.microsoft.com/office/drawing/2014/main" id="{00000000-0008-0000-07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323850</xdr:colOff>
      <xdr:row>43</xdr:row>
      <xdr:rowOff>114300</xdr:rowOff>
    </xdr:to>
    <xdr:sp macro="" textlink="">
      <xdr:nvSpPr>
        <xdr:cNvPr id="39" name="Line 69">
          <a:extLst>
            <a:ext uri="{FF2B5EF4-FFF2-40B4-BE49-F238E27FC236}">
              <a16:creationId xmlns:a16="http://schemas.microsoft.com/office/drawing/2014/main" id="{00000000-0008-0000-07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44</xdr:row>
      <xdr:rowOff>123825</xdr:rowOff>
    </xdr:from>
    <xdr:to>
      <xdr:col>2</xdr:col>
      <xdr:colOff>180975</xdr:colOff>
      <xdr:row>44</xdr:row>
      <xdr:rowOff>123825</xdr:rowOff>
    </xdr:to>
    <xdr:sp macro="" textlink="">
      <xdr:nvSpPr>
        <xdr:cNvPr id="40" name="Line 70">
          <a:extLst>
            <a:ext uri="{FF2B5EF4-FFF2-40B4-BE49-F238E27FC236}">
              <a16:creationId xmlns:a16="http://schemas.microsoft.com/office/drawing/2014/main" id="{00000000-0008-0000-07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28575</xdr:colOff>
      <xdr:row>44</xdr:row>
      <xdr:rowOff>123825</xdr:rowOff>
    </xdr:to>
    <xdr:sp macro="" textlink="">
      <xdr:nvSpPr>
        <xdr:cNvPr id="41" name="Line 71">
          <a:extLst>
            <a:ext uri="{FF2B5EF4-FFF2-40B4-BE49-F238E27FC236}">
              <a16:creationId xmlns:a16="http://schemas.microsoft.com/office/drawing/2014/main" id="{00000000-0008-0000-07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38</xdr:row>
      <xdr:rowOff>123825</xdr:rowOff>
    </xdr:from>
    <xdr:to>
      <xdr:col>8</xdr:col>
      <xdr:colOff>209550</xdr:colOff>
      <xdr:row>38</xdr:row>
      <xdr:rowOff>123825</xdr:rowOff>
    </xdr:to>
    <xdr:sp macro="" textlink="">
      <xdr:nvSpPr>
        <xdr:cNvPr id="42" name="Line 75">
          <a:extLst>
            <a:ext uri="{FF2B5EF4-FFF2-40B4-BE49-F238E27FC236}">
              <a16:creationId xmlns:a16="http://schemas.microsoft.com/office/drawing/2014/main" id="{00000000-0008-0000-07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361950</xdr:colOff>
          <xdr:row>58</xdr:row>
          <xdr:rowOff>180975</xdr:rowOff>
        </xdr:from>
        <xdr:to>
          <xdr:col>2</xdr:col>
          <xdr:colOff>1609725</xdr:colOff>
          <xdr:row>62</xdr:row>
          <xdr:rowOff>47625</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64</xdr:row>
      <xdr:rowOff>0</xdr:rowOff>
    </xdr:from>
    <xdr:to>
      <xdr:col>4</xdr:col>
      <xdr:colOff>628650</xdr:colOff>
      <xdr:row>64</xdr:row>
      <xdr:rowOff>519056</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7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9525</xdr:colOff>
          <xdr:row>23</xdr:row>
          <xdr:rowOff>9525</xdr:rowOff>
        </xdr:from>
        <xdr:to>
          <xdr:col>3</xdr:col>
          <xdr:colOff>971550</xdr:colOff>
          <xdr:row>23</xdr:row>
          <xdr:rowOff>209550</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304800</xdr:colOff>
      <xdr:row>1</xdr:row>
      <xdr:rowOff>4762</xdr:rowOff>
    </xdr:from>
    <xdr:to>
      <xdr:col>16</xdr:col>
      <xdr:colOff>581026</xdr:colOff>
      <xdr:row>22</xdr:row>
      <xdr:rowOff>9525</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295275</xdr:colOff>
      <xdr:row>22</xdr:row>
      <xdr:rowOff>57150</xdr:rowOff>
    </xdr:from>
    <xdr:to>
      <xdr:col>16</xdr:col>
      <xdr:colOff>571500</xdr:colOff>
      <xdr:row>45</xdr:row>
      <xdr:rowOff>9525</xdr:rowOff>
    </xdr:to>
    <xdr:graphicFrame macro="">
      <xdr:nvGraphicFramePr>
        <xdr:cNvPr id="4" name="Chart 3">
          <a:extLst>
            <a:ext uri="{FF2B5EF4-FFF2-40B4-BE49-F238E27FC236}">
              <a16:creationId xmlns:a16="http://schemas.microsoft.com/office/drawing/2014/main" id="{00000000-0008-0000-1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I247" totalsRowShown="0" headerRowDxfId="107" dataDxfId="106">
  <autoFilter ref="A1:I247" xr:uid="{00000000-0009-0000-0100-000002000000}"/>
  <sortState xmlns:xlrd2="http://schemas.microsoft.com/office/spreadsheetml/2017/richdata2" ref="A2:I247">
    <sortCondition ref="A2:A247"/>
  </sortState>
  <tableColumns count="9">
    <tableColumn id="1" xr3:uid="{00000000-0010-0000-0000-000001000000}" name="Ingredient Name" dataDxfId="105"/>
    <tableColumn id="6" xr3:uid="{00000000-0010-0000-0000-000006000000}" name="Company" dataDxfId="104"/>
    <tableColumn id="2" xr3:uid="{00000000-0010-0000-0000-000002000000}" name="Grain or Sugar" dataDxfId="103" totalsRowDxfId="102"/>
    <tableColumn id="8" xr3:uid="{00000000-0010-0000-0000-000008000000}" name="Extract %" dataDxfId="101" totalsRowDxfId="100"/>
    <tableColumn id="5" xr3:uid="{00000000-0010-0000-0000-000005000000}" name="Moisture Content %" dataDxfId="99" totalsRowDxfId="98"/>
    <tableColumn id="3" xr3:uid="{00000000-0010-0000-0000-000003000000}" name="Max PPG" dataDxfId="97" totalsRowDxfId="96"/>
    <tableColumn id="4" xr3:uid="{00000000-0010-0000-0000-000004000000}" name="Color (° L)" dataDxfId="95"/>
    <tableColumn id="9" xr3:uid="{97017575-087E-4C28-BD18-5533BF1CEA0D}" name="Diastatic Power_x000a_(° Lintner)" dataDxfId="94"/>
    <tableColumn id="7" xr3:uid="{00000000-0010-0000-0000-000007000000}" name="Source" dataDxfId="9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315" totalsRowShown="0" headerRowDxfId="92" dataDxfId="91">
  <autoFilter ref="A1:I315" xr:uid="{00000000-0009-0000-0100-000003000000}"/>
  <sortState xmlns:xlrd2="http://schemas.microsoft.com/office/spreadsheetml/2017/richdata2" ref="A2:I315">
    <sortCondition ref="A2:A315"/>
  </sortState>
  <tableColumns count="9">
    <tableColumn id="1" xr3:uid="{00000000-0010-0000-0100-000001000000}" name="Name &amp; Number" dataDxfId="90"/>
    <tableColumn id="2" xr3:uid="{00000000-0010-0000-0100-000002000000}" name="Type" dataDxfId="89"/>
    <tableColumn id="3" xr3:uid="{00000000-0010-0000-0100-000003000000}" name="Lab" dataDxfId="88"/>
    <tableColumn id="4" xr3:uid="{00000000-0010-0000-0100-000004000000}" name="Floc." dataDxfId="87"/>
    <tableColumn id="5" xr3:uid="{00000000-0010-0000-0100-000005000000}" name="Atten." dataDxfId="86"/>
    <tableColumn id="6" xr3:uid="{00000000-0010-0000-0100-000006000000}" name="Avg Atten" dataDxfId="85" dataCellStyle="Percent"/>
    <tableColumn id="7" xr3:uid="{00000000-0010-0000-0100-000007000000}" name="Temp. Low F" dataDxfId="84"/>
    <tableColumn id="9" xr3:uid="{00000000-0010-0000-0100-000009000000}" name="Temp. High F" dataDxfId="83"/>
    <tableColumn id="8" xr3:uid="{00000000-0010-0000-0100-000008000000}" name="Description" dataDxfId="82"/>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brainlubeonline.com/GasLawsBeer.html"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engineeringtoolbox.com/water-density-specific-weight-d_595.html"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eernbbqbylarry.com/donat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beernbbqbylarry.com/category/brewing-winemaking/brewingspreadsheet/"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3.xml"/><Relationship Id="rId12" Type="http://schemas.openxmlformats.org/officeDocument/2006/relationships/image" Target="../media/image3.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2.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 Id="rId30"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hyperlink" Target="http://www.howtobrew.com/section3/chapter15-1.html" TargetMode="External"/><Relationship Id="rId21" Type="http://schemas.openxmlformats.org/officeDocument/2006/relationships/ctrlProp" Target="../ctrlProps/ctrlProp29.xml"/><Relationship Id="rId7" Type="http://schemas.openxmlformats.org/officeDocument/2006/relationships/drawing" Target="../drawings/drawing4.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8.bin"/><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hyperlink" Target="http://www.ezwatercalculator.com/" TargetMode="Externa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10" Type="http://schemas.openxmlformats.org/officeDocument/2006/relationships/image" Target="../media/image3.emf"/><Relationship Id="rId19" Type="http://schemas.openxmlformats.org/officeDocument/2006/relationships/ctrlProp" Target="../ctrlProps/ctrlProp2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s>
</file>

<file path=xl/worksheets/_rels/sheet9.xml.rels><?xml version="1.0" encoding="UTF-8" standalone="yes"?>
<Relationships xmlns="http://schemas.openxmlformats.org/package/2006/relationships"><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63" Type="http://schemas.openxmlformats.org/officeDocument/2006/relationships/hyperlink" Target="https://www.weyermann.de/usa/gelbe_seiten_usa.asp?go=brewery&amp;umenue=yes&amp;idmenue=269&amp;sprache=10" TargetMode="External"/><Relationship Id="rId84" Type="http://schemas.openxmlformats.org/officeDocument/2006/relationships/hyperlink" Target="http://www.brewingwithbriess.com/Products/Roasted.htm" TargetMode="External"/><Relationship Id="rId138" Type="http://schemas.openxmlformats.org/officeDocument/2006/relationships/hyperlink" Target="http://www.fawcett-maltsters.co.uk/uploads/2/0/2/6/20260333/spec_table_asbc.pdf" TargetMode="External"/><Relationship Id="rId159" Type="http://schemas.openxmlformats.org/officeDocument/2006/relationships/hyperlink" Target="http://www.beersmith.com/Grains/Grains/GrainList.htm" TargetMode="External"/><Relationship Id="rId170" Type="http://schemas.openxmlformats.org/officeDocument/2006/relationships/hyperlink" Target="https://bsgcraftbrewing.com/rahr-standard-2row" TargetMode="External"/><Relationship Id="rId191" Type="http://schemas.openxmlformats.org/officeDocument/2006/relationships/hyperlink" Target="https://crispmalt.com/en-us/malts/pale-chocolate-malt/" TargetMode="External"/><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53"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128" Type="http://schemas.openxmlformats.org/officeDocument/2006/relationships/hyperlink" Target="http://www.muntonsmicrobrewing.com/product-range/"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81" Type="http://schemas.openxmlformats.org/officeDocument/2006/relationships/hyperlink" Target="https://www.gladfieldmalt.co.nz/our-malts/" TargetMode="External"/><Relationship Id="rId22" Type="http://schemas.openxmlformats.org/officeDocument/2006/relationships/hyperlink" Target="https://www.simpsonsmalt.co.uk/our-malts/chocolate-malt/" TargetMode="External"/><Relationship Id="rId43" Type="http://schemas.openxmlformats.org/officeDocument/2006/relationships/hyperlink" Target="http://www.dingemansmout.be/products/roasted-malts" TargetMode="External"/><Relationship Id="rId64" Type="http://schemas.openxmlformats.org/officeDocument/2006/relationships/hyperlink" Target="https://www.weyermann.de/usa/gelbe_seiten_usa.asp?go=brewery&amp;umenue=yes&amp;idmenue=269&amp;sprache=10" TargetMode="External"/><Relationship Id="rId118" Type="http://schemas.openxmlformats.org/officeDocument/2006/relationships/hyperlink" Target="http://www.bestmalz.de/en/malts/best-black-malt-extra" TargetMode="External"/><Relationship Id="rId139" Type="http://schemas.openxmlformats.org/officeDocument/2006/relationships/hyperlink" Target="http://brewingwithbriess.com/Products/Roasted_Barley.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92" Type="http://schemas.openxmlformats.org/officeDocument/2006/relationships/printerSettings" Target="../printerSettings/printerSettings9.bin"/><Relationship Id="rId12" Type="http://schemas.openxmlformats.org/officeDocument/2006/relationships/hyperlink" Target="https://www.simpsonsmalt.co.uk/our-malts/caramalt/" TargetMode="External"/><Relationship Id="rId33" Type="http://schemas.openxmlformats.org/officeDocument/2006/relationships/hyperlink" Target="http://www.dingemansmout.be/products/kilned-malts" TargetMode="External"/><Relationship Id="rId108" Type="http://schemas.openxmlformats.org/officeDocument/2006/relationships/hyperlink" Target="http://www.bestmalz.de/en/malts/best-red-x/?"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5" Type="http://schemas.openxmlformats.org/officeDocument/2006/relationships/hyperlink" Target="http://www.brewingwithbriess.com/Products/Caramel.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61" Type="http://schemas.openxmlformats.org/officeDocument/2006/relationships/hyperlink" Target="http://www.brewingwithbriess.com/Products/Dark_Roasted.htm" TargetMode="External"/><Relationship Id="rId182" Type="http://schemas.openxmlformats.org/officeDocument/2006/relationships/hyperlink" Target="https://www.gladfieldmalt.co.nz/our-malts/"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5" Type="http://schemas.openxmlformats.org/officeDocument/2006/relationships/hyperlink" Target="https://www.weyermann.de/usa/gelbe_seiten_usa.asp?go=brewery&amp;umenue=yes&amp;idmenue=269&amp;sprache=10"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51" Type="http://schemas.openxmlformats.org/officeDocument/2006/relationships/hyperlink" Target="http://www.beersmith.com/Grains/Grains/GrainList.htm" TargetMode="External"/><Relationship Id="rId172" Type="http://schemas.openxmlformats.org/officeDocument/2006/relationships/hyperlink" Target="https://www.avangard-malz.de/upload/iblock/1cb/1cbb170b18740b3d58e8786cf14b3e8c.pdf" TargetMode="External"/><Relationship Id="rId193" Type="http://schemas.openxmlformats.org/officeDocument/2006/relationships/table" Target="../tables/table1.xml"/><Relationship Id="rId13" Type="http://schemas.openxmlformats.org/officeDocument/2006/relationships/hyperlink" Target="https://www.simpsonsmalt.co.uk/our-malts/premium-english-caramalt/"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188" Type="http://schemas.openxmlformats.org/officeDocument/2006/relationships/hyperlink" Target="https://www.weyermann.de/usa/gelbe_seiten_usa.asp?go=brewery&amp;umenue=yes&amp;idmenue=269&amp;sprache=10"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189" Type="http://schemas.openxmlformats.org/officeDocument/2006/relationships/hyperlink" Target="https://www.avangard-malz.de/en/downloads/"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90" Type="http://schemas.openxmlformats.org/officeDocument/2006/relationships/hyperlink" Target="https://www.avangard-malz.de/en/downloads/"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hyperlink" Target="http://brewingwithbriess.com/Products/Dark_Roasted.htm" TargetMode="External"/><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80" Type="http://schemas.openxmlformats.org/officeDocument/2006/relationships/hyperlink" Target="https://www.gladfieldmalt.co.nz/our-malts/" TargetMode="External"/><Relationship Id="rId26" Type="http://schemas.openxmlformats.org/officeDocument/2006/relationships/hyperlink" Target="https://www.simpsonsmalt.co.uk/our-malts/wheat-malt/" TargetMode="External"/><Relationship Id="rId47"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54"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6" Type="http://schemas.openxmlformats.org/officeDocument/2006/relationships/hyperlink" Target="https://www.simpsonsmalt.co.uk/our-malts/crystal-medium/" TargetMode="External"/><Relationship Id="rId37" Type="http://schemas.openxmlformats.org/officeDocument/2006/relationships/hyperlink" Target="http://www.dingemansmout.be/products/caramalized-malts" TargetMode="External"/><Relationship Id="rId58" Type="http://schemas.openxmlformats.org/officeDocument/2006/relationships/hyperlink" Target="https://www.weyermann.de/usa/gelbe_seiten_usa.asp?go=brewery&amp;umenue=yes&amp;idmenue=269&amp;sprache=10"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44" Type="http://schemas.openxmlformats.org/officeDocument/2006/relationships/hyperlink" Target="http://brewingwithbriess.com/Products/Kilned.htm" TargetMode="External"/><Relationship Id="rId90" Type="http://schemas.openxmlformats.org/officeDocument/2006/relationships/hyperlink" Target="http://www.brewingwithbriess.com/Products/Base.htm" TargetMode="External"/><Relationship Id="rId165" Type="http://schemas.openxmlformats.org/officeDocument/2006/relationships/hyperlink" Target="http://www.brewingwithbriess.com/Products/Base.htm" TargetMode="External"/><Relationship Id="rId186" Type="http://schemas.openxmlformats.org/officeDocument/2006/relationships/hyperlink" Target="http://brewingwithbriess.com/Products/Dark_Roasted.htm" TargetMode="External"/><Relationship Id="rId27" Type="http://schemas.openxmlformats.org/officeDocument/2006/relationships/hyperlink" Target="https://www.simpsonsmalt.co.uk/our-malts/golden-naked-oats-gno/" TargetMode="External"/><Relationship Id="rId48"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34" Type="http://schemas.openxmlformats.org/officeDocument/2006/relationships/hyperlink" Target="http://www.muntonsmicrobrewing.com/product-range/" TargetMode="External"/><Relationship Id="rId80" Type="http://schemas.openxmlformats.org/officeDocument/2006/relationships/hyperlink" Target="http://www.brewingwithbriess.com/Products/Caramel.htm" TargetMode="External"/><Relationship Id="rId155" Type="http://schemas.openxmlformats.org/officeDocument/2006/relationships/hyperlink" Target="http://www.beersmith.com/Grains/Grains/GrainList.htm" TargetMode="External"/><Relationship Id="rId176" Type="http://schemas.openxmlformats.org/officeDocument/2006/relationships/hyperlink" Target="https://www.gladfieldmalt.co.nz/our-malts/" TargetMode="External"/><Relationship Id="rId17" Type="http://schemas.openxmlformats.org/officeDocument/2006/relationships/hyperlink" Target="https://www.simpsonsmalt.co.uk/our-malts/crystal-extra-dark/"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24" Type="http://schemas.openxmlformats.org/officeDocument/2006/relationships/hyperlink" Target="http://www.muntonsmicrobrewing.com/product-range/" TargetMode="External"/><Relationship Id="rId70"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145" Type="http://schemas.openxmlformats.org/officeDocument/2006/relationships/hyperlink" Target="http://brewingwithbriess.com/Products/Kilned.htm" TargetMode="External"/><Relationship Id="rId166" Type="http://schemas.openxmlformats.org/officeDocument/2006/relationships/hyperlink" Target="https://www.weyermann.de/usa/gelbe_seiten_usa.asp?go=brewery&amp;umenue=yes&amp;idmenue=269&amp;sprache=10" TargetMode="External"/><Relationship Id="rId187" Type="http://schemas.openxmlformats.org/officeDocument/2006/relationships/hyperlink" Target="http://www.brewingwithbriess.com/Products/Munich.htm" TargetMode="External"/><Relationship Id="rId1" Type="http://schemas.openxmlformats.org/officeDocument/2006/relationships/hyperlink" Target="https://www.simpsonsmalt.co.uk/our-malts/finest-pale-ale-golden-promise/"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60" Type="http://schemas.openxmlformats.org/officeDocument/2006/relationships/hyperlink" Target="http://www.brewingwithbriess.com/Products/Base.htm" TargetMode="External"/><Relationship Id="rId81" Type="http://schemas.openxmlformats.org/officeDocument/2006/relationships/hyperlink" Target="http://www.brewingwithbriess.com/Products/Carapils.htm" TargetMode="External"/><Relationship Id="rId135" Type="http://schemas.openxmlformats.org/officeDocument/2006/relationships/hyperlink" Target="http://www.brewingwithbriess.com/Products/Extracts.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63"/>
  <sheetViews>
    <sheetView topLeftCell="A49" zoomScaleNormal="100" workbookViewId="0">
      <selection activeCell="B63" sqref="B63"/>
    </sheetView>
  </sheetViews>
  <sheetFormatPr defaultRowHeight="12.75" x14ac:dyDescent="0.2"/>
  <cols>
    <col min="1" max="1" width="10.140625" bestFit="1" customWidth="1"/>
    <col min="2" max="2" width="111.28515625" style="41" customWidth="1"/>
  </cols>
  <sheetData>
    <row r="2" spans="2:2" ht="20.25" x14ac:dyDescent="0.3">
      <c r="B2" s="488" t="s">
        <v>1114</v>
      </c>
    </row>
    <row r="3" spans="2:2" x14ac:dyDescent="0.2">
      <c r="B3" s="340" t="s">
        <v>2244</v>
      </c>
    </row>
    <row r="4" spans="2:2" x14ac:dyDescent="0.2">
      <c r="B4" s="486" t="s">
        <v>1231</v>
      </c>
    </row>
    <row r="5" spans="2:2" x14ac:dyDescent="0.2">
      <c r="B5" s="340" t="s">
        <v>2286</v>
      </c>
    </row>
    <row r="6" spans="2:2" x14ac:dyDescent="0.2">
      <c r="B6" s="340" t="s">
        <v>2022</v>
      </c>
    </row>
    <row r="7" spans="2:2" ht="25.5" x14ac:dyDescent="0.2">
      <c r="B7" s="340" t="s">
        <v>2023</v>
      </c>
    </row>
    <row r="8" spans="2:2" x14ac:dyDescent="0.2">
      <c r="B8" s="340" t="s">
        <v>1111</v>
      </c>
    </row>
    <row r="9" spans="2:2" x14ac:dyDescent="0.2">
      <c r="B9" s="340" t="s">
        <v>2298</v>
      </c>
    </row>
    <row r="10" spans="2:2" x14ac:dyDescent="0.2">
      <c r="B10" s="340" t="s">
        <v>2299</v>
      </c>
    </row>
    <row r="11" spans="2:2" x14ac:dyDescent="0.2">
      <c r="B11" s="340" t="s">
        <v>2300</v>
      </c>
    </row>
    <row r="12" spans="2:2" x14ac:dyDescent="0.2">
      <c r="B12" s="340" t="s">
        <v>2301</v>
      </c>
    </row>
    <row r="13" spans="2:2" x14ac:dyDescent="0.2">
      <c r="B13" s="340" t="s">
        <v>2302</v>
      </c>
    </row>
    <row r="14" spans="2:2" x14ac:dyDescent="0.2">
      <c r="B14" s="340" t="s">
        <v>2303</v>
      </c>
    </row>
    <row r="15" spans="2:2" x14ac:dyDescent="0.2">
      <c r="B15" s="340" t="s">
        <v>2304</v>
      </c>
    </row>
    <row r="16" spans="2:2" x14ac:dyDescent="0.2">
      <c r="B16" s="340" t="s">
        <v>2305</v>
      </c>
    </row>
    <row r="17" spans="1:2" x14ac:dyDescent="0.2">
      <c r="B17" s="486" t="s">
        <v>122</v>
      </c>
    </row>
    <row r="20" spans="1:2" x14ac:dyDescent="0.2">
      <c r="B20" s="485" t="s">
        <v>1112</v>
      </c>
    </row>
    <row r="21" spans="1:2" x14ac:dyDescent="0.2">
      <c r="B21" s="340" t="s">
        <v>1113</v>
      </c>
    </row>
    <row r="22" spans="1:2" ht="63.75" x14ac:dyDescent="0.2">
      <c r="A22" s="33">
        <v>42838</v>
      </c>
      <c r="B22" s="32" t="s">
        <v>1129</v>
      </c>
    </row>
    <row r="23" spans="1:2" x14ac:dyDescent="0.2">
      <c r="A23" s="40">
        <v>42840</v>
      </c>
      <c r="B23" s="340" t="s">
        <v>1130</v>
      </c>
    </row>
    <row r="24" spans="1:2" x14ac:dyDescent="0.2">
      <c r="A24" s="40">
        <v>42845</v>
      </c>
      <c r="B24" s="340" t="s">
        <v>1131</v>
      </c>
    </row>
    <row r="25" spans="1:2" x14ac:dyDescent="0.2">
      <c r="A25" s="40">
        <v>42850</v>
      </c>
      <c r="B25" s="340" t="s">
        <v>1205</v>
      </c>
    </row>
    <row r="26" spans="1:2" x14ac:dyDescent="0.2">
      <c r="A26" s="40">
        <v>42854</v>
      </c>
      <c r="B26" s="340" t="s">
        <v>1216</v>
      </c>
    </row>
    <row r="27" spans="1:2" ht="51" x14ac:dyDescent="0.2">
      <c r="A27" s="42">
        <v>42931</v>
      </c>
      <c r="B27" s="32" t="s">
        <v>1230</v>
      </c>
    </row>
    <row r="28" spans="1:2" ht="127.5" x14ac:dyDescent="0.2">
      <c r="A28" s="42">
        <v>42983</v>
      </c>
      <c r="B28" s="32" t="s">
        <v>1548</v>
      </c>
    </row>
    <row r="29" spans="1:2" ht="140.25" x14ac:dyDescent="0.2">
      <c r="A29" s="42">
        <v>43048</v>
      </c>
      <c r="B29" s="32" t="s">
        <v>1627</v>
      </c>
    </row>
    <row r="30" spans="1:2" ht="38.25" x14ac:dyDescent="0.2">
      <c r="A30" s="42">
        <v>43189</v>
      </c>
      <c r="B30" s="32" t="s">
        <v>1628</v>
      </c>
    </row>
    <row r="31" spans="1:2" ht="25.5" x14ac:dyDescent="0.2">
      <c r="A31" s="42">
        <v>43267</v>
      </c>
      <c r="B31" s="32" t="s">
        <v>1633</v>
      </c>
    </row>
    <row r="32" spans="1:2" x14ac:dyDescent="0.2">
      <c r="A32" s="40">
        <v>43386</v>
      </c>
      <c r="B32" s="32" t="s">
        <v>1641</v>
      </c>
    </row>
    <row r="33" spans="1:2" ht="51" x14ac:dyDescent="0.2">
      <c r="A33" s="42">
        <v>43435</v>
      </c>
      <c r="B33" s="32" t="s">
        <v>1642</v>
      </c>
    </row>
    <row r="34" spans="1:2" ht="306" x14ac:dyDescent="0.2">
      <c r="A34" s="42">
        <v>43478</v>
      </c>
      <c r="B34" s="340" t="s">
        <v>1904</v>
      </c>
    </row>
    <row r="35" spans="1:2" x14ac:dyDescent="0.2">
      <c r="A35" s="40">
        <v>43480</v>
      </c>
      <c r="B35" s="487" t="s">
        <v>1905</v>
      </c>
    </row>
    <row r="36" spans="1:2" x14ac:dyDescent="0.2">
      <c r="A36" s="40">
        <v>43481</v>
      </c>
      <c r="B36" s="32" t="s">
        <v>1906</v>
      </c>
    </row>
    <row r="37" spans="1:2" x14ac:dyDescent="0.2">
      <c r="A37" s="40">
        <v>43482</v>
      </c>
      <c r="B37" s="32" t="s">
        <v>1907</v>
      </c>
    </row>
    <row r="38" spans="1:2" x14ac:dyDescent="0.2">
      <c r="A38" s="40">
        <v>43494</v>
      </c>
      <c r="B38" s="32" t="s">
        <v>1909</v>
      </c>
    </row>
    <row r="39" spans="1:2" x14ac:dyDescent="0.2">
      <c r="A39" s="40">
        <v>43502</v>
      </c>
      <c r="B39" s="32" t="s">
        <v>1953</v>
      </c>
    </row>
    <row r="40" spans="1:2" x14ac:dyDescent="0.2">
      <c r="A40" s="40">
        <v>43522</v>
      </c>
      <c r="B40" s="32" t="s">
        <v>1972</v>
      </c>
    </row>
    <row r="41" spans="1:2" x14ac:dyDescent="0.2">
      <c r="A41" s="40">
        <v>43543</v>
      </c>
      <c r="B41" s="32" t="s">
        <v>1982</v>
      </c>
    </row>
    <row r="42" spans="1:2" ht="102" x14ac:dyDescent="0.2">
      <c r="A42" s="42">
        <v>43564</v>
      </c>
      <c r="B42" s="340" t="s">
        <v>1984</v>
      </c>
    </row>
    <row r="43" spans="1:2" ht="25.5" x14ac:dyDescent="0.2">
      <c r="A43" s="42">
        <v>43653</v>
      </c>
      <c r="B43" s="32" t="s">
        <v>1985</v>
      </c>
    </row>
    <row r="44" spans="1:2" x14ac:dyDescent="0.2">
      <c r="A44" s="40">
        <v>43799</v>
      </c>
      <c r="B44" s="41" t="s">
        <v>1986</v>
      </c>
    </row>
    <row r="45" spans="1:2" x14ac:dyDescent="0.2">
      <c r="A45" s="40">
        <v>43832</v>
      </c>
      <c r="B45" s="32" t="s">
        <v>1987</v>
      </c>
    </row>
    <row r="46" spans="1:2" x14ac:dyDescent="0.2">
      <c r="A46" s="40">
        <v>43836</v>
      </c>
      <c r="B46" s="32" t="s">
        <v>2008</v>
      </c>
    </row>
    <row r="47" spans="1:2" x14ac:dyDescent="0.2">
      <c r="A47" s="40">
        <v>43844</v>
      </c>
      <c r="B47" s="32" t="s">
        <v>2010</v>
      </c>
    </row>
    <row r="48" spans="1:2" x14ac:dyDescent="0.2">
      <c r="A48" s="40">
        <v>43849</v>
      </c>
      <c r="B48" s="32" t="s">
        <v>2123</v>
      </c>
    </row>
    <row r="49" spans="1:2" x14ac:dyDescent="0.2">
      <c r="A49" s="40">
        <v>43899</v>
      </c>
      <c r="B49" s="32" t="s">
        <v>2126</v>
      </c>
    </row>
    <row r="50" spans="1:2" ht="25.5" x14ac:dyDescent="0.2">
      <c r="A50" s="431">
        <v>43907</v>
      </c>
      <c r="B50" s="340" t="s">
        <v>2127</v>
      </c>
    </row>
    <row r="51" spans="1:2" ht="25.5" x14ac:dyDescent="0.2">
      <c r="A51" s="431">
        <v>43933</v>
      </c>
      <c r="B51" s="32" t="s">
        <v>2144</v>
      </c>
    </row>
    <row r="52" spans="1:2" ht="63.75" x14ac:dyDescent="0.2">
      <c r="A52" s="431">
        <v>44068</v>
      </c>
      <c r="B52" s="32" t="s">
        <v>2148</v>
      </c>
    </row>
    <row r="53" spans="1:2" ht="25.5" x14ac:dyDescent="0.2">
      <c r="A53" s="40">
        <v>44198</v>
      </c>
      <c r="B53" s="32" t="s">
        <v>2153</v>
      </c>
    </row>
    <row r="54" spans="1:2" ht="25.5" x14ac:dyDescent="0.2">
      <c r="A54" s="40">
        <v>44207</v>
      </c>
      <c r="B54" s="32" t="s">
        <v>2154</v>
      </c>
    </row>
    <row r="55" spans="1:2" ht="153" x14ac:dyDescent="0.2">
      <c r="A55" s="431">
        <v>44325</v>
      </c>
      <c r="B55" s="340" t="s">
        <v>2321</v>
      </c>
    </row>
    <row r="56" spans="1:2" ht="178.5" x14ac:dyDescent="0.2">
      <c r="A56" s="431">
        <v>44522</v>
      </c>
      <c r="B56" s="565" t="s">
        <v>2395</v>
      </c>
    </row>
    <row r="57" spans="1:2" x14ac:dyDescent="0.2">
      <c r="A57" s="40">
        <v>44616</v>
      </c>
      <c r="B57" s="487" t="s">
        <v>2415</v>
      </c>
    </row>
    <row r="58" spans="1:2" x14ac:dyDescent="0.2">
      <c r="A58" s="40">
        <v>44787</v>
      </c>
      <c r="B58" s="41" t="s">
        <v>2420</v>
      </c>
    </row>
    <row r="59" spans="1:2" ht="51" x14ac:dyDescent="0.2">
      <c r="A59" s="431">
        <v>44965</v>
      </c>
      <c r="B59" s="340" t="s">
        <v>2429</v>
      </c>
    </row>
    <row r="60" spans="1:2" ht="25.5" x14ac:dyDescent="0.2">
      <c r="A60" s="40">
        <v>45179</v>
      </c>
      <c r="B60" s="340" t="s">
        <v>2433</v>
      </c>
    </row>
    <row r="61" spans="1:2" x14ac:dyDescent="0.2">
      <c r="A61" s="40">
        <v>45413</v>
      </c>
      <c r="B61" s="41" t="s">
        <v>2443</v>
      </c>
    </row>
    <row r="62" spans="1:2" x14ac:dyDescent="0.2">
      <c r="A62" s="40">
        <v>45689</v>
      </c>
      <c r="B62" s="41" t="s">
        <v>2450</v>
      </c>
    </row>
    <row r="63" spans="1:2" x14ac:dyDescent="0.2">
      <c r="A63" s="40">
        <v>45698</v>
      </c>
      <c r="B63" s="41" t="s">
        <v>2451</v>
      </c>
    </row>
  </sheetData>
  <sheetProtection sheet="1" objects="1" scenarios="1"/>
  <hyperlinks>
    <hyperlink ref="B17"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301"/>
  <sheetViews>
    <sheetView workbookViewId="0">
      <selection activeCell="D28" sqref="D28"/>
    </sheetView>
  </sheetViews>
  <sheetFormatPr defaultRowHeight="12.75" x14ac:dyDescent="0.2"/>
  <cols>
    <col min="1" max="1" width="34.7109375" customWidth="1"/>
    <col min="2" max="2" width="12" bestFit="1" customWidth="1"/>
    <col min="3" max="3" width="48.28515625" bestFit="1" customWidth="1"/>
    <col min="4" max="4" width="218.140625" bestFit="1" customWidth="1"/>
  </cols>
  <sheetData>
    <row r="1" spans="1:4" x14ac:dyDescent="0.2">
      <c r="A1" s="548" t="s">
        <v>113</v>
      </c>
      <c r="B1" s="548" t="s">
        <v>704</v>
      </c>
      <c r="C1" s="548" t="s">
        <v>705</v>
      </c>
      <c r="D1" s="552" t="s">
        <v>127</v>
      </c>
    </row>
    <row r="2" spans="1:4" x14ac:dyDescent="0.2">
      <c r="A2" s="676" t="s">
        <v>128</v>
      </c>
      <c r="B2" s="676" t="s">
        <v>129</v>
      </c>
      <c r="C2" s="676" t="s">
        <v>130</v>
      </c>
      <c r="D2" s="676" t="s">
        <v>131</v>
      </c>
    </row>
    <row r="3" spans="1:4" x14ac:dyDescent="0.2">
      <c r="A3" s="676" t="s">
        <v>706</v>
      </c>
      <c r="B3" s="676" t="s">
        <v>132</v>
      </c>
      <c r="C3" s="676" t="s">
        <v>133</v>
      </c>
      <c r="D3" s="676" t="s">
        <v>134</v>
      </c>
    </row>
    <row r="4" spans="1:4" x14ac:dyDescent="0.2">
      <c r="A4" s="676" t="s">
        <v>707</v>
      </c>
      <c r="B4" s="676" t="s">
        <v>136</v>
      </c>
      <c r="C4" s="676" t="s">
        <v>137</v>
      </c>
      <c r="D4" s="676" t="s">
        <v>138</v>
      </c>
    </row>
    <row r="5" spans="1:4" x14ac:dyDescent="0.2">
      <c r="A5" s="676" t="s">
        <v>139</v>
      </c>
      <c r="B5" s="676" t="s">
        <v>140</v>
      </c>
      <c r="C5" s="676" t="s">
        <v>141</v>
      </c>
      <c r="D5" s="676" t="s">
        <v>142</v>
      </c>
    </row>
    <row r="6" spans="1:4" x14ac:dyDescent="0.2">
      <c r="A6" s="676" t="s">
        <v>843</v>
      </c>
      <c r="B6" s="676" t="s">
        <v>167</v>
      </c>
      <c r="C6" s="676" t="s">
        <v>256</v>
      </c>
      <c r="D6" s="676"/>
    </row>
    <row r="7" spans="1:4" x14ac:dyDescent="0.2">
      <c r="A7" s="676" t="s">
        <v>708</v>
      </c>
      <c r="B7" s="676" t="s">
        <v>709</v>
      </c>
      <c r="C7" s="676"/>
      <c r="D7" s="676" t="s">
        <v>710</v>
      </c>
    </row>
    <row r="8" spans="1:4" x14ac:dyDescent="0.2">
      <c r="A8" s="676" t="s">
        <v>810</v>
      </c>
      <c r="B8" s="677">
        <v>0.121</v>
      </c>
      <c r="C8" s="676"/>
      <c r="D8" s="676" t="s">
        <v>811</v>
      </c>
    </row>
    <row r="9" spans="1:4" x14ac:dyDescent="0.2">
      <c r="A9" s="676" t="s">
        <v>711</v>
      </c>
      <c r="B9" s="676" t="s">
        <v>136</v>
      </c>
      <c r="C9" s="676"/>
      <c r="D9" s="676" t="s">
        <v>712</v>
      </c>
    </row>
    <row r="10" spans="1:4" x14ac:dyDescent="0.2">
      <c r="A10" s="676" t="s">
        <v>819</v>
      </c>
      <c r="B10" s="676" t="s">
        <v>820</v>
      </c>
      <c r="C10" s="676" t="s">
        <v>763</v>
      </c>
      <c r="D10" s="676"/>
    </row>
    <row r="11" spans="1:4" x14ac:dyDescent="0.2">
      <c r="A11" s="676" t="s">
        <v>143</v>
      </c>
      <c r="B11" s="676" t="s">
        <v>144</v>
      </c>
      <c r="C11" s="676" t="s">
        <v>145</v>
      </c>
      <c r="D11" s="676" t="s">
        <v>146</v>
      </c>
    </row>
    <row r="12" spans="1:4" x14ac:dyDescent="0.2">
      <c r="A12" s="676" t="s">
        <v>147</v>
      </c>
      <c r="B12" s="676" t="s">
        <v>148</v>
      </c>
      <c r="C12" s="676" t="s">
        <v>149</v>
      </c>
      <c r="D12" s="676"/>
    </row>
    <row r="13" spans="1:4" x14ac:dyDescent="0.2">
      <c r="A13" s="676" t="s">
        <v>150</v>
      </c>
      <c r="B13" s="676" t="s">
        <v>151</v>
      </c>
      <c r="C13" s="676" t="s">
        <v>152</v>
      </c>
      <c r="D13" s="676" t="s">
        <v>153</v>
      </c>
    </row>
    <row r="14" spans="1:4" x14ac:dyDescent="0.2">
      <c r="A14" s="676" t="s">
        <v>154</v>
      </c>
      <c r="B14" s="676" t="s">
        <v>155</v>
      </c>
      <c r="C14" s="676" t="s">
        <v>156</v>
      </c>
      <c r="D14" s="676" t="s">
        <v>157</v>
      </c>
    </row>
    <row r="15" spans="1:4" x14ac:dyDescent="0.2">
      <c r="A15" s="676" t="s">
        <v>158</v>
      </c>
      <c r="B15" s="676" t="s">
        <v>159</v>
      </c>
      <c r="C15" s="676" t="s">
        <v>160</v>
      </c>
      <c r="D15" s="676" t="s">
        <v>161</v>
      </c>
    </row>
    <row r="16" spans="1:4" x14ac:dyDescent="0.2">
      <c r="A16" s="676" t="s">
        <v>812</v>
      </c>
      <c r="B16" s="676" t="s">
        <v>263</v>
      </c>
      <c r="C16" s="676"/>
      <c r="D16" s="676" t="s">
        <v>813</v>
      </c>
    </row>
    <row r="17" spans="1:4" x14ac:dyDescent="0.2">
      <c r="A17" s="676" t="s">
        <v>2325</v>
      </c>
      <c r="B17" s="676" t="s">
        <v>2326</v>
      </c>
      <c r="C17" s="676"/>
      <c r="D17" s="676"/>
    </row>
    <row r="18" spans="1:4" x14ac:dyDescent="0.2">
      <c r="A18" s="676" t="s">
        <v>162</v>
      </c>
      <c r="B18" s="676" t="s">
        <v>163</v>
      </c>
      <c r="C18" s="676" t="s">
        <v>164</v>
      </c>
      <c r="D18" s="676" t="s">
        <v>165</v>
      </c>
    </row>
    <row r="19" spans="1:4" x14ac:dyDescent="0.2">
      <c r="A19" s="676" t="s">
        <v>166</v>
      </c>
      <c r="B19" s="676" t="s">
        <v>167</v>
      </c>
      <c r="C19" s="676" t="s">
        <v>168</v>
      </c>
      <c r="D19" s="676" t="s">
        <v>169</v>
      </c>
    </row>
    <row r="20" spans="1:4" x14ac:dyDescent="0.2">
      <c r="A20" s="676" t="s">
        <v>170</v>
      </c>
      <c r="B20" s="676" t="s">
        <v>171</v>
      </c>
      <c r="C20" s="676" t="s">
        <v>172</v>
      </c>
      <c r="D20" s="676" t="s">
        <v>173</v>
      </c>
    </row>
    <row r="21" spans="1:4" x14ac:dyDescent="0.2">
      <c r="A21" s="676" t="s">
        <v>713</v>
      </c>
      <c r="B21" s="676" t="s">
        <v>714</v>
      </c>
      <c r="C21" s="676"/>
      <c r="D21" s="676" t="s">
        <v>715</v>
      </c>
    </row>
    <row r="22" spans="1:4" x14ac:dyDescent="0.2">
      <c r="A22" s="676" t="s">
        <v>788</v>
      </c>
      <c r="B22" s="676" t="s">
        <v>251</v>
      </c>
      <c r="C22" s="676" t="s">
        <v>747</v>
      </c>
      <c r="D22" s="676" t="s">
        <v>789</v>
      </c>
    </row>
    <row r="23" spans="1:4" x14ac:dyDescent="0.2">
      <c r="A23" s="676" t="s">
        <v>174</v>
      </c>
      <c r="B23" s="676" t="s">
        <v>175</v>
      </c>
      <c r="C23" s="676" t="s">
        <v>176</v>
      </c>
      <c r="D23" s="676" t="s">
        <v>177</v>
      </c>
    </row>
    <row r="24" spans="1:4" x14ac:dyDescent="0.2">
      <c r="A24" s="676" t="s">
        <v>178</v>
      </c>
      <c r="B24" s="676" t="s">
        <v>179</v>
      </c>
      <c r="C24" s="676" t="s">
        <v>180</v>
      </c>
      <c r="D24" s="676" t="s">
        <v>181</v>
      </c>
    </row>
    <row r="25" spans="1:4" x14ac:dyDescent="0.2">
      <c r="A25" s="676" t="s">
        <v>182</v>
      </c>
      <c r="B25" s="676" t="s">
        <v>183</v>
      </c>
      <c r="C25" s="676" t="s">
        <v>184</v>
      </c>
      <c r="D25" s="676" t="s">
        <v>185</v>
      </c>
    </row>
    <row r="26" spans="1:4" x14ac:dyDescent="0.2">
      <c r="A26" s="676" t="s">
        <v>716</v>
      </c>
      <c r="B26" s="676" t="s">
        <v>241</v>
      </c>
      <c r="C26" s="676"/>
      <c r="D26" s="676" t="s">
        <v>717</v>
      </c>
    </row>
    <row r="27" spans="1:4" x14ac:dyDescent="0.2">
      <c r="A27" s="676" t="s">
        <v>186</v>
      </c>
      <c r="B27" s="676" t="s">
        <v>187</v>
      </c>
      <c r="C27" s="676" t="s">
        <v>188</v>
      </c>
      <c r="D27" s="676" t="s">
        <v>189</v>
      </c>
    </row>
    <row r="28" spans="1:4" x14ac:dyDescent="0.2">
      <c r="A28" s="676" t="s">
        <v>190</v>
      </c>
      <c r="B28" s="676" t="s">
        <v>191</v>
      </c>
      <c r="C28" s="676" t="s">
        <v>192</v>
      </c>
      <c r="D28" s="676" t="s">
        <v>193</v>
      </c>
    </row>
    <row r="29" spans="1:4" x14ac:dyDescent="0.2">
      <c r="A29" s="676" t="s">
        <v>718</v>
      </c>
      <c r="B29" s="676" t="s">
        <v>719</v>
      </c>
      <c r="C29" s="676"/>
      <c r="D29" s="676" t="s">
        <v>720</v>
      </c>
    </row>
    <row r="30" spans="1:4" x14ac:dyDescent="0.2">
      <c r="A30" s="676" t="s">
        <v>790</v>
      </c>
      <c r="B30" s="676" t="s">
        <v>791</v>
      </c>
      <c r="C30" s="676" t="s">
        <v>792</v>
      </c>
      <c r="D30" s="676" t="s">
        <v>793</v>
      </c>
    </row>
    <row r="31" spans="1:4" x14ac:dyDescent="0.2">
      <c r="A31" s="676" t="s">
        <v>1862</v>
      </c>
      <c r="B31" s="676" t="s">
        <v>1863</v>
      </c>
      <c r="C31" s="676"/>
      <c r="D31" s="676" t="s">
        <v>1864</v>
      </c>
    </row>
    <row r="32" spans="1:4" x14ac:dyDescent="0.2">
      <c r="A32" s="676" t="s">
        <v>721</v>
      </c>
      <c r="B32" s="676" t="s">
        <v>709</v>
      </c>
      <c r="C32" s="676"/>
      <c r="D32" s="676" t="s">
        <v>722</v>
      </c>
    </row>
    <row r="33" spans="1:4" x14ac:dyDescent="0.2">
      <c r="A33" s="676" t="s">
        <v>794</v>
      </c>
      <c r="B33" s="676" t="s">
        <v>795</v>
      </c>
      <c r="C33" s="676"/>
      <c r="D33" s="676" t="s">
        <v>796</v>
      </c>
    </row>
    <row r="34" spans="1:4" x14ac:dyDescent="0.2">
      <c r="A34" s="676" t="s">
        <v>194</v>
      </c>
      <c r="B34" s="676" t="s">
        <v>195</v>
      </c>
      <c r="C34" s="676" t="s">
        <v>196</v>
      </c>
      <c r="D34" s="676" t="s">
        <v>197</v>
      </c>
    </row>
    <row r="35" spans="1:4" x14ac:dyDescent="0.2">
      <c r="A35" s="676" t="s">
        <v>723</v>
      </c>
      <c r="B35" s="676" t="s">
        <v>724</v>
      </c>
      <c r="C35" s="676" t="s">
        <v>338</v>
      </c>
      <c r="D35" s="676" t="s">
        <v>725</v>
      </c>
    </row>
    <row r="36" spans="1:4" x14ac:dyDescent="0.2">
      <c r="A36" s="676" t="s">
        <v>198</v>
      </c>
      <c r="B36" s="676" t="s">
        <v>179</v>
      </c>
      <c r="C36" s="676" t="s">
        <v>199</v>
      </c>
      <c r="D36" s="676" t="s">
        <v>200</v>
      </c>
    </row>
    <row r="37" spans="1:4" x14ac:dyDescent="0.2">
      <c r="A37" s="676" t="s">
        <v>201</v>
      </c>
      <c r="B37" s="676" t="s">
        <v>202</v>
      </c>
      <c r="C37" s="676" t="s">
        <v>203</v>
      </c>
      <c r="D37" s="676" t="s">
        <v>204</v>
      </c>
    </row>
    <row r="38" spans="1:4" x14ac:dyDescent="0.2">
      <c r="A38" s="676" t="s">
        <v>205</v>
      </c>
      <c r="B38" s="676" t="s">
        <v>202</v>
      </c>
      <c r="C38" s="676" t="s">
        <v>206</v>
      </c>
      <c r="D38" s="676" t="s">
        <v>207</v>
      </c>
    </row>
    <row r="39" spans="1:4" x14ac:dyDescent="0.2">
      <c r="A39" s="676" t="s">
        <v>726</v>
      </c>
      <c r="B39" s="676" t="s">
        <v>191</v>
      </c>
      <c r="C39" s="676"/>
      <c r="D39" s="676" t="s">
        <v>727</v>
      </c>
    </row>
    <row r="40" spans="1:4" x14ac:dyDescent="0.2">
      <c r="A40" s="676" t="s">
        <v>188</v>
      </c>
      <c r="B40" s="676" t="s">
        <v>183</v>
      </c>
      <c r="C40" s="676" t="s">
        <v>208</v>
      </c>
      <c r="D40" s="676" t="s">
        <v>209</v>
      </c>
    </row>
    <row r="41" spans="1:4" x14ac:dyDescent="0.2">
      <c r="A41" s="676" t="s">
        <v>210</v>
      </c>
      <c r="B41" s="676" t="s">
        <v>211</v>
      </c>
      <c r="C41" s="676" t="s">
        <v>212</v>
      </c>
      <c r="D41" s="676" t="s">
        <v>213</v>
      </c>
    </row>
    <row r="42" spans="1:4" x14ac:dyDescent="0.2">
      <c r="A42" s="676" t="s">
        <v>214</v>
      </c>
      <c r="B42" s="676" t="s">
        <v>215</v>
      </c>
      <c r="C42" s="676" t="s">
        <v>216</v>
      </c>
      <c r="D42" s="676" t="s">
        <v>217</v>
      </c>
    </row>
    <row r="43" spans="1:4" x14ac:dyDescent="0.2">
      <c r="A43" s="676" t="s">
        <v>218</v>
      </c>
      <c r="B43" s="676" t="s">
        <v>219</v>
      </c>
      <c r="C43" s="676" t="s">
        <v>220</v>
      </c>
      <c r="D43" s="676" t="s">
        <v>221</v>
      </c>
    </row>
    <row r="44" spans="1:4" x14ac:dyDescent="0.2">
      <c r="A44" s="676" t="s">
        <v>222</v>
      </c>
      <c r="B44" s="676" t="s">
        <v>179</v>
      </c>
      <c r="C44" s="676" t="s">
        <v>223</v>
      </c>
      <c r="D44" s="676" t="s">
        <v>224</v>
      </c>
    </row>
    <row r="45" spans="1:4" x14ac:dyDescent="0.2">
      <c r="A45" s="676" t="s">
        <v>814</v>
      </c>
      <c r="B45" s="676" t="s">
        <v>195</v>
      </c>
      <c r="C45" s="676"/>
      <c r="D45" s="676" t="s">
        <v>815</v>
      </c>
    </row>
    <row r="46" spans="1:4" x14ac:dyDescent="0.2">
      <c r="A46" s="676" t="s">
        <v>225</v>
      </c>
      <c r="B46" s="676" t="s">
        <v>226</v>
      </c>
      <c r="C46" s="676" t="s">
        <v>227</v>
      </c>
      <c r="D46" s="676" t="s">
        <v>228</v>
      </c>
    </row>
    <row r="47" spans="1:4" x14ac:dyDescent="0.2">
      <c r="A47" s="676" t="s">
        <v>229</v>
      </c>
      <c r="B47" s="676" t="s">
        <v>230</v>
      </c>
      <c r="C47" s="676" t="s">
        <v>231</v>
      </c>
      <c r="D47" s="676" t="s">
        <v>232</v>
      </c>
    </row>
    <row r="48" spans="1:4" x14ac:dyDescent="0.2">
      <c r="A48" s="676" t="s">
        <v>233</v>
      </c>
      <c r="B48" s="676" t="s">
        <v>234</v>
      </c>
      <c r="C48" s="676" t="s">
        <v>235</v>
      </c>
      <c r="D48" s="676" t="s">
        <v>236</v>
      </c>
    </row>
    <row r="49" spans="1:4" x14ac:dyDescent="0.2">
      <c r="A49" s="676" t="s">
        <v>237</v>
      </c>
      <c r="B49" s="676" t="s">
        <v>226</v>
      </c>
      <c r="C49" s="676" t="s">
        <v>238</v>
      </c>
      <c r="D49" s="676" t="s">
        <v>239</v>
      </c>
    </row>
    <row r="50" spans="1:4" x14ac:dyDescent="0.2">
      <c r="A50" s="676" t="s">
        <v>240</v>
      </c>
      <c r="B50" s="676" t="s">
        <v>241</v>
      </c>
      <c r="C50" s="676"/>
      <c r="D50" s="676" t="s">
        <v>242</v>
      </c>
    </row>
    <row r="51" spans="1:4" x14ac:dyDescent="0.2">
      <c r="A51" s="676" t="s">
        <v>797</v>
      </c>
      <c r="B51" s="676" t="s">
        <v>798</v>
      </c>
      <c r="C51" s="676"/>
      <c r="D51" s="676" t="s">
        <v>799</v>
      </c>
    </row>
    <row r="52" spans="1:4" x14ac:dyDescent="0.2">
      <c r="A52" s="676" t="s">
        <v>243</v>
      </c>
      <c r="B52" s="676" t="s">
        <v>234</v>
      </c>
      <c r="C52" s="676" t="s">
        <v>244</v>
      </c>
      <c r="D52" s="676" t="s">
        <v>245</v>
      </c>
    </row>
    <row r="53" spans="1:4" x14ac:dyDescent="0.2">
      <c r="A53" s="676" t="s">
        <v>246</v>
      </c>
      <c r="B53" s="676" t="s">
        <v>219</v>
      </c>
      <c r="C53" s="676" t="s">
        <v>254</v>
      </c>
      <c r="D53" s="676" t="s">
        <v>728</v>
      </c>
    </row>
    <row r="54" spans="1:4" x14ac:dyDescent="0.2">
      <c r="A54" s="676" t="s">
        <v>824</v>
      </c>
      <c r="B54" s="676" t="s">
        <v>825</v>
      </c>
      <c r="C54" s="676"/>
      <c r="D54" s="676" t="s">
        <v>826</v>
      </c>
    </row>
    <row r="55" spans="1:4" x14ac:dyDescent="0.2">
      <c r="A55" s="676" t="s">
        <v>729</v>
      </c>
      <c r="B55" s="676" t="s">
        <v>730</v>
      </c>
      <c r="C55" s="676"/>
      <c r="D55" s="676" t="s">
        <v>731</v>
      </c>
    </row>
    <row r="56" spans="1:4" x14ac:dyDescent="0.2">
      <c r="A56" s="676" t="s">
        <v>732</v>
      </c>
      <c r="B56" s="676" t="s">
        <v>390</v>
      </c>
      <c r="C56" s="676"/>
      <c r="D56" s="676" t="s">
        <v>733</v>
      </c>
    </row>
    <row r="57" spans="1:4" x14ac:dyDescent="0.2">
      <c r="A57" s="676" t="s">
        <v>247</v>
      </c>
      <c r="B57" s="676" t="s">
        <v>202</v>
      </c>
      <c r="C57" s="676" t="s">
        <v>248</v>
      </c>
      <c r="D57" s="676" t="s">
        <v>249</v>
      </c>
    </row>
    <row r="58" spans="1:4" x14ac:dyDescent="0.2">
      <c r="A58" s="676" t="s">
        <v>734</v>
      </c>
      <c r="B58" s="678">
        <v>0.03</v>
      </c>
      <c r="C58" s="676"/>
      <c r="D58" s="676" t="s">
        <v>735</v>
      </c>
    </row>
    <row r="59" spans="1:4" x14ac:dyDescent="0.2">
      <c r="A59" s="676" t="s">
        <v>736</v>
      </c>
      <c r="B59" s="676" t="s">
        <v>125</v>
      </c>
      <c r="C59" s="676"/>
      <c r="D59" s="676" t="s">
        <v>737</v>
      </c>
    </row>
    <row r="60" spans="1:4" x14ac:dyDescent="0.2">
      <c r="A60" s="676" t="s">
        <v>738</v>
      </c>
      <c r="B60" s="676" t="s">
        <v>144</v>
      </c>
      <c r="C60" s="676" t="s">
        <v>135</v>
      </c>
      <c r="D60" s="676" t="s">
        <v>739</v>
      </c>
    </row>
    <row r="61" spans="1:4" x14ac:dyDescent="0.2">
      <c r="A61" s="676" t="s">
        <v>250</v>
      </c>
      <c r="B61" s="676" t="s">
        <v>251</v>
      </c>
      <c r="C61" s="676" t="s">
        <v>252</v>
      </c>
      <c r="D61" s="676" t="s">
        <v>253</v>
      </c>
    </row>
    <row r="62" spans="1:4" x14ac:dyDescent="0.2">
      <c r="A62" s="676" t="s">
        <v>846</v>
      </c>
      <c r="B62" s="676" t="s">
        <v>322</v>
      </c>
      <c r="C62" s="676" t="s">
        <v>341</v>
      </c>
      <c r="D62" s="676" t="s">
        <v>847</v>
      </c>
    </row>
    <row r="63" spans="1:4" x14ac:dyDescent="0.2">
      <c r="A63" s="676" t="s">
        <v>740</v>
      </c>
      <c r="B63" s="676" t="s">
        <v>371</v>
      </c>
      <c r="C63" s="676" t="s">
        <v>741</v>
      </c>
      <c r="D63" s="676" t="s">
        <v>257</v>
      </c>
    </row>
    <row r="64" spans="1:4" x14ac:dyDescent="0.2">
      <c r="A64" s="676" t="s">
        <v>742</v>
      </c>
      <c r="B64" s="676" t="s">
        <v>183</v>
      </c>
      <c r="C64" s="676" t="s">
        <v>741</v>
      </c>
      <c r="D64" s="676" t="s">
        <v>743</v>
      </c>
    </row>
    <row r="65" spans="1:4" x14ac:dyDescent="0.2">
      <c r="A65" s="676" t="s">
        <v>816</v>
      </c>
      <c r="B65" s="676" t="s">
        <v>155</v>
      </c>
      <c r="C65" s="676" t="s">
        <v>817</v>
      </c>
      <c r="D65" s="676" t="s">
        <v>818</v>
      </c>
    </row>
    <row r="66" spans="1:4" x14ac:dyDescent="0.2">
      <c r="A66" s="676" t="s">
        <v>844</v>
      </c>
      <c r="B66" s="676" t="s">
        <v>195</v>
      </c>
      <c r="C66" s="676"/>
      <c r="D66" s="676" t="s">
        <v>845</v>
      </c>
    </row>
    <row r="67" spans="1:4" x14ac:dyDescent="0.2">
      <c r="A67" s="676" t="s">
        <v>800</v>
      </c>
      <c r="B67" s="676" t="s">
        <v>730</v>
      </c>
      <c r="C67" s="676" t="s">
        <v>254</v>
      </c>
      <c r="D67" s="676" t="s">
        <v>801</v>
      </c>
    </row>
    <row r="68" spans="1:4" x14ac:dyDescent="0.2">
      <c r="A68" s="676" t="s">
        <v>802</v>
      </c>
      <c r="B68" s="676" t="s">
        <v>730</v>
      </c>
      <c r="C68" s="676" t="s">
        <v>280</v>
      </c>
      <c r="D68" s="676" t="s">
        <v>803</v>
      </c>
    </row>
    <row r="69" spans="1:4" x14ac:dyDescent="0.2">
      <c r="A69" s="676" t="s">
        <v>853</v>
      </c>
      <c r="B69" s="676" t="s">
        <v>854</v>
      </c>
      <c r="C69" s="676" t="s">
        <v>855</v>
      </c>
      <c r="D69" s="676" t="s">
        <v>856</v>
      </c>
    </row>
    <row r="70" spans="1:4" x14ac:dyDescent="0.2">
      <c r="A70" s="676" t="s">
        <v>836</v>
      </c>
      <c r="B70" s="676" t="s">
        <v>837</v>
      </c>
      <c r="C70" s="676" t="s">
        <v>838</v>
      </c>
      <c r="D70" s="676" t="s">
        <v>839</v>
      </c>
    </row>
    <row r="71" spans="1:4" x14ac:dyDescent="0.2">
      <c r="A71" s="676" t="s">
        <v>258</v>
      </c>
      <c r="B71" s="676" t="s">
        <v>259</v>
      </c>
      <c r="C71" s="676" t="s">
        <v>260</v>
      </c>
      <c r="D71" s="676" t="s">
        <v>261</v>
      </c>
    </row>
    <row r="72" spans="1:4" x14ac:dyDescent="0.2">
      <c r="A72" s="676" t="s">
        <v>804</v>
      </c>
      <c r="B72" s="676" t="s">
        <v>805</v>
      </c>
      <c r="C72" s="676" t="s">
        <v>806</v>
      </c>
      <c r="D72" s="676" t="s">
        <v>807</v>
      </c>
    </row>
    <row r="73" spans="1:4" x14ac:dyDescent="0.2">
      <c r="A73" s="676" t="s">
        <v>262</v>
      </c>
      <c r="B73" s="676" t="s">
        <v>263</v>
      </c>
      <c r="C73" s="676"/>
      <c r="D73" s="676" t="s">
        <v>744</v>
      </c>
    </row>
    <row r="74" spans="1:4" x14ac:dyDescent="0.2">
      <c r="A74" s="676" t="s">
        <v>264</v>
      </c>
      <c r="B74" s="676" t="s">
        <v>265</v>
      </c>
      <c r="C74" s="676" t="s">
        <v>266</v>
      </c>
      <c r="D74" s="676" t="s">
        <v>267</v>
      </c>
    </row>
    <row r="75" spans="1:4" x14ac:dyDescent="0.2">
      <c r="A75" s="676" t="s">
        <v>268</v>
      </c>
      <c r="B75" s="676" t="s">
        <v>269</v>
      </c>
      <c r="C75" s="676"/>
      <c r="D75" s="676" t="s">
        <v>270</v>
      </c>
    </row>
    <row r="76" spans="1:4" x14ac:dyDescent="0.2">
      <c r="A76" s="676" t="s">
        <v>271</v>
      </c>
      <c r="B76" s="676" t="s">
        <v>155</v>
      </c>
      <c r="C76" s="676" t="s">
        <v>272</v>
      </c>
      <c r="D76" s="676" t="s">
        <v>273</v>
      </c>
    </row>
    <row r="77" spans="1:4" x14ac:dyDescent="0.2">
      <c r="A77" s="676" t="s">
        <v>274</v>
      </c>
      <c r="B77" s="676" t="s">
        <v>275</v>
      </c>
      <c r="C77" s="676" t="s">
        <v>276</v>
      </c>
      <c r="D77" s="676" t="s">
        <v>273</v>
      </c>
    </row>
    <row r="78" spans="1:4" x14ac:dyDescent="0.2">
      <c r="A78" s="676" t="s">
        <v>277</v>
      </c>
      <c r="B78" s="676" t="s">
        <v>278</v>
      </c>
      <c r="C78" s="676"/>
      <c r="D78" s="676" t="s">
        <v>279</v>
      </c>
    </row>
    <row r="79" spans="1:4" x14ac:dyDescent="0.2">
      <c r="A79" s="676" t="s">
        <v>280</v>
      </c>
      <c r="B79" s="676" t="s">
        <v>281</v>
      </c>
      <c r="C79" s="676" t="s">
        <v>282</v>
      </c>
      <c r="D79" s="676" t="s">
        <v>283</v>
      </c>
    </row>
    <row r="80" spans="1:4" x14ac:dyDescent="0.2">
      <c r="A80" s="676" t="s">
        <v>284</v>
      </c>
      <c r="B80" s="676" t="s">
        <v>241</v>
      </c>
      <c r="C80" s="676" t="s">
        <v>182</v>
      </c>
      <c r="D80" s="676" t="s">
        <v>285</v>
      </c>
    </row>
    <row r="81" spans="1:4" x14ac:dyDescent="0.2">
      <c r="A81" s="676" t="s">
        <v>745</v>
      </c>
      <c r="B81" s="676" t="s">
        <v>746</v>
      </c>
      <c r="C81" s="676" t="s">
        <v>747</v>
      </c>
      <c r="D81" s="676" t="s">
        <v>748</v>
      </c>
    </row>
    <row r="82" spans="1:4" x14ac:dyDescent="0.2">
      <c r="A82" s="676" t="s">
        <v>749</v>
      </c>
      <c r="B82" s="676" t="s">
        <v>125</v>
      </c>
      <c r="C82" s="676"/>
      <c r="D82" s="676" t="s">
        <v>750</v>
      </c>
    </row>
    <row r="83" spans="1:4" x14ac:dyDescent="0.2">
      <c r="A83" s="676" t="s">
        <v>286</v>
      </c>
      <c r="B83" s="676" t="s">
        <v>255</v>
      </c>
      <c r="C83" s="676" t="s">
        <v>188</v>
      </c>
      <c r="D83" s="676" t="s">
        <v>751</v>
      </c>
    </row>
    <row r="84" spans="1:4" x14ac:dyDescent="0.2">
      <c r="A84" s="676" t="s">
        <v>287</v>
      </c>
      <c r="B84" s="676" t="s">
        <v>263</v>
      </c>
      <c r="C84" s="676"/>
      <c r="D84" s="676" t="s">
        <v>288</v>
      </c>
    </row>
    <row r="85" spans="1:4" x14ac:dyDescent="0.2">
      <c r="A85" s="676" t="s">
        <v>289</v>
      </c>
      <c r="B85" s="676" t="s">
        <v>290</v>
      </c>
      <c r="C85" s="676" t="s">
        <v>291</v>
      </c>
      <c r="D85" s="676" t="s">
        <v>292</v>
      </c>
    </row>
    <row r="86" spans="1:4" x14ac:dyDescent="0.2">
      <c r="A86" s="676" t="s">
        <v>752</v>
      </c>
      <c r="B86" s="676" t="s">
        <v>293</v>
      </c>
      <c r="C86" s="676" t="s">
        <v>294</v>
      </c>
      <c r="D86" s="676" t="s">
        <v>295</v>
      </c>
    </row>
    <row r="87" spans="1:4" x14ac:dyDescent="0.2">
      <c r="A87" s="676" t="s">
        <v>753</v>
      </c>
      <c r="B87" s="676" t="s">
        <v>344</v>
      </c>
      <c r="C87" s="676" t="s">
        <v>359</v>
      </c>
      <c r="D87" s="676" t="s">
        <v>754</v>
      </c>
    </row>
    <row r="88" spans="1:4" x14ac:dyDescent="0.2">
      <c r="A88" s="676" t="s">
        <v>296</v>
      </c>
      <c r="B88" s="676" t="s">
        <v>297</v>
      </c>
      <c r="C88" s="676" t="s">
        <v>298</v>
      </c>
      <c r="D88" s="676" t="s">
        <v>299</v>
      </c>
    </row>
    <row r="89" spans="1:4" x14ac:dyDescent="0.2">
      <c r="A89" s="676" t="s">
        <v>300</v>
      </c>
      <c r="B89" s="676" t="s">
        <v>301</v>
      </c>
      <c r="C89" s="676" t="s">
        <v>302</v>
      </c>
      <c r="D89" s="676" t="s">
        <v>303</v>
      </c>
    </row>
    <row r="90" spans="1:4" x14ac:dyDescent="0.2">
      <c r="A90" s="676" t="s">
        <v>304</v>
      </c>
      <c r="B90" s="676" t="s">
        <v>756</v>
      </c>
      <c r="C90" s="676" t="s">
        <v>305</v>
      </c>
      <c r="D90" s="676" t="s">
        <v>821</v>
      </c>
    </row>
    <row r="91" spans="1:4" x14ac:dyDescent="0.2">
      <c r="A91" s="676" t="s">
        <v>755</v>
      </c>
      <c r="B91" s="676" t="s">
        <v>756</v>
      </c>
      <c r="C91" s="676" t="s">
        <v>757</v>
      </c>
      <c r="D91" s="676" t="s">
        <v>758</v>
      </c>
    </row>
    <row r="92" spans="1:4" x14ac:dyDescent="0.2">
      <c r="A92" s="676" t="s">
        <v>306</v>
      </c>
      <c r="B92" s="676" t="s">
        <v>307</v>
      </c>
      <c r="C92" s="676" t="s">
        <v>308</v>
      </c>
      <c r="D92" s="676" t="s">
        <v>309</v>
      </c>
    </row>
    <row r="93" spans="1:4" x14ac:dyDescent="0.2">
      <c r="A93" s="676" t="s">
        <v>827</v>
      </c>
      <c r="B93" s="676" t="s">
        <v>828</v>
      </c>
      <c r="C93" s="676"/>
      <c r="D93" s="676" t="s">
        <v>829</v>
      </c>
    </row>
    <row r="94" spans="1:4" x14ac:dyDescent="0.2">
      <c r="A94" s="676" t="s">
        <v>848</v>
      </c>
      <c r="B94" s="676" t="s">
        <v>849</v>
      </c>
      <c r="C94" s="676"/>
      <c r="D94" s="676" t="s">
        <v>850</v>
      </c>
    </row>
    <row r="95" spans="1:4" x14ac:dyDescent="0.2">
      <c r="A95" s="676" t="s">
        <v>310</v>
      </c>
      <c r="B95" s="676" t="s">
        <v>155</v>
      </c>
      <c r="C95" s="676" t="s">
        <v>311</v>
      </c>
      <c r="D95" s="676" t="s">
        <v>312</v>
      </c>
    </row>
    <row r="96" spans="1:4" x14ac:dyDescent="0.2">
      <c r="A96" s="676" t="s">
        <v>313</v>
      </c>
      <c r="B96" s="676" t="s">
        <v>314</v>
      </c>
      <c r="C96" s="676" t="s">
        <v>315</v>
      </c>
      <c r="D96" s="676" t="s">
        <v>316</v>
      </c>
    </row>
    <row r="97" spans="1:4" x14ac:dyDescent="0.2">
      <c r="A97" s="676" t="s">
        <v>759</v>
      </c>
      <c r="B97" s="676" t="s">
        <v>719</v>
      </c>
      <c r="C97" s="676"/>
      <c r="D97" s="676" t="s">
        <v>760</v>
      </c>
    </row>
    <row r="98" spans="1:4" x14ac:dyDescent="0.2">
      <c r="A98" s="676" t="s">
        <v>317</v>
      </c>
      <c r="B98" s="676" t="s">
        <v>318</v>
      </c>
      <c r="C98" s="676" t="s">
        <v>319</v>
      </c>
      <c r="D98" s="676" t="s">
        <v>320</v>
      </c>
    </row>
    <row r="99" spans="1:4" x14ac:dyDescent="0.2">
      <c r="A99" s="676" t="s">
        <v>321</v>
      </c>
      <c r="B99" s="676" t="s">
        <v>322</v>
      </c>
      <c r="C99" s="676" t="s">
        <v>323</v>
      </c>
      <c r="D99" s="676" t="s">
        <v>324</v>
      </c>
    </row>
    <row r="100" spans="1:4" x14ac:dyDescent="0.2">
      <c r="A100" s="676" t="s">
        <v>325</v>
      </c>
      <c r="B100" s="676" t="s">
        <v>163</v>
      </c>
      <c r="C100" s="676" t="s">
        <v>326</v>
      </c>
      <c r="D100" s="676" t="s">
        <v>327</v>
      </c>
    </row>
    <row r="101" spans="1:4" x14ac:dyDescent="0.2">
      <c r="A101" s="676" t="s">
        <v>1991</v>
      </c>
      <c r="B101" s="678">
        <v>0.12</v>
      </c>
      <c r="C101" s="676"/>
      <c r="D101" s="676" t="s">
        <v>1992</v>
      </c>
    </row>
    <row r="102" spans="1:4" x14ac:dyDescent="0.2">
      <c r="A102" s="676" t="s">
        <v>1993</v>
      </c>
      <c r="B102" s="676" t="s">
        <v>1995</v>
      </c>
      <c r="C102" s="676"/>
      <c r="D102" s="676" t="s">
        <v>1994</v>
      </c>
    </row>
    <row r="103" spans="1:4" x14ac:dyDescent="0.2">
      <c r="A103" s="676" t="s">
        <v>328</v>
      </c>
      <c r="B103" s="676" t="s">
        <v>329</v>
      </c>
      <c r="C103" s="676" t="s">
        <v>330</v>
      </c>
      <c r="D103" s="676" t="s">
        <v>331</v>
      </c>
    </row>
    <row r="104" spans="1:4" x14ac:dyDescent="0.2">
      <c r="A104" s="676" t="s">
        <v>332</v>
      </c>
      <c r="B104" s="676" t="s">
        <v>333</v>
      </c>
      <c r="C104" s="676" t="s">
        <v>164</v>
      </c>
      <c r="D104" s="676" t="s">
        <v>334</v>
      </c>
    </row>
    <row r="105" spans="1:4" x14ac:dyDescent="0.2">
      <c r="A105" s="676" t="s">
        <v>335</v>
      </c>
      <c r="B105" s="676" t="s">
        <v>336</v>
      </c>
      <c r="C105" s="676" t="s">
        <v>188</v>
      </c>
      <c r="D105" s="676" t="s">
        <v>337</v>
      </c>
    </row>
    <row r="106" spans="1:4" x14ac:dyDescent="0.2">
      <c r="A106" s="676" t="s">
        <v>840</v>
      </c>
      <c r="B106" s="676" t="s">
        <v>215</v>
      </c>
      <c r="C106" s="676" t="s">
        <v>841</v>
      </c>
      <c r="D106" s="676" t="s">
        <v>842</v>
      </c>
    </row>
    <row r="107" spans="1:4" x14ac:dyDescent="0.2">
      <c r="A107" s="676" t="s">
        <v>761</v>
      </c>
      <c r="B107" s="676" t="s">
        <v>263</v>
      </c>
      <c r="C107" s="676"/>
      <c r="D107" s="676" t="s">
        <v>339</v>
      </c>
    </row>
    <row r="108" spans="1:4" x14ac:dyDescent="0.2">
      <c r="A108" s="676" t="s">
        <v>340</v>
      </c>
      <c r="B108" s="676" t="s">
        <v>290</v>
      </c>
      <c r="C108" s="676" t="s">
        <v>341</v>
      </c>
      <c r="D108" s="676" t="s">
        <v>342</v>
      </c>
    </row>
    <row r="109" spans="1:4" x14ac:dyDescent="0.2">
      <c r="A109" s="676" t="s">
        <v>851</v>
      </c>
      <c r="B109" s="676" t="s">
        <v>215</v>
      </c>
      <c r="C109" s="676"/>
      <c r="D109" s="676" t="s">
        <v>852</v>
      </c>
    </row>
    <row r="110" spans="1:4" x14ac:dyDescent="0.2">
      <c r="A110" s="676" t="s">
        <v>343</v>
      </c>
      <c r="B110" s="676" t="s">
        <v>344</v>
      </c>
      <c r="C110" s="676"/>
      <c r="D110" s="676" t="s">
        <v>345</v>
      </c>
    </row>
    <row r="111" spans="1:4" x14ac:dyDescent="0.2">
      <c r="A111" s="676" t="s">
        <v>1996</v>
      </c>
      <c r="B111" s="676" t="s">
        <v>1997</v>
      </c>
      <c r="C111" s="676"/>
      <c r="D111" s="676" t="s">
        <v>1998</v>
      </c>
    </row>
    <row r="112" spans="1:4" x14ac:dyDescent="0.2">
      <c r="A112" s="676" t="s">
        <v>346</v>
      </c>
      <c r="B112" s="676" t="s">
        <v>219</v>
      </c>
      <c r="C112" s="676"/>
      <c r="D112" s="676" t="s">
        <v>347</v>
      </c>
    </row>
    <row r="113" spans="1:4" x14ac:dyDescent="0.2">
      <c r="A113" s="676" t="s">
        <v>1999</v>
      </c>
      <c r="B113" s="676" t="s">
        <v>374</v>
      </c>
      <c r="C113" s="676"/>
      <c r="D113" s="676" t="s">
        <v>2000</v>
      </c>
    </row>
    <row r="114" spans="1:4" x14ac:dyDescent="0.2">
      <c r="A114" s="676" t="s">
        <v>2001</v>
      </c>
      <c r="B114" s="676" t="s">
        <v>374</v>
      </c>
      <c r="C114" s="676"/>
      <c r="D114" s="676" t="s">
        <v>2002</v>
      </c>
    </row>
    <row r="115" spans="1:4" x14ac:dyDescent="0.2">
      <c r="A115" s="676" t="s">
        <v>2003</v>
      </c>
      <c r="B115" s="676" t="s">
        <v>2004</v>
      </c>
      <c r="C115" s="676"/>
      <c r="D115" s="676" t="s">
        <v>2005</v>
      </c>
    </row>
    <row r="116" spans="1:4" x14ac:dyDescent="0.2">
      <c r="A116" s="676" t="s">
        <v>2006</v>
      </c>
      <c r="B116" s="676" t="s">
        <v>219</v>
      </c>
      <c r="C116" s="676"/>
      <c r="D116" s="676" t="s">
        <v>2007</v>
      </c>
    </row>
    <row r="117" spans="1:4" x14ac:dyDescent="0.2">
      <c r="A117" s="676" t="s">
        <v>762</v>
      </c>
      <c r="B117" s="676" t="s">
        <v>290</v>
      </c>
      <c r="C117" s="676" t="s">
        <v>763</v>
      </c>
      <c r="D117" s="676" t="s">
        <v>764</v>
      </c>
    </row>
    <row r="118" spans="1:4" x14ac:dyDescent="0.2">
      <c r="A118" s="676" t="s">
        <v>348</v>
      </c>
      <c r="B118" s="676" t="s">
        <v>202</v>
      </c>
      <c r="C118" s="676" t="s">
        <v>349</v>
      </c>
      <c r="D118" s="676" t="s">
        <v>350</v>
      </c>
    </row>
    <row r="119" spans="1:4" x14ac:dyDescent="0.2">
      <c r="A119" s="676" t="s">
        <v>351</v>
      </c>
      <c r="B119" s="676" t="s">
        <v>215</v>
      </c>
      <c r="C119" s="676" t="s">
        <v>352</v>
      </c>
      <c r="D119" s="676" t="s">
        <v>353</v>
      </c>
    </row>
    <row r="120" spans="1:4" x14ac:dyDescent="0.2">
      <c r="A120" s="676" t="s">
        <v>354</v>
      </c>
      <c r="B120" s="676" t="s">
        <v>163</v>
      </c>
      <c r="C120" s="676" t="s">
        <v>355</v>
      </c>
      <c r="D120" s="676" t="s">
        <v>356</v>
      </c>
    </row>
    <row r="121" spans="1:4" x14ac:dyDescent="0.2">
      <c r="A121" s="676" t="s">
        <v>357</v>
      </c>
      <c r="B121" s="676" t="s">
        <v>358</v>
      </c>
      <c r="C121" s="676" t="s">
        <v>359</v>
      </c>
      <c r="D121" s="676" t="s">
        <v>360</v>
      </c>
    </row>
    <row r="122" spans="1:4" x14ac:dyDescent="0.2">
      <c r="A122" s="676" t="s">
        <v>361</v>
      </c>
      <c r="B122" s="676" t="s">
        <v>163</v>
      </c>
      <c r="C122" s="676" t="s">
        <v>362</v>
      </c>
      <c r="D122" s="676" t="s">
        <v>363</v>
      </c>
    </row>
    <row r="123" spans="1:4" x14ac:dyDescent="0.2">
      <c r="A123" s="676" t="s">
        <v>765</v>
      </c>
      <c r="B123" s="676" t="s">
        <v>766</v>
      </c>
      <c r="C123" s="676" t="s">
        <v>767</v>
      </c>
      <c r="D123" s="676" t="s">
        <v>768</v>
      </c>
    </row>
    <row r="124" spans="1:4" x14ac:dyDescent="0.2">
      <c r="A124" s="676" t="s">
        <v>830</v>
      </c>
      <c r="B124" s="676" t="s">
        <v>820</v>
      </c>
      <c r="C124" s="676" t="s">
        <v>831</v>
      </c>
      <c r="D124" s="676" t="s">
        <v>832</v>
      </c>
    </row>
    <row r="125" spans="1:4" x14ac:dyDescent="0.2">
      <c r="A125" s="676" t="s">
        <v>833</v>
      </c>
      <c r="B125" s="676" t="s">
        <v>251</v>
      </c>
      <c r="C125" s="676" t="s">
        <v>834</v>
      </c>
      <c r="D125" s="676" t="s">
        <v>835</v>
      </c>
    </row>
    <row r="126" spans="1:4" x14ac:dyDescent="0.2">
      <c r="A126" s="676" t="s">
        <v>364</v>
      </c>
      <c r="B126" s="676" t="s">
        <v>365</v>
      </c>
      <c r="C126" s="676" t="s">
        <v>366</v>
      </c>
      <c r="D126" s="676" t="s">
        <v>367</v>
      </c>
    </row>
    <row r="127" spans="1:4" x14ac:dyDescent="0.2">
      <c r="A127" s="676" t="s">
        <v>769</v>
      </c>
      <c r="B127" s="676" t="s">
        <v>770</v>
      </c>
      <c r="C127" s="676"/>
      <c r="D127" s="676" t="s">
        <v>771</v>
      </c>
    </row>
    <row r="128" spans="1:4" x14ac:dyDescent="0.2">
      <c r="A128" s="676" t="s">
        <v>772</v>
      </c>
      <c r="B128" s="676" t="s">
        <v>368</v>
      </c>
      <c r="C128" s="676" t="s">
        <v>338</v>
      </c>
      <c r="D128" s="676" t="s">
        <v>369</v>
      </c>
    </row>
    <row r="129" spans="1:4" x14ac:dyDescent="0.2">
      <c r="A129" s="676" t="s">
        <v>370</v>
      </c>
      <c r="B129" s="676" t="s">
        <v>371</v>
      </c>
      <c r="C129" s="676" t="s">
        <v>254</v>
      </c>
      <c r="D129" s="676" t="s">
        <v>372</v>
      </c>
    </row>
    <row r="130" spans="1:4" x14ac:dyDescent="0.2">
      <c r="A130" s="676" t="s">
        <v>373</v>
      </c>
      <c r="B130" s="676" t="s">
        <v>374</v>
      </c>
      <c r="C130" s="676"/>
      <c r="D130" s="676" t="s">
        <v>375</v>
      </c>
    </row>
    <row r="131" spans="1:4" x14ac:dyDescent="0.2">
      <c r="A131" s="676" t="s">
        <v>376</v>
      </c>
      <c r="B131" s="678">
        <v>0.14000000000000001</v>
      </c>
      <c r="C131" s="676" t="s">
        <v>377</v>
      </c>
      <c r="D131" s="676" t="s">
        <v>378</v>
      </c>
    </row>
    <row r="132" spans="1:4" x14ac:dyDescent="0.2">
      <c r="A132" s="676" t="s">
        <v>379</v>
      </c>
      <c r="B132" s="676" t="s">
        <v>380</v>
      </c>
      <c r="C132" s="676" t="s">
        <v>381</v>
      </c>
      <c r="D132" s="676" t="s">
        <v>382</v>
      </c>
    </row>
    <row r="133" spans="1:4" x14ac:dyDescent="0.2">
      <c r="A133" s="676" t="s">
        <v>808</v>
      </c>
      <c r="B133" s="676" t="s">
        <v>798</v>
      </c>
      <c r="C133" s="676" t="s">
        <v>254</v>
      </c>
      <c r="D133" s="676" t="s">
        <v>809</v>
      </c>
    </row>
    <row r="134" spans="1:4" x14ac:dyDescent="0.2">
      <c r="A134" s="676" t="s">
        <v>383</v>
      </c>
      <c r="B134" s="676" t="s">
        <v>226</v>
      </c>
      <c r="C134" s="676" t="s">
        <v>384</v>
      </c>
      <c r="D134" s="676" t="s">
        <v>385</v>
      </c>
    </row>
    <row r="135" spans="1:4" x14ac:dyDescent="0.2">
      <c r="A135" s="676" t="s">
        <v>386</v>
      </c>
      <c r="B135" s="676" t="s">
        <v>387</v>
      </c>
      <c r="C135" s="676" t="s">
        <v>388</v>
      </c>
      <c r="D135" s="676" t="s">
        <v>389</v>
      </c>
    </row>
    <row r="136" spans="1:4" x14ac:dyDescent="0.2">
      <c r="A136" s="676" t="s">
        <v>773</v>
      </c>
      <c r="B136" s="676" t="s">
        <v>390</v>
      </c>
      <c r="C136" s="676" t="s">
        <v>190</v>
      </c>
      <c r="D136" s="676" t="s">
        <v>391</v>
      </c>
    </row>
    <row r="137" spans="1:4" x14ac:dyDescent="0.2">
      <c r="A137" s="676" t="s">
        <v>774</v>
      </c>
      <c r="B137" s="676" t="s">
        <v>775</v>
      </c>
      <c r="C137" s="676"/>
      <c r="D137" s="676" t="s">
        <v>776</v>
      </c>
    </row>
    <row r="138" spans="1:4" x14ac:dyDescent="0.2">
      <c r="A138" s="676" t="s">
        <v>392</v>
      </c>
      <c r="B138" s="676" t="s">
        <v>144</v>
      </c>
      <c r="C138" s="676" t="s">
        <v>393</v>
      </c>
      <c r="D138" s="676" t="s">
        <v>394</v>
      </c>
    </row>
    <row r="139" spans="1:4" x14ac:dyDescent="0.2">
      <c r="A139" s="676" t="s">
        <v>395</v>
      </c>
      <c r="B139" s="676" t="s">
        <v>396</v>
      </c>
      <c r="C139" s="676" t="s">
        <v>397</v>
      </c>
      <c r="D139" s="676" t="s">
        <v>398</v>
      </c>
    </row>
    <row r="140" spans="1:4" x14ac:dyDescent="0.2">
      <c r="A140" s="676" t="s">
        <v>399</v>
      </c>
      <c r="B140" s="676" t="s">
        <v>400</v>
      </c>
      <c r="C140" s="676" t="s">
        <v>401</v>
      </c>
      <c r="D140" s="676" t="s">
        <v>402</v>
      </c>
    </row>
    <row r="141" spans="1:4" x14ac:dyDescent="0.2">
      <c r="A141" s="676" t="s">
        <v>777</v>
      </c>
      <c r="B141" s="676" t="s">
        <v>148</v>
      </c>
      <c r="C141" s="676"/>
      <c r="D141" s="676" t="s">
        <v>778</v>
      </c>
    </row>
    <row r="142" spans="1:4" x14ac:dyDescent="0.2">
      <c r="A142" s="676" t="s">
        <v>779</v>
      </c>
      <c r="B142" s="677">
        <v>3.4000000000000002E-2</v>
      </c>
      <c r="C142" s="676" t="s">
        <v>359</v>
      </c>
      <c r="D142" s="676" t="s">
        <v>780</v>
      </c>
    </row>
    <row r="143" spans="1:4" x14ac:dyDescent="0.2">
      <c r="A143" s="676" t="s">
        <v>781</v>
      </c>
      <c r="B143" s="676" t="s">
        <v>782</v>
      </c>
      <c r="C143" s="676"/>
      <c r="D143" s="676" t="s">
        <v>783</v>
      </c>
    </row>
    <row r="144" spans="1:4" x14ac:dyDescent="0.2">
      <c r="A144" s="676" t="s">
        <v>784</v>
      </c>
      <c r="B144" s="676" t="s">
        <v>125</v>
      </c>
      <c r="C144" s="676" t="s">
        <v>785</v>
      </c>
      <c r="D144" s="676" t="s">
        <v>786</v>
      </c>
    </row>
    <row r="145" spans="1:4" x14ac:dyDescent="0.2">
      <c r="A145" s="676" t="s">
        <v>787</v>
      </c>
      <c r="B145" s="676" t="s">
        <v>390</v>
      </c>
      <c r="C145" s="676" t="s">
        <v>280</v>
      </c>
      <c r="D145" s="676" t="s">
        <v>339</v>
      </c>
    </row>
    <row r="146" spans="1:4" x14ac:dyDescent="0.2">
      <c r="A146" s="679" t="s">
        <v>1473</v>
      </c>
      <c r="B146" s="676" t="s">
        <v>144</v>
      </c>
      <c r="C146" s="676" t="s">
        <v>822</v>
      </c>
      <c r="D146" s="676" t="s">
        <v>823</v>
      </c>
    </row>
    <row r="147" spans="1:4" x14ac:dyDescent="0.2">
      <c r="A147" s="676" t="s">
        <v>403</v>
      </c>
      <c r="B147" s="676" t="s">
        <v>404</v>
      </c>
      <c r="C147" s="676" t="s">
        <v>405</v>
      </c>
      <c r="D147" s="676" t="s">
        <v>406</v>
      </c>
    </row>
    <row r="148" spans="1:4" x14ac:dyDescent="0.2">
      <c r="A148" s="676" t="s">
        <v>407</v>
      </c>
      <c r="B148" s="676" t="s">
        <v>297</v>
      </c>
      <c r="C148" s="676"/>
      <c r="D148" s="676" t="s">
        <v>408</v>
      </c>
    </row>
    <row r="149" spans="1:4" x14ac:dyDescent="0.2">
      <c r="A149" s="676" t="s">
        <v>141</v>
      </c>
      <c r="B149" s="676" t="s">
        <v>265</v>
      </c>
      <c r="C149" s="676" t="s">
        <v>190</v>
      </c>
      <c r="D149" s="676" t="s">
        <v>409</v>
      </c>
    </row>
    <row r="150" spans="1:4" x14ac:dyDescent="0.2">
      <c r="A150" s="422"/>
      <c r="B150" s="422"/>
      <c r="C150" s="422"/>
      <c r="D150" s="422"/>
    </row>
    <row r="151" spans="1:4" x14ac:dyDescent="0.2">
      <c r="A151" s="422"/>
      <c r="B151" s="422"/>
      <c r="C151" s="422"/>
      <c r="D151" s="422"/>
    </row>
    <row r="152" spans="1:4" x14ac:dyDescent="0.2">
      <c r="A152" s="422"/>
      <c r="B152" s="422"/>
      <c r="C152" s="422"/>
      <c r="D152" s="422"/>
    </row>
    <row r="153" spans="1:4" x14ac:dyDescent="0.2">
      <c r="A153" s="422"/>
      <c r="B153" s="422"/>
      <c r="C153" s="422"/>
      <c r="D153" s="422"/>
    </row>
    <row r="154" spans="1:4" x14ac:dyDescent="0.2">
      <c r="A154" s="422"/>
      <c r="B154" s="422"/>
      <c r="C154" s="422"/>
      <c r="D154" s="422"/>
    </row>
    <row r="155" spans="1:4" x14ac:dyDescent="0.2">
      <c r="A155" s="422"/>
      <c r="B155" s="422"/>
      <c r="C155" s="422"/>
      <c r="D155" s="422"/>
    </row>
    <row r="156" spans="1:4" x14ac:dyDescent="0.2">
      <c r="A156" s="422"/>
      <c r="B156" s="422"/>
      <c r="C156" s="422"/>
      <c r="D156" s="422"/>
    </row>
    <row r="157" spans="1:4" x14ac:dyDescent="0.2">
      <c r="A157" s="422"/>
      <c r="B157" s="422"/>
      <c r="C157" s="422"/>
      <c r="D157" s="422"/>
    </row>
    <row r="158" spans="1:4" x14ac:dyDescent="0.2">
      <c r="A158" s="422"/>
      <c r="B158" s="422"/>
      <c r="C158" s="422"/>
      <c r="D158" s="422"/>
    </row>
    <row r="159" spans="1:4" x14ac:dyDescent="0.2">
      <c r="A159" s="422"/>
      <c r="B159" s="422"/>
      <c r="C159" s="422"/>
      <c r="D159" s="422"/>
    </row>
    <row r="160" spans="1:4" x14ac:dyDescent="0.2">
      <c r="A160" s="422"/>
      <c r="B160" s="422"/>
      <c r="C160" s="422"/>
      <c r="D160" s="422"/>
    </row>
    <row r="161" spans="1:4" x14ac:dyDescent="0.2">
      <c r="A161" s="422"/>
      <c r="B161" s="422"/>
      <c r="C161" s="422"/>
      <c r="D161" s="422"/>
    </row>
    <row r="162" spans="1:4" x14ac:dyDescent="0.2">
      <c r="A162" s="422"/>
      <c r="B162" s="422"/>
      <c r="C162" s="422"/>
      <c r="D162" s="422"/>
    </row>
    <row r="163" spans="1:4" x14ac:dyDescent="0.2">
      <c r="A163" s="422"/>
      <c r="B163" s="422"/>
      <c r="C163" s="422"/>
      <c r="D163" s="422"/>
    </row>
    <row r="164" spans="1:4" x14ac:dyDescent="0.2">
      <c r="A164" s="422"/>
      <c r="B164" s="422"/>
      <c r="C164" s="422"/>
      <c r="D164" s="422"/>
    </row>
    <row r="165" spans="1:4" x14ac:dyDescent="0.2">
      <c r="A165" s="422"/>
      <c r="B165" s="422"/>
      <c r="C165" s="422"/>
      <c r="D165" s="422"/>
    </row>
    <row r="166" spans="1:4" x14ac:dyDescent="0.2">
      <c r="A166" s="422"/>
      <c r="B166" s="422"/>
      <c r="C166" s="422"/>
      <c r="D166" s="422"/>
    </row>
    <row r="167" spans="1:4" x14ac:dyDescent="0.2">
      <c r="A167" s="422"/>
      <c r="B167" s="422"/>
      <c r="C167" s="422"/>
      <c r="D167" s="422"/>
    </row>
    <row r="168" spans="1:4" x14ac:dyDescent="0.2">
      <c r="A168" s="422"/>
      <c r="B168" s="422"/>
      <c r="C168" s="422"/>
      <c r="D168" s="422"/>
    </row>
    <row r="169" spans="1:4" x14ac:dyDescent="0.2">
      <c r="A169" s="422"/>
      <c r="B169" s="422"/>
      <c r="C169" s="422"/>
      <c r="D169" s="422"/>
    </row>
    <row r="170" spans="1:4" x14ac:dyDescent="0.2">
      <c r="A170" s="422"/>
      <c r="B170" s="422"/>
      <c r="C170" s="422"/>
      <c r="D170" s="422"/>
    </row>
    <row r="171" spans="1:4" x14ac:dyDescent="0.2">
      <c r="A171" s="422"/>
      <c r="B171" s="422"/>
      <c r="C171" s="422"/>
      <c r="D171" s="422"/>
    </row>
    <row r="172" spans="1:4" x14ac:dyDescent="0.2">
      <c r="A172" s="422"/>
      <c r="B172" s="422"/>
      <c r="C172" s="422"/>
      <c r="D172" s="422"/>
    </row>
    <row r="173" spans="1:4" x14ac:dyDescent="0.2">
      <c r="A173" s="422"/>
      <c r="B173" s="422"/>
      <c r="C173" s="422"/>
      <c r="D173" s="422"/>
    </row>
    <row r="174" spans="1:4" x14ac:dyDescent="0.2">
      <c r="A174" s="422"/>
      <c r="B174" s="422"/>
      <c r="C174" s="422"/>
      <c r="D174" s="422"/>
    </row>
    <row r="175" spans="1:4" x14ac:dyDescent="0.2">
      <c r="A175" s="422"/>
      <c r="B175" s="422"/>
      <c r="C175" s="422"/>
      <c r="D175" s="422"/>
    </row>
    <row r="176" spans="1:4" x14ac:dyDescent="0.2">
      <c r="A176" s="422"/>
      <c r="B176" s="422"/>
      <c r="C176" s="422"/>
      <c r="D176" s="422"/>
    </row>
    <row r="177" spans="1:4" x14ac:dyDescent="0.2">
      <c r="A177" s="422"/>
      <c r="B177" s="422"/>
      <c r="C177" s="422"/>
      <c r="D177" s="422"/>
    </row>
    <row r="178" spans="1:4" x14ac:dyDescent="0.2">
      <c r="A178" s="422"/>
      <c r="B178" s="422"/>
      <c r="C178" s="422"/>
      <c r="D178" s="422"/>
    </row>
    <row r="179" spans="1:4" x14ac:dyDescent="0.2">
      <c r="A179" s="422"/>
      <c r="B179" s="422"/>
      <c r="C179" s="422"/>
      <c r="D179" s="422"/>
    </row>
    <row r="180" spans="1:4" x14ac:dyDescent="0.2">
      <c r="A180" s="422"/>
      <c r="B180" s="422"/>
      <c r="C180" s="422"/>
      <c r="D180" s="422"/>
    </row>
    <row r="181" spans="1:4" x14ac:dyDescent="0.2">
      <c r="A181" s="422"/>
      <c r="B181" s="422"/>
      <c r="C181" s="422"/>
      <c r="D181" s="422"/>
    </row>
    <row r="182" spans="1:4" x14ac:dyDescent="0.2">
      <c r="A182" s="422"/>
      <c r="B182" s="422"/>
      <c r="C182" s="422"/>
      <c r="D182" s="422"/>
    </row>
    <row r="183" spans="1:4" x14ac:dyDescent="0.2">
      <c r="A183" s="422"/>
      <c r="B183" s="422"/>
      <c r="C183" s="422"/>
      <c r="D183" s="422"/>
    </row>
    <row r="184" spans="1:4" x14ac:dyDescent="0.2">
      <c r="A184" s="422"/>
      <c r="B184" s="422"/>
      <c r="C184" s="422"/>
      <c r="D184" s="422"/>
    </row>
    <row r="185" spans="1:4" x14ac:dyDescent="0.2">
      <c r="A185" s="422"/>
      <c r="B185" s="422"/>
      <c r="C185" s="422"/>
      <c r="D185" s="422"/>
    </row>
    <row r="186" spans="1:4" x14ac:dyDescent="0.2">
      <c r="A186" s="422"/>
      <c r="B186" s="422"/>
      <c r="C186" s="422"/>
      <c r="D186" s="422"/>
    </row>
    <row r="187" spans="1:4" x14ac:dyDescent="0.2">
      <c r="A187" s="422"/>
      <c r="B187" s="422"/>
      <c r="C187" s="422"/>
      <c r="D187" s="422"/>
    </row>
    <row r="188" spans="1:4" x14ac:dyDescent="0.2">
      <c r="A188" s="422"/>
      <c r="B188" s="422"/>
      <c r="C188" s="422"/>
      <c r="D188" s="422"/>
    </row>
    <row r="189" spans="1:4" x14ac:dyDescent="0.2">
      <c r="A189" s="422"/>
      <c r="B189" s="422"/>
      <c r="C189" s="422"/>
      <c r="D189" s="422"/>
    </row>
    <row r="190" spans="1:4" x14ac:dyDescent="0.2">
      <c r="A190" s="422"/>
      <c r="B190" s="422"/>
      <c r="C190" s="422"/>
      <c r="D190" s="422"/>
    </row>
    <row r="191" spans="1:4" x14ac:dyDescent="0.2">
      <c r="A191" s="422"/>
      <c r="B191" s="422"/>
      <c r="C191" s="422"/>
      <c r="D191" s="422"/>
    </row>
    <row r="192" spans="1:4" x14ac:dyDescent="0.2">
      <c r="A192" s="422"/>
      <c r="B192" s="422"/>
      <c r="C192" s="422"/>
      <c r="D192" s="422"/>
    </row>
    <row r="193" spans="1:4" x14ac:dyDescent="0.2">
      <c r="A193" s="422"/>
      <c r="B193" s="422"/>
      <c r="C193" s="422"/>
      <c r="D193" s="422"/>
    </row>
    <row r="194" spans="1:4" x14ac:dyDescent="0.2">
      <c r="A194" s="422"/>
      <c r="B194" s="422"/>
      <c r="C194" s="422"/>
      <c r="D194" s="422"/>
    </row>
    <row r="195" spans="1:4" x14ac:dyDescent="0.2">
      <c r="A195" s="422"/>
      <c r="B195" s="422"/>
      <c r="C195" s="422"/>
      <c r="D195" s="422"/>
    </row>
    <row r="196" spans="1:4" x14ac:dyDescent="0.2">
      <c r="A196" s="422"/>
      <c r="B196" s="422"/>
      <c r="C196" s="422"/>
      <c r="D196" s="422"/>
    </row>
    <row r="197" spans="1:4" x14ac:dyDescent="0.2">
      <c r="A197" s="422"/>
      <c r="B197" s="422"/>
      <c r="C197" s="422"/>
      <c r="D197" s="422"/>
    </row>
    <row r="198" spans="1:4" x14ac:dyDescent="0.2">
      <c r="A198" s="422"/>
      <c r="B198" s="422"/>
      <c r="C198" s="422"/>
      <c r="D198" s="422"/>
    </row>
    <row r="199" spans="1:4" x14ac:dyDescent="0.2">
      <c r="A199" s="422"/>
      <c r="B199" s="422"/>
      <c r="C199" s="422"/>
      <c r="D199" s="422"/>
    </row>
    <row r="200" spans="1:4" x14ac:dyDescent="0.2">
      <c r="A200" s="422"/>
      <c r="B200" s="422"/>
      <c r="C200" s="422"/>
      <c r="D200" s="422"/>
    </row>
    <row r="201" spans="1:4" x14ac:dyDescent="0.2">
      <c r="A201" s="422"/>
      <c r="B201" s="422"/>
      <c r="C201" s="422"/>
      <c r="D201" s="422"/>
    </row>
    <row r="202" spans="1:4" x14ac:dyDescent="0.2">
      <c r="A202" s="422"/>
      <c r="B202" s="422"/>
      <c r="C202" s="422"/>
      <c r="D202" s="422"/>
    </row>
    <row r="203" spans="1:4" x14ac:dyDescent="0.2">
      <c r="A203" s="422"/>
      <c r="B203" s="422"/>
      <c r="C203" s="422"/>
      <c r="D203" s="422"/>
    </row>
    <row r="204" spans="1:4" x14ac:dyDescent="0.2">
      <c r="A204" s="422"/>
      <c r="B204" s="422"/>
      <c r="C204" s="422"/>
      <c r="D204" s="422"/>
    </row>
    <row r="205" spans="1:4" x14ac:dyDescent="0.2">
      <c r="A205" s="422"/>
      <c r="B205" s="422"/>
      <c r="C205" s="422"/>
      <c r="D205" s="422"/>
    </row>
    <row r="206" spans="1:4" x14ac:dyDescent="0.2">
      <c r="A206" s="422"/>
      <c r="B206" s="422"/>
      <c r="C206" s="422"/>
      <c r="D206" s="422"/>
    </row>
    <row r="207" spans="1:4" x14ac:dyDescent="0.2">
      <c r="A207" s="422"/>
      <c r="B207" s="422"/>
      <c r="C207" s="422"/>
      <c r="D207" s="422"/>
    </row>
    <row r="208" spans="1:4" x14ac:dyDescent="0.2">
      <c r="A208" s="422"/>
      <c r="B208" s="422"/>
      <c r="C208" s="422"/>
      <c r="D208" s="422"/>
    </row>
    <row r="209" spans="1:4" x14ac:dyDescent="0.2">
      <c r="A209" s="422"/>
      <c r="B209" s="422"/>
      <c r="C209" s="422"/>
      <c r="D209" s="422"/>
    </row>
    <row r="210" spans="1:4" x14ac:dyDescent="0.2">
      <c r="A210" s="422"/>
      <c r="B210" s="422"/>
      <c r="C210" s="422"/>
      <c r="D210" s="422"/>
    </row>
    <row r="211" spans="1:4" x14ac:dyDescent="0.2">
      <c r="A211" s="422"/>
      <c r="B211" s="422"/>
      <c r="C211" s="422"/>
      <c r="D211" s="422"/>
    </row>
    <row r="212" spans="1:4" x14ac:dyDescent="0.2">
      <c r="A212" s="422"/>
      <c r="B212" s="422"/>
      <c r="C212" s="422"/>
      <c r="D212" s="422"/>
    </row>
    <row r="213" spans="1:4" x14ac:dyDescent="0.2">
      <c r="A213" s="422"/>
      <c r="B213" s="422"/>
      <c r="C213" s="422"/>
      <c r="D213" s="422"/>
    </row>
    <row r="214" spans="1:4" x14ac:dyDescent="0.2">
      <c r="A214" s="422"/>
      <c r="B214" s="422"/>
      <c r="C214" s="422"/>
      <c r="D214" s="422"/>
    </row>
    <row r="215" spans="1:4" x14ac:dyDescent="0.2">
      <c r="A215" s="422"/>
      <c r="B215" s="422"/>
      <c r="C215" s="422"/>
      <c r="D215" s="422"/>
    </row>
    <row r="216" spans="1:4" x14ac:dyDescent="0.2">
      <c r="A216" s="422"/>
      <c r="B216" s="422"/>
      <c r="C216" s="422"/>
      <c r="D216" s="422"/>
    </row>
    <row r="217" spans="1:4" x14ac:dyDescent="0.2">
      <c r="A217" s="422"/>
      <c r="B217" s="422"/>
      <c r="C217" s="422"/>
      <c r="D217" s="422"/>
    </row>
    <row r="218" spans="1:4" x14ac:dyDescent="0.2">
      <c r="A218" s="422"/>
      <c r="B218" s="422"/>
      <c r="C218" s="422"/>
      <c r="D218" s="422"/>
    </row>
    <row r="219" spans="1:4" x14ac:dyDescent="0.2">
      <c r="A219" s="422"/>
      <c r="B219" s="422"/>
      <c r="C219" s="422"/>
      <c r="D219" s="422"/>
    </row>
    <row r="220" spans="1:4" x14ac:dyDescent="0.2">
      <c r="A220" s="422"/>
      <c r="B220" s="422"/>
      <c r="C220" s="422"/>
      <c r="D220" s="422"/>
    </row>
    <row r="221" spans="1:4" x14ac:dyDescent="0.2">
      <c r="A221" s="422"/>
      <c r="B221" s="422"/>
      <c r="C221" s="422"/>
      <c r="D221" s="422"/>
    </row>
    <row r="222" spans="1:4" x14ac:dyDescent="0.2">
      <c r="A222" s="422"/>
      <c r="B222" s="422"/>
      <c r="C222" s="422"/>
      <c r="D222" s="422"/>
    </row>
    <row r="223" spans="1:4" x14ac:dyDescent="0.2">
      <c r="A223" s="422"/>
      <c r="B223" s="422"/>
      <c r="C223" s="422"/>
      <c r="D223" s="422"/>
    </row>
    <row r="224" spans="1:4" x14ac:dyDescent="0.2">
      <c r="A224" s="422"/>
      <c r="B224" s="422"/>
      <c r="C224" s="422"/>
      <c r="D224" s="422"/>
    </row>
    <row r="225" spans="1:4" x14ac:dyDescent="0.2">
      <c r="A225" s="422"/>
      <c r="B225" s="422"/>
      <c r="C225" s="422"/>
      <c r="D225" s="422"/>
    </row>
    <row r="226" spans="1:4" x14ac:dyDescent="0.2">
      <c r="A226" s="422"/>
      <c r="B226" s="422"/>
      <c r="C226" s="422"/>
      <c r="D226" s="422"/>
    </row>
    <row r="227" spans="1:4" x14ac:dyDescent="0.2">
      <c r="A227" s="422"/>
      <c r="B227" s="422"/>
      <c r="C227" s="422"/>
      <c r="D227" s="422"/>
    </row>
    <row r="228" spans="1:4" x14ac:dyDescent="0.2">
      <c r="A228" s="422"/>
      <c r="B228" s="422"/>
      <c r="C228" s="422"/>
      <c r="D228" s="422"/>
    </row>
    <row r="229" spans="1:4" x14ac:dyDescent="0.2">
      <c r="A229" s="422"/>
      <c r="B229" s="422"/>
      <c r="C229" s="422"/>
      <c r="D229" s="422"/>
    </row>
    <row r="230" spans="1:4" x14ac:dyDescent="0.2">
      <c r="A230" s="422"/>
      <c r="B230" s="422"/>
      <c r="C230" s="422"/>
      <c r="D230" s="422"/>
    </row>
    <row r="231" spans="1:4" x14ac:dyDescent="0.2">
      <c r="A231" s="422"/>
      <c r="B231" s="422"/>
      <c r="C231" s="422"/>
      <c r="D231" s="422"/>
    </row>
    <row r="232" spans="1:4" x14ac:dyDescent="0.2">
      <c r="A232" s="422"/>
      <c r="B232" s="422"/>
      <c r="C232" s="422"/>
      <c r="D232" s="422"/>
    </row>
    <row r="233" spans="1:4" x14ac:dyDescent="0.2">
      <c r="A233" s="422"/>
      <c r="B233" s="422"/>
      <c r="C233" s="422"/>
      <c r="D233" s="422"/>
    </row>
    <row r="234" spans="1:4" x14ac:dyDescent="0.2">
      <c r="A234" s="422"/>
      <c r="B234" s="422"/>
      <c r="C234" s="422"/>
      <c r="D234" s="422"/>
    </row>
    <row r="235" spans="1:4" x14ac:dyDescent="0.2">
      <c r="A235" s="422"/>
      <c r="B235" s="422"/>
      <c r="C235" s="422"/>
      <c r="D235" s="422"/>
    </row>
    <row r="236" spans="1:4" x14ac:dyDescent="0.2">
      <c r="A236" s="422"/>
      <c r="B236" s="422"/>
      <c r="C236" s="422"/>
      <c r="D236" s="422"/>
    </row>
    <row r="237" spans="1:4" x14ac:dyDescent="0.2">
      <c r="A237" s="422"/>
      <c r="B237" s="422"/>
      <c r="C237" s="422"/>
      <c r="D237" s="422"/>
    </row>
    <row r="238" spans="1:4" x14ac:dyDescent="0.2">
      <c r="A238" s="422"/>
      <c r="B238" s="422"/>
      <c r="C238" s="422"/>
      <c r="D238" s="422"/>
    </row>
    <row r="239" spans="1:4" x14ac:dyDescent="0.2">
      <c r="A239" s="422"/>
      <c r="B239" s="422"/>
      <c r="C239" s="422"/>
      <c r="D239" s="422"/>
    </row>
    <row r="240" spans="1:4" x14ac:dyDescent="0.2">
      <c r="A240" s="422"/>
      <c r="B240" s="422"/>
      <c r="C240" s="422"/>
      <c r="D240" s="422"/>
    </row>
    <row r="241" spans="1:4" x14ac:dyDescent="0.2">
      <c r="A241" s="422"/>
      <c r="B241" s="422"/>
      <c r="C241" s="422"/>
      <c r="D241" s="422"/>
    </row>
    <row r="242" spans="1:4" x14ac:dyDescent="0.2">
      <c r="A242" s="422"/>
      <c r="B242" s="422"/>
      <c r="C242" s="422"/>
      <c r="D242" s="422"/>
    </row>
    <row r="243" spans="1:4" x14ac:dyDescent="0.2">
      <c r="A243" s="422"/>
      <c r="B243" s="422"/>
      <c r="C243" s="422"/>
      <c r="D243" s="422"/>
    </row>
    <row r="244" spans="1:4" x14ac:dyDescent="0.2">
      <c r="A244" s="422"/>
      <c r="B244" s="422"/>
      <c r="C244" s="422"/>
      <c r="D244" s="422"/>
    </row>
    <row r="245" spans="1:4" x14ac:dyDescent="0.2">
      <c r="A245" s="422"/>
      <c r="B245" s="422"/>
      <c r="C245" s="422"/>
      <c r="D245" s="422"/>
    </row>
    <row r="246" spans="1:4" x14ac:dyDescent="0.2">
      <c r="A246" s="422"/>
      <c r="B246" s="422"/>
      <c r="C246" s="422"/>
      <c r="D246" s="422"/>
    </row>
    <row r="247" spans="1:4" x14ac:dyDescent="0.2">
      <c r="A247" s="422"/>
      <c r="B247" s="422"/>
      <c r="C247" s="422"/>
      <c r="D247" s="422"/>
    </row>
    <row r="248" spans="1:4" x14ac:dyDescent="0.2">
      <c r="A248" s="422"/>
      <c r="B248" s="422"/>
      <c r="C248" s="422"/>
      <c r="D248" s="422"/>
    </row>
    <row r="249" spans="1:4" x14ac:dyDescent="0.2">
      <c r="A249" s="422"/>
      <c r="B249" s="422"/>
      <c r="C249" s="422"/>
      <c r="D249" s="422"/>
    </row>
    <row r="250" spans="1:4" x14ac:dyDescent="0.2">
      <c r="A250" s="422"/>
      <c r="B250" s="422"/>
      <c r="C250" s="422"/>
      <c r="D250" s="422"/>
    </row>
    <row r="251" spans="1:4" x14ac:dyDescent="0.2">
      <c r="A251" s="422"/>
      <c r="B251" s="422"/>
      <c r="C251" s="422"/>
      <c r="D251" s="422"/>
    </row>
    <row r="252" spans="1:4" x14ac:dyDescent="0.2">
      <c r="A252" s="422"/>
      <c r="B252" s="422"/>
      <c r="C252" s="422"/>
      <c r="D252" s="422"/>
    </row>
    <row r="253" spans="1:4" x14ac:dyDescent="0.2">
      <c r="A253" s="422"/>
      <c r="B253" s="422"/>
      <c r="C253" s="422"/>
      <c r="D253" s="422"/>
    </row>
    <row r="254" spans="1:4" x14ac:dyDescent="0.2">
      <c r="A254" s="422"/>
      <c r="B254" s="422"/>
      <c r="C254" s="422"/>
      <c r="D254" s="422"/>
    </row>
    <row r="255" spans="1:4" x14ac:dyDescent="0.2">
      <c r="A255" s="422"/>
      <c r="B255" s="422"/>
      <c r="C255" s="422"/>
      <c r="D255" s="422"/>
    </row>
    <row r="256" spans="1:4" x14ac:dyDescent="0.2">
      <c r="A256" s="422"/>
      <c r="B256" s="422"/>
      <c r="C256" s="422"/>
      <c r="D256" s="422"/>
    </row>
    <row r="257" spans="1:4" x14ac:dyDescent="0.2">
      <c r="A257" s="422"/>
      <c r="B257" s="422"/>
      <c r="C257" s="422"/>
      <c r="D257" s="422"/>
    </row>
    <row r="258" spans="1:4" x14ac:dyDescent="0.2">
      <c r="A258" s="422"/>
      <c r="B258" s="422"/>
      <c r="C258" s="422"/>
      <c r="D258" s="422"/>
    </row>
    <row r="259" spans="1:4" x14ac:dyDescent="0.2">
      <c r="A259" s="422"/>
      <c r="B259" s="422"/>
      <c r="C259" s="422"/>
      <c r="D259" s="422"/>
    </row>
    <row r="260" spans="1:4" x14ac:dyDescent="0.2">
      <c r="A260" s="422"/>
      <c r="B260" s="422"/>
      <c r="C260" s="422"/>
      <c r="D260" s="422"/>
    </row>
    <row r="261" spans="1:4" x14ac:dyDescent="0.2">
      <c r="A261" s="422"/>
      <c r="B261" s="422"/>
      <c r="C261" s="422"/>
      <c r="D261" s="422"/>
    </row>
    <row r="262" spans="1:4" x14ac:dyDescent="0.2">
      <c r="A262" s="422"/>
      <c r="B262" s="422"/>
      <c r="C262" s="422"/>
      <c r="D262" s="422"/>
    </row>
    <row r="263" spans="1:4" x14ac:dyDescent="0.2">
      <c r="A263" s="422"/>
      <c r="B263" s="422"/>
      <c r="C263" s="422"/>
      <c r="D263" s="422"/>
    </row>
    <row r="264" spans="1:4" x14ac:dyDescent="0.2">
      <c r="A264" s="422"/>
      <c r="B264" s="422"/>
      <c r="C264" s="422"/>
      <c r="D264" s="422"/>
    </row>
    <row r="265" spans="1:4" x14ac:dyDescent="0.2">
      <c r="A265" s="422"/>
      <c r="B265" s="422"/>
      <c r="C265" s="422"/>
      <c r="D265" s="422"/>
    </row>
    <row r="266" spans="1:4" x14ac:dyDescent="0.2">
      <c r="A266" s="422"/>
      <c r="B266" s="422"/>
      <c r="C266" s="422"/>
      <c r="D266" s="422"/>
    </row>
    <row r="267" spans="1:4" x14ac:dyDescent="0.2">
      <c r="A267" s="422"/>
      <c r="B267" s="422"/>
      <c r="C267" s="422"/>
      <c r="D267" s="422"/>
    </row>
    <row r="268" spans="1:4" x14ac:dyDescent="0.2">
      <c r="A268" s="422"/>
      <c r="B268" s="422"/>
      <c r="C268" s="422"/>
      <c r="D268" s="422"/>
    </row>
    <row r="269" spans="1:4" x14ac:dyDescent="0.2">
      <c r="A269" s="422"/>
      <c r="B269" s="422"/>
      <c r="C269" s="422"/>
      <c r="D269" s="422"/>
    </row>
    <row r="270" spans="1:4" x14ac:dyDescent="0.2">
      <c r="A270" s="422"/>
      <c r="B270" s="422"/>
      <c r="C270" s="422"/>
      <c r="D270" s="422"/>
    </row>
    <row r="271" spans="1:4" x14ac:dyDescent="0.2">
      <c r="A271" s="422"/>
      <c r="B271" s="422"/>
      <c r="C271" s="422"/>
      <c r="D271" s="422"/>
    </row>
    <row r="272" spans="1:4" x14ac:dyDescent="0.2">
      <c r="A272" s="422"/>
      <c r="B272" s="422"/>
      <c r="C272" s="422"/>
      <c r="D272" s="422"/>
    </row>
    <row r="273" spans="1:4" x14ac:dyDescent="0.2">
      <c r="A273" s="422"/>
      <c r="B273" s="422"/>
      <c r="C273" s="422"/>
      <c r="D273" s="422"/>
    </row>
    <row r="274" spans="1:4" x14ac:dyDescent="0.2">
      <c r="A274" s="422"/>
      <c r="B274" s="422"/>
      <c r="C274" s="422"/>
      <c r="D274" s="422"/>
    </row>
    <row r="275" spans="1:4" x14ac:dyDescent="0.2">
      <c r="A275" s="422"/>
      <c r="B275" s="422"/>
      <c r="C275" s="422"/>
      <c r="D275" s="422"/>
    </row>
    <row r="276" spans="1:4" x14ac:dyDescent="0.2">
      <c r="A276" s="422"/>
      <c r="B276" s="422"/>
      <c r="C276" s="422"/>
      <c r="D276" s="422"/>
    </row>
    <row r="277" spans="1:4" x14ac:dyDescent="0.2">
      <c r="A277" s="422"/>
      <c r="B277" s="422"/>
      <c r="C277" s="422"/>
      <c r="D277" s="422"/>
    </row>
    <row r="278" spans="1:4" x14ac:dyDescent="0.2">
      <c r="A278" s="422"/>
      <c r="B278" s="422"/>
      <c r="C278" s="422"/>
      <c r="D278" s="422"/>
    </row>
    <row r="279" spans="1:4" x14ac:dyDescent="0.2">
      <c r="A279" s="422"/>
      <c r="B279" s="422"/>
      <c r="C279" s="422"/>
      <c r="D279" s="422"/>
    </row>
    <row r="280" spans="1:4" x14ac:dyDescent="0.2">
      <c r="A280" s="422"/>
      <c r="B280" s="422"/>
      <c r="C280" s="422"/>
      <c r="D280" s="422"/>
    </row>
    <row r="281" spans="1:4" x14ac:dyDescent="0.2">
      <c r="A281" s="422"/>
      <c r="B281" s="422"/>
      <c r="C281" s="422"/>
      <c r="D281" s="422"/>
    </row>
    <row r="282" spans="1:4" x14ac:dyDescent="0.2">
      <c r="A282" s="422"/>
      <c r="B282" s="422"/>
      <c r="C282" s="422"/>
      <c r="D282" s="422"/>
    </row>
    <row r="283" spans="1:4" x14ac:dyDescent="0.2">
      <c r="A283" s="422"/>
      <c r="B283" s="422"/>
      <c r="C283" s="422"/>
      <c r="D283" s="422"/>
    </row>
    <row r="284" spans="1:4" x14ac:dyDescent="0.2">
      <c r="A284" s="422"/>
      <c r="B284" s="422"/>
      <c r="C284" s="422"/>
      <c r="D284" s="422"/>
    </row>
    <row r="285" spans="1:4" x14ac:dyDescent="0.2">
      <c r="A285" s="422"/>
      <c r="B285" s="422"/>
      <c r="C285" s="422"/>
      <c r="D285" s="422"/>
    </row>
    <row r="286" spans="1:4" x14ac:dyDescent="0.2">
      <c r="A286" s="422"/>
      <c r="B286" s="422"/>
      <c r="C286" s="422"/>
      <c r="D286" s="422"/>
    </row>
    <row r="287" spans="1:4" x14ac:dyDescent="0.2">
      <c r="A287" s="422"/>
      <c r="B287" s="422"/>
      <c r="C287" s="422"/>
      <c r="D287" s="422"/>
    </row>
    <row r="288" spans="1:4" x14ac:dyDescent="0.2">
      <c r="A288" s="422"/>
      <c r="B288" s="422"/>
      <c r="C288" s="422"/>
      <c r="D288" s="422"/>
    </row>
    <row r="289" spans="1:4" x14ac:dyDescent="0.2">
      <c r="A289" s="422"/>
      <c r="B289" s="422"/>
      <c r="C289" s="422"/>
      <c r="D289" s="422"/>
    </row>
    <row r="290" spans="1:4" x14ac:dyDescent="0.2">
      <c r="A290" s="422"/>
      <c r="B290" s="422"/>
      <c r="C290" s="422"/>
      <c r="D290" s="422"/>
    </row>
    <row r="291" spans="1:4" x14ac:dyDescent="0.2">
      <c r="A291" s="422"/>
      <c r="B291" s="422"/>
      <c r="C291" s="422"/>
      <c r="D291" s="422"/>
    </row>
    <row r="292" spans="1:4" x14ac:dyDescent="0.2">
      <c r="A292" s="422"/>
      <c r="B292" s="422"/>
      <c r="C292" s="422"/>
      <c r="D292" s="422"/>
    </row>
    <row r="293" spans="1:4" x14ac:dyDescent="0.2">
      <c r="A293" s="422"/>
      <c r="B293" s="422"/>
      <c r="C293" s="422"/>
      <c r="D293" s="422"/>
    </row>
    <row r="294" spans="1:4" x14ac:dyDescent="0.2">
      <c r="A294" s="422"/>
      <c r="B294" s="422"/>
      <c r="C294" s="422"/>
      <c r="D294" s="422"/>
    </row>
    <row r="295" spans="1:4" x14ac:dyDescent="0.2">
      <c r="A295" s="422"/>
      <c r="B295" s="422"/>
      <c r="C295" s="422"/>
      <c r="D295" s="422"/>
    </row>
    <row r="296" spans="1:4" x14ac:dyDescent="0.2">
      <c r="A296" s="422"/>
      <c r="B296" s="422"/>
      <c r="C296" s="422"/>
      <c r="D296" s="422"/>
    </row>
    <row r="297" spans="1:4" x14ac:dyDescent="0.2">
      <c r="A297" s="422"/>
      <c r="B297" s="422"/>
      <c r="C297" s="422"/>
      <c r="D297" s="422"/>
    </row>
    <row r="298" spans="1:4" x14ac:dyDescent="0.2">
      <c r="A298" s="422"/>
      <c r="B298" s="422"/>
      <c r="C298" s="422"/>
      <c r="D298" s="422"/>
    </row>
    <row r="299" spans="1:4" x14ac:dyDescent="0.2">
      <c r="A299" s="422"/>
      <c r="B299" s="422"/>
      <c r="C299" s="422"/>
      <c r="D299" s="422"/>
    </row>
    <row r="300" spans="1:4" x14ac:dyDescent="0.2">
      <c r="A300" s="422"/>
      <c r="B300" s="422"/>
      <c r="C300" s="422"/>
      <c r="D300" s="422"/>
    </row>
    <row r="301" spans="1:4" x14ac:dyDescent="0.2">
      <c r="A301" s="422"/>
      <c r="B301" s="422"/>
      <c r="C301" s="422"/>
      <c r="D301" s="422"/>
    </row>
  </sheetData>
  <sheetProtection sheet="1" formatCells="0" formatRows="0" insertRows="0" insertHyperlinks="0" deleteRows="0" selectLockedCells="1" sort="0"/>
  <sortState xmlns:xlrd2="http://schemas.microsoft.com/office/spreadsheetml/2017/richdata2" ref="A2:D1219">
    <sortCondition ref="A2:A12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354"/>
  <sheetViews>
    <sheetView workbookViewId="0">
      <pane ySplit="1" topLeftCell="A208" activePane="bottomLeft" state="frozen"/>
      <selection pane="bottomLeft" activeCell="I245" sqref="I245"/>
    </sheetView>
  </sheetViews>
  <sheetFormatPr defaultRowHeight="12.75" x14ac:dyDescent="0.2"/>
  <cols>
    <col min="1" max="1" width="40.140625" bestFit="1" customWidth="1"/>
    <col min="2" max="2" width="7.42578125" bestFit="1" customWidth="1"/>
    <col min="3" max="3" width="17" bestFit="1" customWidth="1"/>
    <col min="4" max="4" width="11.28515625" bestFit="1" customWidth="1"/>
    <col min="5" max="5" width="11.140625" customWidth="1"/>
    <col min="6" max="6" width="11.7109375" bestFit="1" customWidth="1"/>
    <col min="7" max="7" width="7.28515625" style="4" customWidth="1"/>
    <col min="8" max="8" width="7.85546875" style="4" customWidth="1"/>
    <col min="9" max="9" width="136.28515625" bestFit="1" customWidth="1"/>
  </cols>
  <sheetData>
    <row r="1" spans="1:9" ht="34.15" customHeight="1" x14ac:dyDescent="0.2">
      <c r="A1" s="29" t="s">
        <v>1092</v>
      </c>
      <c r="B1" s="29" t="s">
        <v>66</v>
      </c>
      <c r="C1" s="29" t="s">
        <v>410</v>
      </c>
      <c r="D1" s="29" t="s">
        <v>411</v>
      </c>
      <c r="E1" s="29" t="s">
        <v>1093</v>
      </c>
      <c r="F1" s="29" t="s">
        <v>1108</v>
      </c>
      <c r="G1" s="43" t="s">
        <v>1217</v>
      </c>
      <c r="H1" s="43" t="s">
        <v>1218</v>
      </c>
      <c r="I1" s="29" t="s">
        <v>67</v>
      </c>
    </row>
    <row r="2" spans="1:9" x14ac:dyDescent="0.2">
      <c r="A2" s="415" t="s">
        <v>1562</v>
      </c>
      <c r="B2" s="415" t="s">
        <v>412</v>
      </c>
      <c r="C2" s="415" t="s">
        <v>1563</v>
      </c>
      <c r="D2" s="415" t="s">
        <v>421</v>
      </c>
      <c r="E2" s="415" t="s">
        <v>1564</v>
      </c>
      <c r="F2" s="426">
        <v>0.74</v>
      </c>
      <c r="G2" s="418">
        <v>62</v>
      </c>
      <c r="H2" s="427">
        <v>70</v>
      </c>
      <c r="I2" s="415" t="s">
        <v>1565</v>
      </c>
    </row>
    <row r="3" spans="1:9" x14ac:dyDescent="0.2">
      <c r="A3" s="415" t="s">
        <v>1566</v>
      </c>
      <c r="B3" s="415" t="s">
        <v>412</v>
      </c>
      <c r="C3" s="415" t="s">
        <v>1563</v>
      </c>
      <c r="D3" s="415" t="s">
        <v>414</v>
      </c>
      <c r="E3" s="415" t="s">
        <v>1567</v>
      </c>
      <c r="F3" s="426">
        <v>0.73499999999999999</v>
      </c>
      <c r="G3" s="418">
        <v>62</v>
      </c>
      <c r="H3" s="427">
        <v>70</v>
      </c>
      <c r="I3" s="415" t="s">
        <v>1568</v>
      </c>
    </row>
    <row r="4" spans="1:9" x14ac:dyDescent="0.2">
      <c r="A4" s="415" t="s">
        <v>1569</v>
      </c>
      <c r="B4" s="415" t="s">
        <v>412</v>
      </c>
      <c r="C4" s="415" t="s">
        <v>1563</v>
      </c>
      <c r="D4" s="422" t="s">
        <v>428</v>
      </c>
      <c r="E4" s="415" t="s">
        <v>1156</v>
      </c>
      <c r="F4" s="426">
        <v>0.75</v>
      </c>
      <c r="G4" s="418">
        <v>60</v>
      </c>
      <c r="H4" s="427">
        <v>72</v>
      </c>
      <c r="I4" s="415" t="s">
        <v>1570</v>
      </c>
    </row>
    <row r="5" spans="1:9" x14ac:dyDescent="0.2">
      <c r="A5" s="415" t="s">
        <v>1571</v>
      </c>
      <c r="B5" s="415" t="s">
        <v>412</v>
      </c>
      <c r="C5" s="415" t="s">
        <v>1563</v>
      </c>
      <c r="D5" s="415" t="s">
        <v>535</v>
      </c>
      <c r="E5" s="415" t="s">
        <v>1572</v>
      </c>
      <c r="F5" s="426">
        <v>0.71499999999999997</v>
      </c>
      <c r="G5" s="418">
        <v>64</v>
      </c>
      <c r="H5" s="427">
        <v>70</v>
      </c>
      <c r="I5" s="415" t="s">
        <v>1573</v>
      </c>
    </row>
    <row r="6" spans="1:9" x14ac:dyDescent="0.2">
      <c r="A6" s="415" t="s">
        <v>1574</v>
      </c>
      <c r="B6" s="415" t="s">
        <v>412</v>
      </c>
      <c r="C6" s="415" t="s">
        <v>1563</v>
      </c>
      <c r="D6" s="415" t="s">
        <v>414</v>
      </c>
      <c r="E6" s="415" t="s">
        <v>554</v>
      </c>
      <c r="F6" s="426">
        <v>0.73</v>
      </c>
      <c r="G6" s="418">
        <v>62</v>
      </c>
      <c r="H6" s="427">
        <v>72</v>
      </c>
      <c r="I6" s="415" t="s">
        <v>1575</v>
      </c>
    </row>
    <row r="7" spans="1:9" x14ac:dyDescent="0.2">
      <c r="A7" s="415" t="s">
        <v>1576</v>
      </c>
      <c r="B7" s="415" t="s">
        <v>412</v>
      </c>
      <c r="C7" s="415" t="s">
        <v>1563</v>
      </c>
      <c r="D7" s="415" t="s">
        <v>414</v>
      </c>
      <c r="E7" s="415" t="s">
        <v>434</v>
      </c>
      <c r="F7" s="426">
        <v>0.74</v>
      </c>
      <c r="G7" s="418">
        <v>60</v>
      </c>
      <c r="H7" s="427">
        <v>72</v>
      </c>
      <c r="I7" s="415" t="s">
        <v>1577</v>
      </c>
    </row>
    <row r="8" spans="1:9" x14ac:dyDescent="0.2">
      <c r="A8" s="415" t="s">
        <v>1578</v>
      </c>
      <c r="B8" s="415" t="s">
        <v>412</v>
      </c>
      <c r="C8" s="415" t="s">
        <v>1563</v>
      </c>
      <c r="D8" s="415" t="s">
        <v>417</v>
      </c>
      <c r="E8" s="415" t="s">
        <v>429</v>
      </c>
      <c r="F8" s="426">
        <v>0.75</v>
      </c>
      <c r="G8" s="418">
        <v>60</v>
      </c>
      <c r="H8" s="427">
        <v>70</v>
      </c>
      <c r="I8" s="415" t="s">
        <v>1579</v>
      </c>
    </row>
    <row r="9" spans="1:9" x14ac:dyDescent="0.2">
      <c r="A9" s="415" t="s">
        <v>1580</v>
      </c>
      <c r="B9" s="415" t="s">
        <v>412</v>
      </c>
      <c r="C9" s="415" t="s">
        <v>1563</v>
      </c>
      <c r="D9" s="415" t="s">
        <v>423</v>
      </c>
      <c r="E9" s="415" t="s">
        <v>440</v>
      </c>
      <c r="F9" s="426">
        <v>0.76</v>
      </c>
      <c r="G9" s="418">
        <v>67</v>
      </c>
      <c r="H9" s="427">
        <v>80</v>
      </c>
      <c r="I9" s="415" t="s">
        <v>1581</v>
      </c>
    </row>
    <row r="10" spans="1:9" x14ac:dyDescent="0.2">
      <c r="A10" s="415" t="s">
        <v>1582</v>
      </c>
      <c r="B10" s="415" t="s">
        <v>412</v>
      </c>
      <c r="C10" s="415" t="s">
        <v>1563</v>
      </c>
      <c r="D10" s="415" t="s">
        <v>414</v>
      </c>
      <c r="E10" s="415" t="s">
        <v>440</v>
      </c>
      <c r="F10" s="426">
        <v>0.76</v>
      </c>
      <c r="G10" s="418">
        <v>64</v>
      </c>
      <c r="H10" s="427">
        <v>74</v>
      </c>
      <c r="I10" s="415" t="s">
        <v>1583</v>
      </c>
    </row>
    <row r="11" spans="1:9" x14ac:dyDescent="0.2">
      <c r="A11" s="415" t="s">
        <v>1584</v>
      </c>
      <c r="B11" s="415" t="s">
        <v>412</v>
      </c>
      <c r="C11" s="415" t="s">
        <v>1563</v>
      </c>
      <c r="D11" s="415" t="s">
        <v>414</v>
      </c>
      <c r="E11" s="415" t="s">
        <v>424</v>
      </c>
      <c r="F11" s="426">
        <v>0.72499999999999998</v>
      </c>
      <c r="G11" s="418">
        <v>65</v>
      </c>
      <c r="H11" s="427">
        <v>70</v>
      </c>
      <c r="I11" s="415" t="s">
        <v>1585</v>
      </c>
    </row>
    <row r="12" spans="1:9" x14ac:dyDescent="0.2">
      <c r="A12" s="415" t="s">
        <v>1586</v>
      </c>
      <c r="B12" s="415" t="s">
        <v>412</v>
      </c>
      <c r="C12" s="415" t="s">
        <v>1563</v>
      </c>
      <c r="D12" s="415" t="s">
        <v>414</v>
      </c>
      <c r="E12" s="415" t="s">
        <v>1587</v>
      </c>
      <c r="F12" s="426">
        <v>0.74</v>
      </c>
      <c r="G12" s="418">
        <v>64</v>
      </c>
      <c r="H12" s="427">
        <v>74</v>
      </c>
      <c r="I12" s="415" t="s">
        <v>1588</v>
      </c>
    </row>
    <row r="13" spans="1:9" x14ac:dyDescent="0.2">
      <c r="A13" s="422" t="s">
        <v>922</v>
      </c>
      <c r="B13" s="422" t="s">
        <v>487</v>
      </c>
      <c r="C13" s="422" t="s">
        <v>860</v>
      </c>
      <c r="D13" s="422" t="s">
        <v>423</v>
      </c>
      <c r="E13" s="422" t="s">
        <v>421</v>
      </c>
      <c r="F13" s="428"/>
      <c r="G13" s="365">
        <v>63</v>
      </c>
      <c r="H13" s="427">
        <v>77</v>
      </c>
      <c r="I13" s="422" t="s">
        <v>923</v>
      </c>
    </row>
    <row r="14" spans="1:9" x14ac:dyDescent="0.2">
      <c r="A14" s="422" t="s">
        <v>416</v>
      </c>
      <c r="B14" s="422" t="s">
        <v>412</v>
      </c>
      <c r="C14" s="422" t="s">
        <v>413</v>
      </c>
      <c r="D14" s="422" t="s">
        <v>417</v>
      </c>
      <c r="E14" s="422" t="s">
        <v>415</v>
      </c>
      <c r="F14" s="428">
        <v>0.77500000000000002</v>
      </c>
      <c r="G14" s="418">
        <v>66</v>
      </c>
      <c r="H14" s="427">
        <v>72</v>
      </c>
      <c r="I14" s="422" t="s">
        <v>418</v>
      </c>
    </row>
    <row r="15" spans="1:9" x14ac:dyDescent="0.2">
      <c r="A15" s="422" t="s">
        <v>924</v>
      </c>
      <c r="B15" s="422" t="s">
        <v>412</v>
      </c>
      <c r="C15" s="422" t="s">
        <v>413</v>
      </c>
      <c r="D15" s="422" t="s">
        <v>414</v>
      </c>
      <c r="E15" s="422" t="s">
        <v>414</v>
      </c>
      <c r="F15" s="428">
        <v>0.78</v>
      </c>
      <c r="G15" s="418">
        <v>66</v>
      </c>
      <c r="H15" s="427">
        <v>72</v>
      </c>
      <c r="I15" s="422" t="s">
        <v>925</v>
      </c>
    </row>
    <row r="16" spans="1:9" x14ac:dyDescent="0.2">
      <c r="A16" s="415" t="s">
        <v>1970</v>
      </c>
      <c r="B16" s="422" t="s">
        <v>412</v>
      </c>
      <c r="C16" s="422" t="s">
        <v>1914</v>
      </c>
      <c r="D16" s="422" t="s">
        <v>423</v>
      </c>
      <c r="E16" s="415" t="s">
        <v>1933</v>
      </c>
      <c r="F16" s="426">
        <v>0.92500000000000004</v>
      </c>
      <c r="G16" s="418">
        <v>68</v>
      </c>
      <c r="H16" s="427">
        <v>85</v>
      </c>
      <c r="I16" s="415" t="s">
        <v>1971</v>
      </c>
    </row>
    <row r="17" spans="1:9" x14ac:dyDescent="0.2">
      <c r="A17" s="422" t="s">
        <v>419</v>
      </c>
      <c r="B17" s="422" t="s">
        <v>412</v>
      </c>
      <c r="C17" s="422" t="s">
        <v>420</v>
      </c>
      <c r="D17" s="422" t="s">
        <v>414</v>
      </c>
      <c r="E17" s="422" t="s">
        <v>421</v>
      </c>
      <c r="F17" s="428"/>
      <c r="G17" s="418">
        <v>59</v>
      </c>
      <c r="H17" s="427">
        <v>68</v>
      </c>
      <c r="I17" s="422" t="s">
        <v>1082</v>
      </c>
    </row>
    <row r="18" spans="1:9" x14ac:dyDescent="0.2">
      <c r="A18" s="422" t="s">
        <v>422</v>
      </c>
      <c r="B18" s="422" t="s">
        <v>412</v>
      </c>
      <c r="C18" s="422" t="s">
        <v>413</v>
      </c>
      <c r="D18" s="422" t="s">
        <v>423</v>
      </c>
      <c r="E18" s="422" t="s">
        <v>424</v>
      </c>
      <c r="F18" s="428">
        <v>0.72499999999999998</v>
      </c>
      <c r="G18" s="418">
        <v>65</v>
      </c>
      <c r="H18" s="427">
        <v>69</v>
      </c>
      <c r="I18" s="422" t="s">
        <v>425</v>
      </c>
    </row>
    <row r="19" spans="1:9" x14ac:dyDescent="0.2">
      <c r="A19" s="422" t="s">
        <v>426</v>
      </c>
      <c r="B19" s="422" t="s">
        <v>412</v>
      </c>
      <c r="C19" s="422" t="s">
        <v>427</v>
      </c>
      <c r="D19" s="422" t="s">
        <v>428</v>
      </c>
      <c r="E19" s="422" t="s">
        <v>429</v>
      </c>
      <c r="F19" s="428">
        <v>0.75</v>
      </c>
      <c r="G19" s="418">
        <v>60</v>
      </c>
      <c r="H19" s="427">
        <v>72</v>
      </c>
      <c r="I19" s="422" t="s">
        <v>430</v>
      </c>
    </row>
    <row r="20" spans="1:9" x14ac:dyDescent="0.2">
      <c r="A20" s="422" t="s">
        <v>431</v>
      </c>
      <c r="B20" s="422" t="s">
        <v>412</v>
      </c>
      <c r="C20" s="422" t="s">
        <v>420</v>
      </c>
      <c r="D20" s="422" t="s">
        <v>414</v>
      </c>
      <c r="E20" s="422" t="s">
        <v>421</v>
      </c>
      <c r="F20" s="428"/>
      <c r="G20" s="418">
        <v>64</v>
      </c>
      <c r="H20" s="427">
        <v>72</v>
      </c>
      <c r="I20" s="422" t="s">
        <v>858</v>
      </c>
    </row>
    <row r="21" spans="1:9" x14ac:dyDescent="0.2">
      <c r="A21" s="422" t="s">
        <v>433</v>
      </c>
      <c r="B21" s="422" t="s">
        <v>412</v>
      </c>
      <c r="C21" s="422" t="s">
        <v>427</v>
      </c>
      <c r="D21" s="422" t="s">
        <v>414</v>
      </c>
      <c r="E21" s="422" t="s">
        <v>434</v>
      </c>
      <c r="F21" s="428">
        <v>0.74</v>
      </c>
      <c r="G21" s="418">
        <v>60</v>
      </c>
      <c r="H21" s="427">
        <v>72</v>
      </c>
      <c r="I21" s="422" t="s">
        <v>435</v>
      </c>
    </row>
    <row r="22" spans="1:9" x14ac:dyDescent="0.2">
      <c r="A22" s="422" t="s">
        <v>436</v>
      </c>
      <c r="B22" s="422" t="s">
        <v>412</v>
      </c>
      <c r="C22" s="422" t="s">
        <v>413</v>
      </c>
      <c r="D22" s="422" t="s">
        <v>414</v>
      </c>
      <c r="E22" s="422" t="s">
        <v>437</v>
      </c>
      <c r="F22" s="428">
        <v>0.75</v>
      </c>
      <c r="G22" s="418">
        <v>68</v>
      </c>
      <c r="H22" s="427">
        <v>72</v>
      </c>
      <c r="I22" s="422" t="s">
        <v>438</v>
      </c>
    </row>
    <row r="23" spans="1:9" x14ac:dyDescent="0.2">
      <c r="A23" s="422" t="s">
        <v>926</v>
      </c>
      <c r="B23" s="422" t="s">
        <v>412</v>
      </c>
      <c r="C23" s="422" t="s">
        <v>413</v>
      </c>
      <c r="D23" s="422" t="s">
        <v>414</v>
      </c>
      <c r="E23" s="422" t="s">
        <v>414</v>
      </c>
      <c r="F23" s="428">
        <v>0.78500000000000003</v>
      </c>
      <c r="G23" s="418">
        <v>68</v>
      </c>
      <c r="H23" s="427">
        <v>72</v>
      </c>
      <c r="I23" s="422" t="s">
        <v>927</v>
      </c>
    </row>
    <row r="24" spans="1:9" x14ac:dyDescent="0.2">
      <c r="A24" s="422" t="s">
        <v>2059</v>
      </c>
      <c r="B24" s="422" t="s">
        <v>412</v>
      </c>
      <c r="C24" s="422" t="s">
        <v>413</v>
      </c>
      <c r="D24" s="422" t="s">
        <v>423</v>
      </c>
      <c r="E24" s="422" t="s">
        <v>2060</v>
      </c>
      <c r="F24" s="428">
        <v>0.72499999999999998</v>
      </c>
      <c r="G24" s="418">
        <v>65</v>
      </c>
      <c r="H24" s="427">
        <v>69</v>
      </c>
      <c r="I24" s="422" t="s">
        <v>2061</v>
      </c>
    </row>
    <row r="25" spans="1:9" x14ac:dyDescent="0.2">
      <c r="A25" s="422" t="s">
        <v>891</v>
      </c>
      <c r="B25" s="422" t="s">
        <v>412</v>
      </c>
      <c r="C25" s="422" t="s">
        <v>420</v>
      </c>
      <c r="D25" s="422" t="s">
        <v>421</v>
      </c>
      <c r="E25" s="422" t="s">
        <v>414</v>
      </c>
      <c r="F25" s="428"/>
      <c r="G25" s="418">
        <v>68</v>
      </c>
      <c r="H25" s="427">
        <v>72</v>
      </c>
      <c r="I25" s="422" t="s">
        <v>892</v>
      </c>
    </row>
    <row r="26" spans="1:9" x14ac:dyDescent="0.2">
      <c r="A26" s="422" t="s">
        <v>893</v>
      </c>
      <c r="B26" s="422" t="s">
        <v>412</v>
      </c>
      <c r="C26" s="422" t="s">
        <v>427</v>
      </c>
      <c r="D26" s="422" t="s">
        <v>414</v>
      </c>
      <c r="E26" s="422" t="s">
        <v>415</v>
      </c>
      <c r="F26" s="428">
        <v>0.77500000000000002</v>
      </c>
      <c r="G26" s="418">
        <v>48</v>
      </c>
      <c r="H26" s="427">
        <v>58</v>
      </c>
      <c r="I26" s="422" t="s">
        <v>894</v>
      </c>
    </row>
    <row r="27" spans="1:9" x14ac:dyDescent="0.2">
      <c r="A27" s="422" t="s">
        <v>895</v>
      </c>
      <c r="B27" s="422" t="s">
        <v>412</v>
      </c>
      <c r="C27" s="422" t="s">
        <v>413</v>
      </c>
      <c r="D27" s="422" t="s">
        <v>414</v>
      </c>
      <c r="E27" s="422" t="s">
        <v>415</v>
      </c>
      <c r="F27" s="428">
        <v>0.77500000000000002</v>
      </c>
      <c r="G27" s="418">
        <v>50</v>
      </c>
      <c r="H27" s="427">
        <v>55</v>
      </c>
      <c r="I27" s="422" t="s">
        <v>896</v>
      </c>
    </row>
    <row r="28" spans="1:9" x14ac:dyDescent="0.2">
      <c r="A28" s="422" t="s">
        <v>859</v>
      </c>
      <c r="B28" s="422" t="s">
        <v>487</v>
      </c>
      <c r="C28" s="422" t="s">
        <v>860</v>
      </c>
      <c r="D28" s="422" t="s">
        <v>414</v>
      </c>
      <c r="E28" s="422" t="s">
        <v>414</v>
      </c>
      <c r="F28" s="428"/>
      <c r="G28" s="418">
        <v>59</v>
      </c>
      <c r="H28" s="427">
        <v>72</v>
      </c>
      <c r="I28" s="422" t="s">
        <v>432</v>
      </c>
    </row>
    <row r="29" spans="1:9" x14ac:dyDescent="0.2">
      <c r="A29" s="422" t="s">
        <v>439</v>
      </c>
      <c r="B29" s="422" t="s">
        <v>412</v>
      </c>
      <c r="C29" s="422" t="s">
        <v>427</v>
      </c>
      <c r="D29" s="422" t="s">
        <v>423</v>
      </c>
      <c r="E29" s="422" t="s">
        <v>440</v>
      </c>
      <c r="F29" s="428">
        <v>0.76</v>
      </c>
      <c r="G29" s="418">
        <v>58</v>
      </c>
      <c r="H29" s="427">
        <v>74</v>
      </c>
      <c r="I29" s="422" t="s">
        <v>441</v>
      </c>
    </row>
    <row r="30" spans="1:9" x14ac:dyDescent="0.2">
      <c r="A30" s="422" t="s">
        <v>1035</v>
      </c>
      <c r="B30" s="422" t="s">
        <v>412</v>
      </c>
      <c r="C30" s="422" t="s">
        <v>413</v>
      </c>
      <c r="D30" s="422" t="s">
        <v>414</v>
      </c>
      <c r="E30" s="422" t="s">
        <v>1036</v>
      </c>
      <c r="F30" s="428">
        <v>0.79</v>
      </c>
      <c r="G30" s="418">
        <v>75</v>
      </c>
      <c r="H30" s="427">
        <v>82</v>
      </c>
      <c r="I30" s="422" t="s">
        <v>1037</v>
      </c>
    </row>
    <row r="31" spans="1:9" x14ac:dyDescent="0.2">
      <c r="A31" s="422" t="s">
        <v>928</v>
      </c>
      <c r="B31" s="422" t="s">
        <v>412</v>
      </c>
      <c r="C31" s="422" t="s">
        <v>413</v>
      </c>
      <c r="D31" s="422" t="s">
        <v>414</v>
      </c>
      <c r="E31" s="422" t="s">
        <v>414</v>
      </c>
      <c r="F31" s="428">
        <v>0.76500000000000001</v>
      </c>
      <c r="G31" s="418">
        <v>67</v>
      </c>
      <c r="H31" s="427">
        <v>70</v>
      </c>
      <c r="I31" s="422" t="s">
        <v>929</v>
      </c>
    </row>
    <row r="32" spans="1:9" x14ac:dyDescent="0.2">
      <c r="A32" s="422" t="s">
        <v>2116</v>
      </c>
      <c r="B32" s="422" t="s">
        <v>412</v>
      </c>
      <c r="C32" s="422" t="s">
        <v>413</v>
      </c>
      <c r="D32" s="422" t="s">
        <v>428</v>
      </c>
      <c r="E32" s="422" t="s">
        <v>1191</v>
      </c>
      <c r="F32" s="428">
        <v>0.77500000000000002</v>
      </c>
      <c r="G32" s="418">
        <v>70</v>
      </c>
      <c r="H32" s="427">
        <v>82</v>
      </c>
      <c r="I32" s="422" t="s">
        <v>2050</v>
      </c>
    </row>
    <row r="33" spans="1:9" x14ac:dyDescent="0.2">
      <c r="A33" s="422" t="s">
        <v>442</v>
      </c>
      <c r="B33" s="422" t="s">
        <v>412</v>
      </c>
      <c r="C33" s="422" t="s">
        <v>413</v>
      </c>
      <c r="D33" s="422" t="s">
        <v>421</v>
      </c>
      <c r="E33" s="422" t="s">
        <v>424</v>
      </c>
      <c r="F33" s="428">
        <v>0.72499999999999998</v>
      </c>
      <c r="G33" s="418">
        <v>65</v>
      </c>
      <c r="H33" s="427">
        <v>70</v>
      </c>
      <c r="I33" s="422" t="s">
        <v>443</v>
      </c>
    </row>
    <row r="34" spans="1:9" x14ac:dyDescent="0.2">
      <c r="A34" s="415" t="s">
        <v>1595</v>
      </c>
      <c r="B34" s="415" t="s">
        <v>412</v>
      </c>
      <c r="C34" s="415" t="s">
        <v>1563</v>
      </c>
      <c r="D34" s="415" t="s">
        <v>428</v>
      </c>
      <c r="E34" s="415" t="s">
        <v>1587</v>
      </c>
      <c r="F34" s="426">
        <v>0.74</v>
      </c>
      <c r="G34" s="418">
        <v>62</v>
      </c>
      <c r="H34" s="427">
        <v>72</v>
      </c>
      <c r="I34" s="415" t="s">
        <v>1596</v>
      </c>
    </row>
    <row r="35" spans="1:9" x14ac:dyDescent="0.2">
      <c r="A35" s="415" t="s">
        <v>1597</v>
      </c>
      <c r="B35" s="415" t="s">
        <v>412</v>
      </c>
      <c r="C35" s="415" t="s">
        <v>1563</v>
      </c>
      <c r="D35" s="415" t="s">
        <v>417</v>
      </c>
      <c r="E35" s="415" t="s">
        <v>1587</v>
      </c>
      <c r="F35" s="426">
        <v>0.74</v>
      </c>
      <c r="G35" s="418">
        <v>65</v>
      </c>
      <c r="H35" s="427">
        <v>75</v>
      </c>
      <c r="I35" s="415" t="s">
        <v>1598</v>
      </c>
    </row>
    <row r="36" spans="1:9" x14ac:dyDescent="0.2">
      <c r="A36" s="415" t="s">
        <v>1599</v>
      </c>
      <c r="B36" s="415" t="s">
        <v>412</v>
      </c>
      <c r="C36" s="415" t="s">
        <v>1563</v>
      </c>
      <c r="D36" s="415" t="s">
        <v>414</v>
      </c>
      <c r="E36" s="415" t="s">
        <v>1171</v>
      </c>
      <c r="F36" s="426">
        <v>0.76</v>
      </c>
      <c r="G36" s="418">
        <v>65</v>
      </c>
      <c r="H36" s="427">
        <v>77</v>
      </c>
      <c r="I36" s="415" t="s">
        <v>1600</v>
      </c>
    </row>
    <row r="37" spans="1:9" x14ac:dyDescent="0.2">
      <c r="A37" s="415" t="s">
        <v>1601</v>
      </c>
      <c r="B37" s="415" t="s">
        <v>412</v>
      </c>
      <c r="C37" s="415" t="s">
        <v>1563</v>
      </c>
      <c r="D37" s="415" t="s">
        <v>414</v>
      </c>
      <c r="E37" s="415" t="s">
        <v>1602</v>
      </c>
      <c r="F37" s="426">
        <v>0.745</v>
      </c>
      <c r="G37" s="418">
        <v>65</v>
      </c>
      <c r="H37" s="427">
        <v>75</v>
      </c>
      <c r="I37" s="415" t="s">
        <v>1603</v>
      </c>
    </row>
    <row r="38" spans="1:9" x14ac:dyDescent="0.2">
      <c r="A38" s="415" t="s">
        <v>1604</v>
      </c>
      <c r="B38" s="415" t="s">
        <v>412</v>
      </c>
      <c r="C38" s="415" t="s">
        <v>1563</v>
      </c>
      <c r="D38" s="415" t="s">
        <v>414</v>
      </c>
      <c r="E38" s="415" t="s">
        <v>1587</v>
      </c>
      <c r="F38" s="426">
        <v>0.74</v>
      </c>
      <c r="G38" s="418">
        <v>68</v>
      </c>
      <c r="H38" s="427">
        <v>80</v>
      </c>
      <c r="I38" s="415" t="s">
        <v>1605</v>
      </c>
    </row>
    <row r="39" spans="1:9" x14ac:dyDescent="0.2">
      <c r="A39" s="415" t="s">
        <v>1606</v>
      </c>
      <c r="B39" s="415" t="s">
        <v>412</v>
      </c>
      <c r="C39" s="415" t="s">
        <v>1563</v>
      </c>
      <c r="D39" s="415" t="s">
        <v>414</v>
      </c>
      <c r="E39" s="415" t="s">
        <v>1171</v>
      </c>
      <c r="F39" s="426">
        <v>0.76</v>
      </c>
      <c r="G39" s="418">
        <v>68</v>
      </c>
      <c r="H39" s="427">
        <v>78</v>
      </c>
      <c r="I39" s="415" t="s">
        <v>1607</v>
      </c>
    </row>
    <row r="40" spans="1:9" x14ac:dyDescent="0.2">
      <c r="A40" s="415" t="s">
        <v>1608</v>
      </c>
      <c r="B40" s="415" t="s">
        <v>412</v>
      </c>
      <c r="C40" s="415" t="s">
        <v>1563</v>
      </c>
      <c r="D40" s="415" t="s">
        <v>423</v>
      </c>
      <c r="E40" s="415" t="s">
        <v>1173</v>
      </c>
      <c r="F40" s="426">
        <v>0.8</v>
      </c>
      <c r="G40" s="418">
        <v>65</v>
      </c>
      <c r="H40" s="427">
        <v>78</v>
      </c>
      <c r="I40" s="415" t="s">
        <v>1609</v>
      </c>
    </row>
    <row r="41" spans="1:9" x14ac:dyDescent="0.2">
      <c r="A41" s="422" t="s">
        <v>1075</v>
      </c>
      <c r="B41" s="422" t="s">
        <v>412</v>
      </c>
      <c r="C41" s="422" t="s">
        <v>875</v>
      </c>
      <c r="D41" s="422" t="s">
        <v>414</v>
      </c>
      <c r="E41" s="422" t="s">
        <v>414</v>
      </c>
      <c r="F41" s="428"/>
      <c r="G41" s="418">
        <v>75</v>
      </c>
      <c r="H41" s="427">
        <v>78</v>
      </c>
      <c r="I41" s="422" t="s">
        <v>1076</v>
      </c>
    </row>
    <row r="42" spans="1:9" x14ac:dyDescent="0.2">
      <c r="A42" s="422" t="s">
        <v>444</v>
      </c>
      <c r="B42" s="422" t="s">
        <v>412</v>
      </c>
      <c r="C42" s="422" t="s">
        <v>413</v>
      </c>
      <c r="D42" s="422" t="s">
        <v>414</v>
      </c>
      <c r="E42" s="422" t="s">
        <v>445</v>
      </c>
      <c r="F42" s="428">
        <v>0.77</v>
      </c>
      <c r="G42" s="418">
        <v>66</v>
      </c>
      <c r="H42" s="427">
        <v>72</v>
      </c>
      <c r="I42" s="422" t="s">
        <v>446</v>
      </c>
    </row>
    <row r="43" spans="1:9" x14ac:dyDescent="0.2">
      <c r="A43" s="422" t="s">
        <v>1003</v>
      </c>
      <c r="B43" s="422" t="s">
        <v>412</v>
      </c>
      <c r="C43" s="422" t="s">
        <v>427</v>
      </c>
      <c r="D43" s="422" t="s">
        <v>414</v>
      </c>
      <c r="E43" s="422" t="s">
        <v>429</v>
      </c>
      <c r="F43" s="428">
        <v>0.75</v>
      </c>
      <c r="G43" s="418">
        <v>46</v>
      </c>
      <c r="H43" s="427">
        <v>58</v>
      </c>
      <c r="I43" s="422" t="s">
        <v>1004</v>
      </c>
    </row>
    <row r="44" spans="1:9" x14ac:dyDescent="0.2">
      <c r="A44" s="422" t="s">
        <v>447</v>
      </c>
      <c r="B44" s="422" t="s">
        <v>412</v>
      </c>
      <c r="C44" s="422" t="s">
        <v>413</v>
      </c>
      <c r="D44" s="422" t="s">
        <v>423</v>
      </c>
      <c r="E44" s="422" t="s">
        <v>429</v>
      </c>
      <c r="F44" s="428">
        <v>0.75</v>
      </c>
      <c r="G44" s="418">
        <v>66</v>
      </c>
      <c r="H44" s="427">
        <v>70</v>
      </c>
      <c r="I44" s="422" t="s">
        <v>448</v>
      </c>
    </row>
    <row r="45" spans="1:9" x14ac:dyDescent="0.2">
      <c r="A45" s="422" t="s">
        <v>449</v>
      </c>
      <c r="B45" s="422" t="s">
        <v>412</v>
      </c>
      <c r="C45" s="422" t="s">
        <v>420</v>
      </c>
      <c r="D45" s="422" t="s">
        <v>421</v>
      </c>
      <c r="E45" s="422" t="s">
        <v>414</v>
      </c>
      <c r="F45" s="428"/>
      <c r="G45" s="418">
        <v>50</v>
      </c>
      <c r="H45" s="427">
        <v>57</v>
      </c>
      <c r="I45" s="422" t="s">
        <v>450</v>
      </c>
    </row>
    <row r="46" spans="1:9" x14ac:dyDescent="0.2">
      <c r="A46" s="422" t="s">
        <v>452</v>
      </c>
      <c r="B46" s="422" t="s">
        <v>412</v>
      </c>
      <c r="C46" s="422" t="s">
        <v>427</v>
      </c>
      <c r="D46" s="422" t="s">
        <v>423</v>
      </c>
      <c r="E46" s="422" t="s">
        <v>453</v>
      </c>
      <c r="F46" s="428">
        <v>0.73</v>
      </c>
      <c r="G46" s="418">
        <v>64</v>
      </c>
      <c r="H46" s="427">
        <v>75</v>
      </c>
      <c r="I46" s="422" t="s">
        <v>454</v>
      </c>
    </row>
    <row r="47" spans="1:9" x14ac:dyDescent="0.2">
      <c r="A47" s="422" t="s">
        <v>1085</v>
      </c>
      <c r="B47" s="422" t="s">
        <v>412</v>
      </c>
      <c r="C47" s="422" t="s">
        <v>427</v>
      </c>
      <c r="D47" s="422" t="s">
        <v>414</v>
      </c>
      <c r="E47" s="422" t="s">
        <v>429</v>
      </c>
      <c r="F47" s="428">
        <v>0.75</v>
      </c>
      <c r="G47" s="418">
        <v>64</v>
      </c>
      <c r="H47" s="427">
        <v>74</v>
      </c>
      <c r="I47" s="422" t="s">
        <v>451</v>
      </c>
    </row>
    <row r="48" spans="1:9" x14ac:dyDescent="0.2">
      <c r="A48" s="422" t="s">
        <v>1086</v>
      </c>
      <c r="B48" s="422" t="s">
        <v>487</v>
      </c>
      <c r="C48" s="422" t="s">
        <v>887</v>
      </c>
      <c r="D48" s="422" t="s">
        <v>423</v>
      </c>
      <c r="E48" s="422" t="s">
        <v>414</v>
      </c>
      <c r="F48" s="428"/>
      <c r="G48" s="418">
        <v>59</v>
      </c>
      <c r="H48" s="427">
        <v>86</v>
      </c>
      <c r="I48" s="422" t="s">
        <v>1087</v>
      </c>
    </row>
    <row r="49" spans="1:9" x14ac:dyDescent="0.2">
      <c r="A49" s="415" t="s">
        <v>1959</v>
      </c>
      <c r="B49" s="422" t="s">
        <v>412</v>
      </c>
      <c r="C49" s="422" t="s">
        <v>1914</v>
      </c>
      <c r="D49" s="422" t="s">
        <v>414</v>
      </c>
      <c r="E49" s="415" t="s">
        <v>1587</v>
      </c>
      <c r="F49" s="426">
        <v>0.74</v>
      </c>
      <c r="G49" s="418">
        <v>51</v>
      </c>
      <c r="H49" s="427">
        <v>62</v>
      </c>
      <c r="I49" s="415" t="s">
        <v>1960</v>
      </c>
    </row>
    <row r="50" spans="1:9" x14ac:dyDescent="0.2">
      <c r="A50" s="422" t="s">
        <v>455</v>
      </c>
      <c r="B50" s="422" t="s">
        <v>412</v>
      </c>
      <c r="C50" s="422" t="s">
        <v>413</v>
      </c>
      <c r="D50" s="422" t="s">
        <v>421</v>
      </c>
      <c r="E50" s="422" t="s">
        <v>437</v>
      </c>
      <c r="F50" s="428">
        <v>0.75</v>
      </c>
      <c r="G50" s="418">
        <v>65</v>
      </c>
      <c r="H50" s="427">
        <v>70</v>
      </c>
      <c r="I50" s="422" t="s">
        <v>456</v>
      </c>
    </row>
    <row r="51" spans="1:9" x14ac:dyDescent="0.2">
      <c r="A51" s="422" t="s">
        <v>1134</v>
      </c>
      <c r="B51" s="422" t="s">
        <v>412</v>
      </c>
      <c r="C51" s="422" t="s">
        <v>875</v>
      </c>
      <c r="D51" s="422" t="s">
        <v>414</v>
      </c>
      <c r="E51" s="422" t="s">
        <v>414</v>
      </c>
      <c r="F51" s="428">
        <v>0.75</v>
      </c>
      <c r="G51" s="418">
        <v>66</v>
      </c>
      <c r="H51" s="427">
        <v>72</v>
      </c>
      <c r="I51" s="422" t="s">
        <v>1142</v>
      </c>
    </row>
    <row r="52" spans="1:9" x14ac:dyDescent="0.2">
      <c r="A52" s="422" t="s">
        <v>930</v>
      </c>
      <c r="B52" s="422" t="s">
        <v>412</v>
      </c>
      <c r="C52" s="422" t="s">
        <v>875</v>
      </c>
      <c r="D52" s="422" t="s">
        <v>414</v>
      </c>
      <c r="E52" s="422" t="s">
        <v>1133</v>
      </c>
      <c r="F52" s="428">
        <v>0.75</v>
      </c>
      <c r="G52" s="418">
        <v>66</v>
      </c>
      <c r="H52" s="427">
        <v>72</v>
      </c>
      <c r="I52" s="422" t="s">
        <v>1139</v>
      </c>
    </row>
    <row r="53" spans="1:9" x14ac:dyDescent="0.2">
      <c r="A53" s="422" t="s">
        <v>1000</v>
      </c>
      <c r="B53" s="422" t="s">
        <v>412</v>
      </c>
      <c r="C53" s="422" t="s">
        <v>427</v>
      </c>
      <c r="D53" s="422" t="s">
        <v>428</v>
      </c>
      <c r="E53" s="422" t="s">
        <v>440</v>
      </c>
      <c r="F53" s="428">
        <v>0.76</v>
      </c>
      <c r="G53" s="418">
        <v>68</v>
      </c>
      <c r="H53" s="427">
        <v>78</v>
      </c>
      <c r="I53" s="422" t="s">
        <v>459</v>
      </c>
    </row>
    <row r="54" spans="1:9" x14ac:dyDescent="0.2">
      <c r="A54" s="422" t="s">
        <v>457</v>
      </c>
      <c r="B54" s="422" t="s">
        <v>412</v>
      </c>
      <c r="C54" s="422" t="s">
        <v>427</v>
      </c>
      <c r="D54" s="422" t="s">
        <v>414</v>
      </c>
      <c r="E54" s="422" t="s">
        <v>429</v>
      </c>
      <c r="F54" s="428">
        <v>0.75</v>
      </c>
      <c r="G54" s="418">
        <v>65</v>
      </c>
      <c r="H54" s="427">
        <v>75</v>
      </c>
      <c r="I54" s="422" t="s">
        <v>458</v>
      </c>
    </row>
    <row r="55" spans="1:9" x14ac:dyDescent="0.2">
      <c r="A55" s="415" t="s">
        <v>1948</v>
      </c>
      <c r="B55" s="422" t="s">
        <v>412</v>
      </c>
      <c r="C55" s="422" t="s">
        <v>1914</v>
      </c>
      <c r="D55" s="422" t="s">
        <v>421</v>
      </c>
      <c r="E55" s="415" t="s">
        <v>1949</v>
      </c>
      <c r="F55" s="426">
        <v>0.78500000000000003</v>
      </c>
      <c r="G55" s="418">
        <v>65</v>
      </c>
      <c r="H55" s="427">
        <v>78</v>
      </c>
      <c r="I55" s="415" t="s">
        <v>1950</v>
      </c>
    </row>
    <row r="56" spans="1:9" x14ac:dyDescent="0.2">
      <c r="A56" s="415" t="s">
        <v>1951</v>
      </c>
      <c r="B56" s="422" t="s">
        <v>412</v>
      </c>
      <c r="C56" s="422" t="s">
        <v>1914</v>
      </c>
      <c r="D56" s="422" t="s">
        <v>414</v>
      </c>
      <c r="E56" s="415" t="s">
        <v>1171</v>
      </c>
      <c r="F56" s="426">
        <v>0.76</v>
      </c>
      <c r="G56" s="418">
        <v>64</v>
      </c>
      <c r="H56" s="427">
        <v>78</v>
      </c>
      <c r="I56" s="415" t="s">
        <v>1952</v>
      </c>
    </row>
    <row r="57" spans="1:9" x14ac:dyDescent="0.2">
      <c r="A57" s="422" t="s">
        <v>460</v>
      </c>
      <c r="B57" s="422" t="s">
        <v>412</v>
      </c>
      <c r="C57" s="422" t="s">
        <v>413</v>
      </c>
      <c r="D57" s="422" t="s">
        <v>414</v>
      </c>
      <c r="E57" s="422" t="s">
        <v>461</v>
      </c>
      <c r="F57" s="428">
        <v>0.81499999999999995</v>
      </c>
      <c r="G57" s="418">
        <v>68</v>
      </c>
      <c r="H57" s="427">
        <v>78</v>
      </c>
      <c r="I57" s="422" t="s">
        <v>462</v>
      </c>
    </row>
    <row r="58" spans="1:9" x14ac:dyDescent="0.2">
      <c r="A58" s="422" t="s">
        <v>931</v>
      </c>
      <c r="B58" s="422" t="s">
        <v>487</v>
      </c>
      <c r="C58" s="422" t="s">
        <v>887</v>
      </c>
      <c r="D58" s="422" t="s">
        <v>414</v>
      </c>
      <c r="E58" s="422" t="s">
        <v>421</v>
      </c>
      <c r="F58" s="428"/>
      <c r="G58" s="418">
        <v>79</v>
      </c>
      <c r="H58" s="427">
        <v>90</v>
      </c>
      <c r="I58" s="422" t="s">
        <v>932</v>
      </c>
    </row>
    <row r="59" spans="1:9" x14ac:dyDescent="0.2">
      <c r="A59" s="422" t="s">
        <v>463</v>
      </c>
      <c r="B59" s="422" t="s">
        <v>412</v>
      </c>
      <c r="C59" s="422" t="s">
        <v>427</v>
      </c>
      <c r="D59" s="422" t="s">
        <v>421</v>
      </c>
      <c r="E59" s="422" t="s">
        <v>434</v>
      </c>
      <c r="F59" s="428">
        <v>0.74</v>
      </c>
      <c r="G59" s="418">
        <v>65</v>
      </c>
      <c r="H59" s="427">
        <v>85</v>
      </c>
      <c r="I59" s="422" t="s">
        <v>464</v>
      </c>
    </row>
    <row r="60" spans="1:9" x14ac:dyDescent="0.2">
      <c r="A60" s="422" t="s">
        <v>933</v>
      </c>
      <c r="B60" s="422" t="s">
        <v>412</v>
      </c>
      <c r="C60" s="422" t="s">
        <v>427</v>
      </c>
      <c r="D60" s="422" t="s">
        <v>414</v>
      </c>
      <c r="E60" s="422" t="s">
        <v>1150</v>
      </c>
      <c r="F60" s="428">
        <v>0.76500000000000001</v>
      </c>
      <c r="G60" s="418">
        <v>65</v>
      </c>
      <c r="H60" s="427">
        <v>80</v>
      </c>
      <c r="I60" s="422" t="s">
        <v>1151</v>
      </c>
    </row>
    <row r="61" spans="1:9" x14ac:dyDescent="0.2">
      <c r="A61" s="422" t="s">
        <v>465</v>
      </c>
      <c r="B61" s="422" t="s">
        <v>412</v>
      </c>
      <c r="C61" s="422" t="s">
        <v>413</v>
      </c>
      <c r="D61" s="422" t="s">
        <v>423</v>
      </c>
      <c r="E61" s="422" t="s">
        <v>466</v>
      </c>
      <c r="F61" s="428">
        <v>0.755</v>
      </c>
      <c r="G61" s="418">
        <v>68</v>
      </c>
      <c r="H61" s="427">
        <v>75</v>
      </c>
      <c r="I61" s="422" t="s">
        <v>467</v>
      </c>
    </row>
    <row r="62" spans="1:9" x14ac:dyDescent="0.2">
      <c r="A62" s="422" t="s">
        <v>897</v>
      </c>
      <c r="B62" s="422" t="s">
        <v>412</v>
      </c>
      <c r="C62" s="422" t="s">
        <v>413</v>
      </c>
      <c r="D62" s="422" t="s">
        <v>414</v>
      </c>
      <c r="E62" s="422" t="s">
        <v>414</v>
      </c>
      <c r="F62" s="428">
        <v>0.75</v>
      </c>
      <c r="G62" s="418">
        <v>50</v>
      </c>
      <c r="H62" s="427">
        <v>55</v>
      </c>
      <c r="I62" s="422" t="s">
        <v>898</v>
      </c>
    </row>
    <row r="63" spans="1:9" x14ac:dyDescent="0.2">
      <c r="A63" s="422" t="s">
        <v>959</v>
      </c>
      <c r="B63" s="422" t="s">
        <v>412</v>
      </c>
      <c r="C63" s="422" t="s">
        <v>427</v>
      </c>
      <c r="D63" s="422" t="s">
        <v>428</v>
      </c>
      <c r="E63" s="422" t="s">
        <v>472</v>
      </c>
      <c r="F63" s="428">
        <v>0.7</v>
      </c>
      <c r="G63" s="418">
        <v>63</v>
      </c>
      <c r="H63" s="427">
        <v>75</v>
      </c>
      <c r="I63" s="422" t="s">
        <v>960</v>
      </c>
    </row>
    <row r="64" spans="1:9" x14ac:dyDescent="0.2">
      <c r="A64" s="422" t="s">
        <v>468</v>
      </c>
      <c r="B64" s="422" t="s">
        <v>412</v>
      </c>
      <c r="C64" s="422" t="s">
        <v>427</v>
      </c>
      <c r="D64" s="422" t="s">
        <v>423</v>
      </c>
      <c r="E64" s="422" t="s">
        <v>469</v>
      </c>
      <c r="F64" s="428">
        <v>0.78</v>
      </c>
      <c r="G64" s="418">
        <v>70</v>
      </c>
      <c r="H64" s="427">
        <v>95</v>
      </c>
      <c r="I64" s="422" t="s">
        <v>470</v>
      </c>
    </row>
    <row r="65" spans="1:9" x14ac:dyDescent="0.2">
      <c r="A65" s="422" t="s">
        <v>471</v>
      </c>
      <c r="B65" s="422" t="s">
        <v>412</v>
      </c>
      <c r="C65" s="422" t="s">
        <v>413</v>
      </c>
      <c r="D65" s="422" t="s">
        <v>414</v>
      </c>
      <c r="E65" s="422" t="s">
        <v>472</v>
      </c>
      <c r="F65" s="428">
        <v>0.7</v>
      </c>
      <c r="G65" s="418">
        <v>68</v>
      </c>
      <c r="H65" s="427">
        <v>75</v>
      </c>
      <c r="I65" s="422" t="s">
        <v>473</v>
      </c>
    </row>
    <row r="66" spans="1:9" x14ac:dyDescent="0.2">
      <c r="A66" s="415" t="s">
        <v>1955</v>
      </c>
      <c r="B66" s="422" t="s">
        <v>412</v>
      </c>
      <c r="C66" s="422" t="s">
        <v>1914</v>
      </c>
      <c r="D66" s="422" t="s">
        <v>414</v>
      </c>
      <c r="E66" s="415" t="s">
        <v>1150</v>
      </c>
      <c r="F66" s="426">
        <v>0.76500000000000001</v>
      </c>
      <c r="G66" s="418">
        <v>70</v>
      </c>
      <c r="H66" s="427">
        <v>84</v>
      </c>
      <c r="I66" s="415" t="s">
        <v>1954</v>
      </c>
    </row>
    <row r="67" spans="1:9" x14ac:dyDescent="0.2">
      <c r="A67" s="422" t="s">
        <v>934</v>
      </c>
      <c r="B67" s="422" t="s">
        <v>412</v>
      </c>
      <c r="C67" s="422" t="s">
        <v>413</v>
      </c>
      <c r="D67" s="422" t="s">
        <v>414</v>
      </c>
      <c r="E67" s="422" t="s">
        <v>421</v>
      </c>
      <c r="F67" s="428">
        <v>0.81499999999999995</v>
      </c>
      <c r="G67" s="418">
        <v>68</v>
      </c>
      <c r="H67" s="427">
        <v>78</v>
      </c>
      <c r="I67" s="422" t="s">
        <v>935</v>
      </c>
    </row>
    <row r="68" spans="1:9" x14ac:dyDescent="0.2">
      <c r="A68" s="422" t="s">
        <v>936</v>
      </c>
      <c r="B68" s="422" t="s">
        <v>412</v>
      </c>
      <c r="C68" s="422" t="s">
        <v>413</v>
      </c>
      <c r="D68" s="422" t="s">
        <v>428</v>
      </c>
      <c r="E68" s="422" t="s">
        <v>414</v>
      </c>
      <c r="F68" s="428"/>
      <c r="G68" s="418">
        <v>68</v>
      </c>
      <c r="H68" s="427">
        <v>75</v>
      </c>
      <c r="I68" s="422" t="s">
        <v>937</v>
      </c>
    </row>
    <row r="69" spans="1:9" x14ac:dyDescent="0.2">
      <c r="A69" s="422" t="s">
        <v>938</v>
      </c>
      <c r="B69" s="422" t="s">
        <v>412</v>
      </c>
      <c r="C69" s="422" t="s">
        <v>427</v>
      </c>
      <c r="D69" s="422" t="s">
        <v>414</v>
      </c>
      <c r="E69" s="428" t="s">
        <v>429</v>
      </c>
      <c r="F69" s="428">
        <v>0.75</v>
      </c>
      <c r="G69" s="418">
        <v>62</v>
      </c>
      <c r="H69" s="427">
        <v>74</v>
      </c>
      <c r="I69" s="422" t="s">
        <v>1152</v>
      </c>
    </row>
    <row r="70" spans="1:9" x14ac:dyDescent="0.2">
      <c r="A70" s="422" t="s">
        <v>961</v>
      </c>
      <c r="B70" s="422" t="s">
        <v>412</v>
      </c>
      <c r="C70" s="422" t="s">
        <v>413</v>
      </c>
      <c r="D70" s="422" t="s">
        <v>428</v>
      </c>
      <c r="E70" s="422" t="s">
        <v>507</v>
      </c>
      <c r="F70" s="428">
        <v>0.75</v>
      </c>
      <c r="G70" s="418">
        <v>80</v>
      </c>
      <c r="H70" s="427">
        <v>85</v>
      </c>
      <c r="I70" s="422" t="s">
        <v>962</v>
      </c>
    </row>
    <row r="71" spans="1:9" x14ac:dyDescent="0.2">
      <c r="A71" s="422" t="s">
        <v>939</v>
      </c>
      <c r="B71" s="422" t="s">
        <v>412</v>
      </c>
      <c r="C71" s="422" t="s">
        <v>427</v>
      </c>
      <c r="D71" s="422" t="s">
        <v>414</v>
      </c>
      <c r="E71" s="422" t="s">
        <v>1153</v>
      </c>
      <c r="F71" s="428">
        <v>0.77500000000000002</v>
      </c>
      <c r="G71" s="418">
        <v>65</v>
      </c>
      <c r="H71" s="427">
        <v>75</v>
      </c>
      <c r="I71" s="422" t="s">
        <v>1154</v>
      </c>
    </row>
    <row r="72" spans="1:9" x14ac:dyDescent="0.2">
      <c r="A72" s="422" t="s">
        <v>474</v>
      </c>
      <c r="B72" s="422" t="s">
        <v>412</v>
      </c>
      <c r="C72" s="422" t="s">
        <v>427</v>
      </c>
      <c r="D72" s="422" t="s">
        <v>423</v>
      </c>
      <c r="E72" s="422" t="s">
        <v>440</v>
      </c>
      <c r="F72" s="428">
        <v>0.76</v>
      </c>
      <c r="G72" s="418">
        <v>64</v>
      </c>
      <c r="H72" s="427">
        <v>80</v>
      </c>
      <c r="I72" s="422" t="s">
        <v>475</v>
      </c>
    </row>
    <row r="73" spans="1:9" x14ac:dyDescent="0.2">
      <c r="A73" s="422" t="s">
        <v>1001</v>
      </c>
      <c r="B73" s="422" t="s">
        <v>412</v>
      </c>
      <c r="C73" s="422" t="s">
        <v>413</v>
      </c>
      <c r="D73" s="422" t="s">
        <v>414</v>
      </c>
      <c r="E73" s="422" t="s">
        <v>421</v>
      </c>
      <c r="F73" s="428">
        <v>0.81499999999999995</v>
      </c>
      <c r="G73" s="418">
        <v>66</v>
      </c>
      <c r="H73" s="427">
        <v>72</v>
      </c>
      <c r="I73" s="422" t="s">
        <v>1002</v>
      </c>
    </row>
    <row r="74" spans="1:9" x14ac:dyDescent="0.2">
      <c r="A74" s="422" t="s">
        <v>476</v>
      </c>
      <c r="B74" s="422" t="s">
        <v>412</v>
      </c>
      <c r="C74" s="422" t="s">
        <v>413</v>
      </c>
      <c r="D74" s="422" t="s">
        <v>414</v>
      </c>
      <c r="E74" s="422" t="s">
        <v>445</v>
      </c>
      <c r="F74" s="428">
        <v>0.77</v>
      </c>
      <c r="G74" s="418">
        <v>68</v>
      </c>
      <c r="H74" s="427">
        <v>75</v>
      </c>
      <c r="I74" s="422" t="s">
        <v>477</v>
      </c>
    </row>
    <row r="75" spans="1:9" x14ac:dyDescent="0.2">
      <c r="A75" s="422" t="s">
        <v>940</v>
      </c>
      <c r="B75" s="422" t="s">
        <v>412</v>
      </c>
      <c r="C75" s="422" t="s">
        <v>413</v>
      </c>
      <c r="D75" s="422" t="s">
        <v>414</v>
      </c>
      <c r="E75" s="422" t="s">
        <v>507</v>
      </c>
      <c r="F75" s="428">
        <v>0.75</v>
      </c>
      <c r="G75" s="418">
        <v>70</v>
      </c>
      <c r="H75" s="427">
        <v>80</v>
      </c>
      <c r="I75" s="422" t="s">
        <v>941</v>
      </c>
    </row>
    <row r="76" spans="1:9" x14ac:dyDescent="0.2">
      <c r="A76" s="422" t="s">
        <v>478</v>
      </c>
      <c r="B76" s="422" t="s">
        <v>412</v>
      </c>
      <c r="C76" s="422" t="s">
        <v>427</v>
      </c>
      <c r="D76" s="422" t="s">
        <v>414</v>
      </c>
      <c r="E76" s="422" t="s">
        <v>434</v>
      </c>
      <c r="F76" s="428">
        <v>0.74</v>
      </c>
      <c r="G76" s="418">
        <v>64</v>
      </c>
      <c r="H76" s="427">
        <v>74</v>
      </c>
      <c r="I76" s="422" t="s">
        <v>479</v>
      </c>
    </row>
    <row r="77" spans="1:9" x14ac:dyDescent="0.2">
      <c r="A77" s="422" t="s">
        <v>942</v>
      </c>
      <c r="B77" s="422" t="s">
        <v>412</v>
      </c>
      <c r="C77" s="422" t="s">
        <v>875</v>
      </c>
      <c r="D77" s="422" t="s">
        <v>423</v>
      </c>
      <c r="E77" s="422" t="s">
        <v>414</v>
      </c>
      <c r="F77" s="428">
        <v>0.76</v>
      </c>
      <c r="G77" s="418">
        <v>72</v>
      </c>
      <c r="H77" s="427">
        <v>75</v>
      </c>
      <c r="I77" s="422" t="s">
        <v>1141</v>
      </c>
    </row>
    <row r="78" spans="1:9" x14ac:dyDescent="0.2">
      <c r="A78" s="422" t="s">
        <v>480</v>
      </c>
      <c r="B78" s="422" t="s">
        <v>412</v>
      </c>
      <c r="C78" s="422" t="s">
        <v>413</v>
      </c>
      <c r="D78" s="422" t="s">
        <v>428</v>
      </c>
      <c r="E78" s="422" t="s">
        <v>440</v>
      </c>
      <c r="F78" s="428">
        <v>0.76</v>
      </c>
      <c r="G78" s="418">
        <v>67</v>
      </c>
      <c r="H78" s="427">
        <v>74</v>
      </c>
      <c r="I78" s="422" t="s">
        <v>481</v>
      </c>
    </row>
    <row r="79" spans="1:9" x14ac:dyDescent="0.2">
      <c r="A79" s="422" t="s">
        <v>482</v>
      </c>
      <c r="B79" s="422" t="s">
        <v>412</v>
      </c>
      <c r="C79" s="422" t="s">
        <v>413</v>
      </c>
      <c r="D79" s="422" t="s">
        <v>428</v>
      </c>
      <c r="E79" s="422" t="s">
        <v>424</v>
      </c>
      <c r="F79" s="428">
        <v>0.72499999999999998</v>
      </c>
      <c r="G79" s="418">
        <v>67</v>
      </c>
      <c r="H79" s="427">
        <v>74</v>
      </c>
      <c r="I79" s="422" t="s">
        <v>483</v>
      </c>
    </row>
    <row r="80" spans="1:9" x14ac:dyDescent="0.2">
      <c r="A80" s="422" t="s">
        <v>484</v>
      </c>
      <c r="B80" s="422" t="s">
        <v>412</v>
      </c>
      <c r="C80" s="422" t="s">
        <v>427</v>
      </c>
      <c r="D80" s="422" t="s">
        <v>414</v>
      </c>
      <c r="E80" s="422" t="s">
        <v>434</v>
      </c>
      <c r="F80" s="428">
        <v>0.74</v>
      </c>
      <c r="G80" s="418">
        <v>60</v>
      </c>
      <c r="H80" s="427">
        <v>75</v>
      </c>
      <c r="I80" s="422" t="s">
        <v>485</v>
      </c>
    </row>
    <row r="81" spans="1:9" x14ac:dyDescent="0.2">
      <c r="A81" s="422" t="s">
        <v>943</v>
      </c>
      <c r="B81" s="422" t="s">
        <v>487</v>
      </c>
      <c r="C81" s="422" t="s">
        <v>860</v>
      </c>
      <c r="D81" s="422" t="s">
        <v>423</v>
      </c>
      <c r="E81" s="422" t="s">
        <v>421</v>
      </c>
      <c r="F81" s="428">
        <v>0.8</v>
      </c>
      <c r="G81" s="418">
        <v>59</v>
      </c>
      <c r="H81" s="427">
        <v>95</v>
      </c>
      <c r="I81" s="422" t="s">
        <v>944</v>
      </c>
    </row>
    <row r="82" spans="1:9" x14ac:dyDescent="0.2">
      <c r="A82" s="422" t="s">
        <v>963</v>
      </c>
      <c r="B82" s="422" t="s">
        <v>412</v>
      </c>
      <c r="C82" s="422" t="s">
        <v>875</v>
      </c>
      <c r="D82" s="422"/>
      <c r="E82" s="422" t="s">
        <v>125</v>
      </c>
      <c r="F82" s="428"/>
      <c r="G82" s="418">
        <v>70</v>
      </c>
      <c r="H82" s="427">
        <v>74</v>
      </c>
      <c r="I82" s="422" t="s">
        <v>964</v>
      </c>
    </row>
    <row r="83" spans="1:9" x14ac:dyDescent="0.2">
      <c r="A83" s="422" t="s">
        <v>1155</v>
      </c>
      <c r="B83" s="422" t="s">
        <v>412</v>
      </c>
      <c r="C83" s="422" t="s">
        <v>427</v>
      </c>
      <c r="D83" s="422" t="s">
        <v>423</v>
      </c>
      <c r="E83" s="422" t="s">
        <v>1156</v>
      </c>
      <c r="F83" s="428">
        <v>0.75</v>
      </c>
      <c r="G83" s="418">
        <v>68</v>
      </c>
      <c r="H83" s="427">
        <v>72</v>
      </c>
      <c r="I83" s="422" t="s">
        <v>1157</v>
      </c>
    </row>
    <row r="84" spans="1:9" x14ac:dyDescent="0.2">
      <c r="A84" s="422" t="s">
        <v>965</v>
      </c>
      <c r="B84" s="422" t="s">
        <v>412</v>
      </c>
      <c r="C84" s="422" t="s">
        <v>413</v>
      </c>
      <c r="D84" s="422" t="s">
        <v>414</v>
      </c>
      <c r="E84" s="422" t="s">
        <v>966</v>
      </c>
      <c r="F84" s="428">
        <v>0.71499999999999997</v>
      </c>
      <c r="G84" s="418">
        <v>68</v>
      </c>
      <c r="H84" s="427">
        <v>72</v>
      </c>
      <c r="I84" s="422" t="s">
        <v>967</v>
      </c>
    </row>
    <row r="85" spans="1:9" x14ac:dyDescent="0.2">
      <c r="A85" s="422" t="s">
        <v>1158</v>
      </c>
      <c r="B85" s="422" t="s">
        <v>412</v>
      </c>
      <c r="C85" s="422" t="s">
        <v>427</v>
      </c>
      <c r="D85" s="422" t="s">
        <v>423</v>
      </c>
      <c r="E85" s="422" t="s">
        <v>1150</v>
      </c>
      <c r="F85" s="428">
        <v>0.76500000000000001</v>
      </c>
      <c r="G85" s="418">
        <v>70</v>
      </c>
      <c r="H85" s="427">
        <v>84</v>
      </c>
      <c r="I85" s="422" t="s">
        <v>1159</v>
      </c>
    </row>
    <row r="86" spans="1:9" x14ac:dyDescent="0.2">
      <c r="A86" s="422" t="s">
        <v>1005</v>
      </c>
      <c r="B86" s="422" t="s">
        <v>412</v>
      </c>
      <c r="C86" s="422" t="s">
        <v>427</v>
      </c>
      <c r="D86" s="422" t="s">
        <v>414</v>
      </c>
      <c r="E86" s="422" t="s">
        <v>429</v>
      </c>
      <c r="F86" s="428">
        <v>0.75</v>
      </c>
      <c r="G86" s="418">
        <v>45</v>
      </c>
      <c r="H86" s="427">
        <v>68</v>
      </c>
      <c r="I86" s="422" t="s">
        <v>1006</v>
      </c>
    </row>
    <row r="87" spans="1:9" x14ac:dyDescent="0.2">
      <c r="A87" s="422" t="s">
        <v>1055</v>
      </c>
      <c r="B87" s="422" t="s">
        <v>487</v>
      </c>
      <c r="C87" s="422" t="s">
        <v>887</v>
      </c>
      <c r="D87" s="422" t="s">
        <v>421</v>
      </c>
      <c r="E87" s="422" t="s">
        <v>421</v>
      </c>
      <c r="F87" s="428"/>
      <c r="G87" s="418">
        <v>50</v>
      </c>
      <c r="H87" s="427">
        <v>59</v>
      </c>
      <c r="I87" s="422" t="s">
        <v>1056</v>
      </c>
    </row>
    <row r="88" spans="1:9" x14ac:dyDescent="0.2">
      <c r="A88" s="422" t="s">
        <v>916</v>
      </c>
      <c r="B88" s="422" t="s">
        <v>412</v>
      </c>
      <c r="C88" s="422" t="s">
        <v>413</v>
      </c>
      <c r="D88" s="422" t="s">
        <v>414</v>
      </c>
      <c r="E88" s="422" t="s">
        <v>415</v>
      </c>
      <c r="F88" s="428">
        <v>0.77500000000000002</v>
      </c>
      <c r="G88" s="418">
        <v>72</v>
      </c>
      <c r="H88" s="427">
        <v>77</v>
      </c>
      <c r="I88" s="422" t="s">
        <v>917</v>
      </c>
    </row>
    <row r="89" spans="1:9" x14ac:dyDescent="0.2">
      <c r="A89" s="422" t="s">
        <v>968</v>
      </c>
      <c r="B89" s="422" t="s">
        <v>412</v>
      </c>
      <c r="C89" s="422" t="s">
        <v>875</v>
      </c>
      <c r="D89" s="422"/>
      <c r="E89" s="422" t="s">
        <v>125</v>
      </c>
      <c r="F89" s="428"/>
      <c r="G89" s="418" t="s">
        <v>125</v>
      </c>
      <c r="H89" s="427"/>
      <c r="I89" s="422" t="s">
        <v>969</v>
      </c>
    </row>
    <row r="90" spans="1:9" x14ac:dyDescent="0.2">
      <c r="A90" s="415" t="s">
        <v>1965</v>
      </c>
      <c r="B90" s="422" t="s">
        <v>412</v>
      </c>
      <c r="C90" s="422" t="s">
        <v>1914</v>
      </c>
      <c r="D90" s="415" t="s">
        <v>1088</v>
      </c>
      <c r="E90" s="415" t="s">
        <v>1963</v>
      </c>
      <c r="F90" s="426">
        <v>0.83</v>
      </c>
      <c r="G90" s="418">
        <v>68</v>
      </c>
      <c r="H90" s="427">
        <v>80</v>
      </c>
      <c r="I90" s="415" t="s">
        <v>1964</v>
      </c>
    </row>
    <row r="91" spans="1:9" x14ac:dyDescent="0.2">
      <c r="A91" s="415" t="s">
        <v>1966</v>
      </c>
      <c r="B91" s="415" t="s">
        <v>412</v>
      </c>
      <c r="C91" s="422" t="s">
        <v>1914</v>
      </c>
      <c r="D91" s="415" t="s">
        <v>1088</v>
      </c>
      <c r="E91" s="415" t="s">
        <v>1933</v>
      </c>
      <c r="F91" s="426">
        <v>0.92500000000000004</v>
      </c>
      <c r="G91" s="418">
        <v>68</v>
      </c>
      <c r="H91" s="427">
        <v>80</v>
      </c>
      <c r="I91" s="415" t="s">
        <v>1967</v>
      </c>
    </row>
    <row r="92" spans="1:9" x14ac:dyDescent="0.2">
      <c r="A92" s="415" t="s">
        <v>1968</v>
      </c>
      <c r="B92" s="422" t="s">
        <v>412</v>
      </c>
      <c r="C92" s="422" t="s">
        <v>1914</v>
      </c>
      <c r="D92" s="415" t="s">
        <v>1088</v>
      </c>
      <c r="E92" s="415" t="s">
        <v>1933</v>
      </c>
      <c r="F92" s="426">
        <v>0.92500000000000004</v>
      </c>
      <c r="G92" s="418">
        <v>68</v>
      </c>
      <c r="H92" s="427">
        <v>80</v>
      </c>
      <c r="I92" s="415" t="s">
        <v>1969</v>
      </c>
    </row>
    <row r="93" spans="1:9" x14ac:dyDescent="0.2">
      <c r="A93" s="422" t="s">
        <v>970</v>
      </c>
      <c r="B93" s="422" t="s">
        <v>412</v>
      </c>
      <c r="C93" s="422" t="s">
        <v>875</v>
      </c>
      <c r="D93" s="422"/>
      <c r="E93" s="422" t="s">
        <v>125</v>
      </c>
      <c r="F93" s="428"/>
      <c r="G93" s="418" t="s">
        <v>125</v>
      </c>
      <c r="H93" s="427"/>
      <c r="I93" s="422" t="s">
        <v>971</v>
      </c>
    </row>
    <row r="94" spans="1:9" x14ac:dyDescent="0.2">
      <c r="A94" s="422" t="s">
        <v>972</v>
      </c>
      <c r="B94" s="422" t="s">
        <v>412</v>
      </c>
      <c r="C94" s="422" t="s">
        <v>875</v>
      </c>
      <c r="D94" s="422"/>
      <c r="E94" s="422" t="s">
        <v>125</v>
      </c>
      <c r="F94" s="428"/>
      <c r="G94" s="418">
        <v>60</v>
      </c>
      <c r="H94" s="427">
        <v>74</v>
      </c>
      <c r="I94" s="422" t="s">
        <v>973</v>
      </c>
    </row>
    <row r="95" spans="1:9" x14ac:dyDescent="0.2">
      <c r="A95" s="422" t="s">
        <v>974</v>
      </c>
      <c r="B95" s="422" t="s">
        <v>412</v>
      </c>
      <c r="C95" s="422" t="s">
        <v>875</v>
      </c>
      <c r="D95" s="422"/>
      <c r="E95" s="422" t="s">
        <v>125</v>
      </c>
      <c r="F95" s="428"/>
      <c r="G95" s="418" t="s">
        <v>125</v>
      </c>
      <c r="H95" s="427"/>
      <c r="I95" s="422" t="s">
        <v>975</v>
      </c>
    </row>
    <row r="96" spans="1:9" x14ac:dyDescent="0.2">
      <c r="A96" s="422" t="s">
        <v>976</v>
      </c>
      <c r="B96" s="422" t="s">
        <v>412</v>
      </c>
      <c r="C96" s="422" t="s">
        <v>427</v>
      </c>
      <c r="D96" s="422" t="s">
        <v>414</v>
      </c>
      <c r="E96" s="422" t="s">
        <v>421</v>
      </c>
      <c r="F96" s="428"/>
      <c r="G96" s="418">
        <v>60</v>
      </c>
      <c r="H96" s="427">
        <v>75</v>
      </c>
      <c r="I96" s="422" t="s">
        <v>977</v>
      </c>
    </row>
    <row r="97" spans="1:9" x14ac:dyDescent="0.2">
      <c r="A97" s="422" t="s">
        <v>978</v>
      </c>
      <c r="B97" s="422" t="s">
        <v>412</v>
      </c>
      <c r="C97" s="422" t="s">
        <v>427</v>
      </c>
      <c r="D97" s="422" t="s">
        <v>414</v>
      </c>
      <c r="E97" s="422" t="s">
        <v>421</v>
      </c>
      <c r="F97" s="428"/>
      <c r="G97" s="418">
        <v>60</v>
      </c>
      <c r="H97" s="427">
        <v>75</v>
      </c>
      <c r="I97" s="422" t="s">
        <v>979</v>
      </c>
    </row>
    <row r="98" spans="1:9" x14ac:dyDescent="0.2">
      <c r="A98" s="422" t="s">
        <v>2082</v>
      </c>
      <c r="B98" s="422" t="s">
        <v>412</v>
      </c>
      <c r="C98" s="422" t="s">
        <v>413</v>
      </c>
      <c r="D98" s="422" t="s">
        <v>423</v>
      </c>
      <c r="E98" s="422" t="s">
        <v>1153</v>
      </c>
      <c r="F98" s="428">
        <v>0.77500000000000002</v>
      </c>
      <c r="G98" s="418">
        <v>70</v>
      </c>
      <c r="H98" s="427">
        <v>85</v>
      </c>
      <c r="I98" s="422" t="s">
        <v>2083</v>
      </c>
    </row>
    <row r="99" spans="1:9" x14ac:dyDescent="0.2">
      <c r="A99" s="422" t="s">
        <v>980</v>
      </c>
      <c r="B99" s="422" t="s">
        <v>412</v>
      </c>
      <c r="C99" s="422" t="s">
        <v>413</v>
      </c>
      <c r="D99" s="422" t="s">
        <v>423</v>
      </c>
      <c r="E99" s="425">
        <v>0.85</v>
      </c>
      <c r="F99" s="428">
        <v>0.85</v>
      </c>
      <c r="G99" s="418">
        <v>70</v>
      </c>
      <c r="H99" s="427">
        <v>85</v>
      </c>
      <c r="I99" s="422" t="s">
        <v>945</v>
      </c>
    </row>
    <row r="100" spans="1:9" x14ac:dyDescent="0.2">
      <c r="A100" s="422" t="s">
        <v>2086</v>
      </c>
      <c r="B100" s="422" t="s">
        <v>412</v>
      </c>
      <c r="C100" s="422" t="s">
        <v>413</v>
      </c>
      <c r="D100" s="422" t="s">
        <v>423</v>
      </c>
      <c r="E100" s="425">
        <v>0.85</v>
      </c>
      <c r="F100" s="428">
        <v>0.85</v>
      </c>
      <c r="G100" s="418">
        <v>70</v>
      </c>
      <c r="H100" s="427">
        <v>85</v>
      </c>
      <c r="I100" s="422" t="s">
        <v>2087</v>
      </c>
    </row>
    <row r="101" spans="1:9" x14ac:dyDescent="0.2">
      <c r="A101" s="422" t="s">
        <v>981</v>
      </c>
      <c r="B101" s="422" t="s">
        <v>412</v>
      </c>
      <c r="C101" s="422" t="s">
        <v>413</v>
      </c>
      <c r="D101" s="422" t="s">
        <v>423</v>
      </c>
      <c r="E101" s="422" t="s">
        <v>982</v>
      </c>
      <c r="F101" s="428">
        <v>0.77500000000000002</v>
      </c>
      <c r="G101" s="418">
        <v>85</v>
      </c>
      <c r="H101" s="427">
        <v>85</v>
      </c>
      <c r="I101" s="422" t="s">
        <v>983</v>
      </c>
    </row>
    <row r="102" spans="1:9" x14ac:dyDescent="0.2">
      <c r="A102" s="422" t="s">
        <v>984</v>
      </c>
      <c r="B102" s="422" t="s">
        <v>412</v>
      </c>
      <c r="C102" s="422" t="s">
        <v>413</v>
      </c>
      <c r="D102" s="422" t="s">
        <v>423</v>
      </c>
      <c r="E102" s="422" t="s">
        <v>982</v>
      </c>
      <c r="F102" s="428">
        <v>0.77500000000000002</v>
      </c>
      <c r="G102" s="418">
        <v>85</v>
      </c>
      <c r="H102" s="427">
        <v>85</v>
      </c>
      <c r="I102" s="422" t="s">
        <v>985</v>
      </c>
    </row>
    <row r="103" spans="1:9" x14ac:dyDescent="0.2">
      <c r="A103" s="422" t="s">
        <v>986</v>
      </c>
      <c r="B103" s="422" t="s">
        <v>412</v>
      </c>
      <c r="C103" s="422" t="s">
        <v>413</v>
      </c>
      <c r="D103" s="422" t="s">
        <v>423</v>
      </c>
      <c r="E103" s="422" t="s">
        <v>982</v>
      </c>
      <c r="F103" s="428">
        <v>0.77500000000000002</v>
      </c>
      <c r="G103" s="418">
        <v>85</v>
      </c>
      <c r="H103" s="427">
        <v>85</v>
      </c>
      <c r="I103" s="422" t="s">
        <v>987</v>
      </c>
    </row>
    <row r="104" spans="1:9" x14ac:dyDescent="0.2">
      <c r="A104" s="422" t="s">
        <v>486</v>
      </c>
      <c r="B104" s="422" t="s">
        <v>487</v>
      </c>
      <c r="C104" s="422" t="s">
        <v>488</v>
      </c>
      <c r="D104" s="422" t="s">
        <v>423</v>
      </c>
      <c r="E104" s="422" t="s">
        <v>421</v>
      </c>
      <c r="F104" s="428"/>
      <c r="G104" s="418">
        <v>64</v>
      </c>
      <c r="H104" s="427">
        <v>73</v>
      </c>
      <c r="I104" s="422" t="s">
        <v>489</v>
      </c>
    </row>
    <row r="105" spans="1:9" x14ac:dyDescent="0.2">
      <c r="A105" s="422" t="s">
        <v>490</v>
      </c>
      <c r="B105" s="422" t="s">
        <v>487</v>
      </c>
      <c r="C105" s="422" t="s">
        <v>488</v>
      </c>
      <c r="D105" s="422" t="s">
        <v>421</v>
      </c>
      <c r="E105" s="422" t="s">
        <v>421</v>
      </c>
      <c r="F105" s="428"/>
      <c r="G105" s="418">
        <v>50</v>
      </c>
      <c r="H105" s="427">
        <v>59</v>
      </c>
      <c r="I105" s="422" t="s">
        <v>491</v>
      </c>
    </row>
    <row r="106" spans="1:9" x14ac:dyDescent="0.2">
      <c r="A106" s="422" t="s">
        <v>861</v>
      </c>
      <c r="B106" s="422" t="s">
        <v>487</v>
      </c>
      <c r="C106" s="422" t="s">
        <v>488</v>
      </c>
      <c r="D106" s="422" t="s">
        <v>417</v>
      </c>
      <c r="E106" s="422" t="s">
        <v>125</v>
      </c>
      <c r="F106" s="428"/>
      <c r="G106" s="418">
        <v>64</v>
      </c>
      <c r="H106" s="427">
        <v>77</v>
      </c>
      <c r="I106" s="422" t="s">
        <v>862</v>
      </c>
    </row>
    <row r="107" spans="1:9" x14ac:dyDescent="0.2">
      <c r="A107" s="422" t="s">
        <v>492</v>
      </c>
      <c r="B107" s="422" t="s">
        <v>412</v>
      </c>
      <c r="C107" s="422" t="s">
        <v>427</v>
      </c>
      <c r="D107" s="422" t="s">
        <v>414</v>
      </c>
      <c r="E107" s="422" t="s">
        <v>493</v>
      </c>
      <c r="F107" s="428">
        <v>0.74</v>
      </c>
      <c r="G107" s="418">
        <v>64</v>
      </c>
      <c r="H107" s="427">
        <v>72</v>
      </c>
      <c r="I107" s="422" t="s">
        <v>494</v>
      </c>
    </row>
    <row r="108" spans="1:9" x14ac:dyDescent="0.2">
      <c r="A108" s="415" t="s">
        <v>1938</v>
      </c>
      <c r="B108" s="422" t="s">
        <v>412</v>
      </c>
      <c r="C108" s="422" t="s">
        <v>1914</v>
      </c>
      <c r="D108" s="422" t="s">
        <v>417</v>
      </c>
      <c r="E108" s="415" t="s">
        <v>1939</v>
      </c>
      <c r="F108" s="426">
        <v>0.75</v>
      </c>
      <c r="G108" s="418">
        <v>64</v>
      </c>
      <c r="H108" s="427">
        <v>72</v>
      </c>
      <c r="I108" s="415" t="s">
        <v>1940</v>
      </c>
    </row>
    <row r="109" spans="1:9" x14ac:dyDescent="0.2">
      <c r="A109" s="422" t="s">
        <v>495</v>
      </c>
      <c r="B109" s="422" t="s">
        <v>412</v>
      </c>
      <c r="C109" s="422" t="s">
        <v>427</v>
      </c>
      <c r="D109" s="422" t="s">
        <v>421</v>
      </c>
      <c r="E109" s="422" t="s">
        <v>493</v>
      </c>
      <c r="F109" s="428">
        <v>0.74</v>
      </c>
      <c r="G109" s="418">
        <v>63</v>
      </c>
      <c r="H109" s="427">
        <v>75</v>
      </c>
      <c r="I109" s="422" t="s">
        <v>496</v>
      </c>
    </row>
    <row r="110" spans="1:9" x14ac:dyDescent="0.2">
      <c r="A110" s="415" t="s">
        <v>1941</v>
      </c>
      <c r="B110" s="422" t="s">
        <v>412</v>
      </c>
      <c r="C110" s="422" t="s">
        <v>1914</v>
      </c>
      <c r="D110" s="422" t="s">
        <v>421</v>
      </c>
      <c r="E110" s="415" t="s">
        <v>1611</v>
      </c>
      <c r="F110" s="426">
        <v>0.73</v>
      </c>
      <c r="G110" s="418">
        <v>64</v>
      </c>
      <c r="H110" s="427">
        <v>74</v>
      </c>
      <c r="I110" s="415" t="s">
        <v>1942</v>
      </c>
    </row>
    <row r="111" spans="1:9" x14ac:dyDescent="0.2">
      <c r="A111" s="415" t="s">
        <v>1943</v>
      </c>
      <c r="B111" s="422" t="s">
        <v>412</v>
      </c>
      <c r="C111" s="422" t="s">
        <v>1914</v>
      </c>
      <c r="D111" s="415" t="s">
        <v>535</v>
      </c>
      <c r="E111" s="415" t="s">
        <v>1193</v>
      </c>
      <c r="F111" s="426">
        <v>0.69</v>
      </c>
      <c r="G111" s="418">
        <v>64</v>
      </c>
      <c r="H111" s="427">
        <v>72</v>
      </c>
      <c r="I111" s="415" t="s">
        <v>1944</v>
      </c>
    </row>
    <row r="112" spans="1:9" x14ac:dyDescent="0.2">
      <c r="A112" s="422" t="s">
        <v>497</v>
      </c>
      <c r="B112" s="422" t="s">
        <v>412</v>
      </c>
      <c r="C112" s="422" t="s">
        <v>413</v>
      </c>
      <c r="D112" s="422" t="s">
        <v>421</v>
      </c>
      <c r="E112" s="422" t="s">
        <v>415</v>
      </c>
      <c r="F112" s="428">
        <v>0.77500000000000002</v>
      </c>
      <c r="G112" s="418">
        <v>68</v>
      </c>
      <c r="H112" s="427">
        <v>75</v>
      </c>
      <c r="I112" s="422" t="s">
        <v>498</v>
      </c>
    </row>
    <row r="113" spans="1:9" x14ac:dyDescent="0.2">
      <c r="A113" s="422" t="s">
        <v>1038</v>
      </c>
      <c r="B113" s="422" t="s">
        <v>487</v>
      </c>
      <c r="C113" s="422" t="s">
        <v>887</v>
      </c>
      <c r="D113" s="422" t="s">
        <v>421</v>
      </c>
      <c r="E113" s="422" t="s">
        <v>421</v>
      </c>
      <c r="F113" s="428"/>
      <c r="G113" s="418">
        <v>57</v>
      </c>
      <c r="H113" s="427">
        <v>72</v>
      </c>
      <c r="I113" s="422" t="s">
        <v>1039</v>
      </c>
    </row>
    <row r="114" spans="1:9" x14ac:dyDescent="0.2">
      <c r="A114" s="422" t="s">
        <v>1023</v>
      </c>
      <c r="B114" s="422" t="s">
        <v>412</v>
      </c>
      <c r="C114" s="422" t="s">
        <v>427</v>
      </c>
      <c r="D114" s="422" t="s">
        <v>417</v>
      </c>
      <c r="E114" s="422" t="s">
        <v>1160</v>
      </c>
      <c r="F114" s="428">
        <v>0.755</v>
      </c>
      <c r="G114" s="418">
        <v>63</v>
      </c>
      <c r="H114" s="427">
        <v>72</v>
      </c>
      <c r="I114" s="422" t="s">
        <v>1161</v>
      </c>
    </row>
    <row r="115" spans="1:9" x14ac:dyDescent="0.2">
      <c r="A115" s="422" t="s">
        <v>1024</v>
      </c>
      <c r="B115" s="422" t="s">
        <v>412</v>
      </c>
      <c r="C115" s="422" t="s">
        <v>875</v>
      </c>
      <c r="D115" s="422" t="s">
        <v>423</v>
      </c>
      <c r="E115" s="422" t="s">
        <v>423</v>
      </c>
      <c r="F115" s="428"/>
      <c r="G115" s="418">
        <v>60</v>
      </c>
      <c r="H115" s="427">
        <v>68</v>
      </c>
      <c r="I115" s="422" t="s">
        <v>1025</v>
      </c>
    </row>
    <row r="116" spans="1:9" x14ac:dyDescent="0.2">
      <c r="A116" s="422" t="s">
        <v>2044</v>
      </c>
      <c r="B116" s="422" t="s">
        <v>412</v>
      </c>
      <c r="C116" s="422" t="s">
        <v>413</v>
      </c>
      <c r="D116" s="422" t="s">
        <v>414</v>
      </c>
      <c r="E116" s="422" t="s">
        <v>1188</v>
      </c>
      <c r="F116" s="428">
        <v>0.75</v>
      </c>
      <c r="G116" s="418">
        <v>67</v>
      </c>
      <c r="H116" s="427">
        <v>72</v>
      </c>
      <c r="I116" s="422" t="s">
        <v>2045</v>
      </c>
    </row>
    <row r="117" spans="1:9" x14ac:dyDescent="0.2">
      <c r="A117" s="422" t="s">
        <v>1051</v>
      </c>
      <c r="B117" s="422" t="s">
        <v>412</v>
      </c>
      <c r="C117" s="422" t="s">
        <v>427</v>
      </c>
      <c r="D117" s="422" t="s">
        <v>417</v>
      </c>
      <c r="E117" s="422" t="s">
        <v>554</v>
      </c>
      <c r="F117" s="428">
        <v>0.73</v>
      </c>
      <c r="G117" s="418">
        <v>48</v>
      </c>
      <c r="H117" s="427">
        <v>56</v>
      </c>
      <c r="I117" s="422" t="s">
        <v>1052</v>
      </c>
    </row>
    <row r="118" spans="1:9" x14ac:dyDescent="0.2">
      <c r="A118" s="422" t="s">
        <v>988</v>
      </c>
      <c r="B118" s="422" t="s">
        <v>412</v>
      </c>
      <c r="C118" s="422" t="s">
        <v>875</v>
      </c>
      <c r="D118" s="422"/>
      <c r="E118" s="422" t="s">
        <v>125</v>
      </c>
      <c r="F118" s="428"/>
      <c r="G118" s="418" t="s">
        <v>125</v>
      </c>
      <c r="H118" s="427"/>
      <c r="I118" s="422" t="s">
        <v>989</v>
      </c>
    </row>
    <row r="119" spans="1:9" x14ac:dyDescent="0.2">
      <c r="A119" s="422" t="s">
        <v>990</v>
      </c>
      <c r="B119" s="422" t="s">
        <v>412</v>
      </c>
      <c r="C119" s="422" t="s">
        <v>875</v>
      </c>
      <c r="D119" s="422"/>
      <c r="E119" s="422" t="s">
        <v>125</v>
      </c>
      <c r="F119" s="428"/>
      <c r="G119" s="418">
        <v>60</v>
      </c>
      <c r="H119" s="427">
        <v>74</v>
      </c>
      <c r="I119" s="422" t="s">
        <v>991</v>
      </c>
    </row>
    <row r="120" spans="1:9" x14ac:dyDescent="0.2">
      <c r="A120" s="422" t="s">
        <v>2056</v>
      </c>
      <c r="B120" s="422" t="s">
        <v>412</v>
      </c>
      <c r="C120" s="422" t="s">
        <v>413</v>
      </c>
      <c r="D120" s="422" t="s">
        <v>414</v>
      </c>
      <c r="E120" s="422" t="s">
        <v>1191</v>
      </c>
      <c r="F120" s="428">
        <v>0.77500000000000002</v>
      </c>
      <c r="G120" s="418">
        <v>67</v>
      </c>
      <c r="H120" s="427">
        <v>70</v>
      </c>
      <c r="I120" s="422" t="s">
        <v>2055</v>
      </c>
    </row>
    <row r="121" spans="1:9" x14ac:dyDescent="0.2">
      <c r="A121" s="422" t="s">
        <v>499</v>
      </c>
      <c r="B121" s="422" t="s">
        <v>412</v>
      </c>
      <c r="C121" s="422" t="s">
        <v>413</v>
      </c>
      <c r="D121" s="422" t="s">
        <v>414</v>
      </c>
      <c r="E121" s="422" t="s">
        <v>1026</v>
      </c>
      <c r="F121" s="428">
        <v>0.72</v>
      </c>
      <c r="G121" s="418">
        <v>68</v>
      </c>
      <c r="H121" s="427">
        <v>73</v>
      </c>
      <c r="I121" s="422" t="s">
        <v>500</v>
      </c>
    </row>
    <row r="122" spans="1:9" x14ac:dyDescent="0.2">
      <c r="A122" s="422" t="s">
        <v>1042</v>
      </c>
      <c r="B122" s="422" t="s">
        <v>412</v>
      </c>
      <c r="C122" s="422" t="s">
        <v>875</v>
      </c>
      <c r="D122" s="422" t="s">
        <v>414</v>
      </c>
      <c r="E122" s="422" t="s">
        <v>414</v>
      </c>
      <c r="F122" s="428">
        <v>0.74</v>
      </c>
      <c r="G122" s="418">
        <v>64</v>
      </c>
      <c r="H122" s="427">
        <v>69</v>
      </c>
      <c r="I122" s="422" t="s">
        <v>1144</v>
      </c>
    </row>
    <row r="123" spans="1:9" x14ac:dyDescent="0.2">
      <c r="A123" s="422" t="s">
        <v>1043</v>
      </c>
      <c r="B123" s="422" t="s">
        <v>487</v>
      </c>
      <c r="C123" s="422" t="s">
        <v>887</v>
      </c>
      <c r="D123" s="422" t="s">
        <v>421</v>
      </c>
      <c r="E123" s="422" t="s">
        <v>421</v>
      </c>
      <c r="F123" s="428"/>
      <c r="G123" s="418">
        <v>62</v>
      </c>
      <c r="H123" s="427">
        <v>74</v>
      </c>
      <c r="I123" s="422" t="s">
        <v>1044</v>
      </c>
    </row>
    <row r="124" spans="1:9" x14ac:dyDescent="0.2">
      <c r="A124" s="415" t="s">
        <v>1961</v>
      </c>
      <c r="B124" s="422" t="s">
        <v>412</v>
      </c>
      <c r="C124" s="422" t="s">
        <v>1914</v>
      </c>
      <c r="D124" s="422" t="s">
        <v>423</v>
      </c>
      <c r="E124" s="415" t="s">
        <v>1153</v>
      </c>
      <c r="F124" s="426">
        <v>0.77500000000000002</v>
      </c>
      <c r="G124" s="418">
        <v>68</v>
      </c>
      <c r="H124" s="427">
        <v>80</v>
      </c>
      <c r="I124" s="415" t="s">
        <v>1962</v>
      </c>
    </row>
    <row r="125" spans="1:9" x14ac:dyDescent="0.2">
      <c r="A125" s="422" t="s">
        <v>2042</v>
      </c>
      <c r="B125" s="422" t="s">
        <v>412</v>
      </c>
      <c r="C125" s="422" t="s">
        <v>413</v>
      </c>
      <c r="D125" s="422" t="s">
        <v>417</v>
      </c>
      <c r="E125" s="422" t="s">
        <v>424</v>
      </c>
      <c r="F125" s="428">
        <v>0.72499999999999998</v>
      </c>
      <c r="G125" s="418">
        <v>66</v>
      </c>
      <c r="H125" s="427">
        <v>70</v>
      </c>
      <c r="I125" s="422" t="s">
        <v>501</v>
      </c>
    </row>
    <row r="126" spans="1:9" x14ac:dyDescent="0.2">
      <c r="A126" s="422" t="s">
        <v>502</v>
      </c>
      <c r="B126" s="422" t="s">
        <v>412</v>
      </c>
      <c r="C126" s="422" t="s">
        <v>413</v>
      </c>
      <c r="D126" s="422" t="s">
        <v>414</v>
      </c>
      <c r="E126" s="422" t="s">
        <v>543</v>
      </c>
      <c r="F126" s="428">
        <v>0.76500000000000001</v>
      </c>
      <c r="G126" s="418">
        <v>68</v>
      </c>
      <c r="H126" s="427">
        <v>73</v>
      </c>
      <c r="I126" s="422" t="s">
        <v>503</v>
      </c>
    </row>
    <row r="127" spans="1:9" x14ac:dyDescent="0.2">
      <c r="A127" s="422" t="s">
        <v>2030</v>
      </c>
      <c r="B127" s="422" t="s">
        <v>412</v>
      </c>
      <c r="C127" s="422" t="s">
        <v>413</v>
      </c>
      <c r="D127" s="422"/>
      <c r="E127" s="422"/>
      <c r="F127" s="428"/>
      <c r="G127" s="418"/>
      <c r="H127" s="427"/>
      <c r="I127" s="422" t="s">
        <v>2031</v>
      </c>
    </row>
    <row r="128" spans="1:9" x14ac:dyDescent="0.2">
      <c r="A128" s="422" t="s">
        <v>899</v>
      </c>
      <c r="B128" s="422" t="s">
        <v>412</v>
      </c>
      <c r="C128" s="422" t="s">
        <v>427</v>
      </c>
      <c r="D128" s="422" t="s">
        <v>421</v>
      </c>
      <c r="E128" s="422" t="s">
        <v>525</v>
      </c>
      <c r="F128" s="428">
        <v>0.69</v>
      </c>
      <c r="G128" s="418">
        <v>58</v>
      </c>
      <c r="H128" s="427">
        <v>68</v>
      </c>
      <c r="I128" s="422" t="s">
        <v>900</v>
      </c>
    </row>
    <row r="129" spans="1:9" x14ac:dyDescent="0.2">
      <c r="A129" s="422" t="s">
        <v>946</v>
      </c>
      <c r="B129" s="422" t="s">
        <v>412</v>
      </c>
      <c r="C129" s="422" t="s">
        <v>427</v>
      </c>
      <c r="D129" s="422" t="s">
        <v>414</v>
      </c>
      <c r="E129" s="422" t="s">
        <v>1162</v>
      </c>
      <c r="F129" s="428">
        <v>0.77</v>
      </c>
      <c r="G129" s="418">
        <v>65</v>
      </c>
      <c r="H129" s="427">
        <v>80</v>
      </c>
      <c r="I129" s="422" t="s">
        <v>1163</v>
      </c>
    </row>
    <row r="130" spans="1:9" x14ac:dyDescent="0.2">
      <c r="A130" s="422" t="s">
        <v>863</v>
      </c>
      <c r="B130" s="422" t="s">
        <v>487</v>
      </c>
      <c r="C130" s="422" t="s">
        <v>860</v>
      </c>
      <c r="D130" s="422" t="s">
        <v>428</v>
      </c>
      <c r="E130" s="422" t="s">
        <v>125</v>
      </c>
      <c r="F130" s="428"/>
      <c r="G130" s="418">
        <v>59</v>
      </c>
      <c r="H130" s="427">
        <v>77</v>
      </c>
      <c r="I130" s="422" t="s">
        <v>864</v>
      </c>
    </row>
    <row r="131" spans="1:9" x14ac:dyDescent="0.2">
      <c r="A131" s="422" t="s">
        <v>2057</v>
      </c>
      <c r="B131" s="422" t="s">
        <v>412</v>
      </c>
      <c r="C131" s="422" t="s">
        <v>413</v>
      </c>
      <c r="D131" s="422" t="s">
        <v>423</v>
      </c>
      <c r="E131" s="422" t="s">
        <v>1188</v>
      </c>
      <c r="F131" s="428">
        <v>0.75</v>
      </c>
      <c r="G131" s="418">
        <v>55</v>
      </c>
      <c r="H131" s="427">
        <v>73</v>
      </c>
      <c r="I131" s="422" t="s">
        <v>2058</v>
      </c>
    </row>
    <row r="132" spans="1:9" x14ac:dyDescent="0.2">
      <c r="A132" s="422" t="s">
        <v>2117</v>
      </c>
      <c r="B132" s="422" t="s">
        <v>412</v>
      </c>
      <c r="C132" s="422" t="s">
        <v>413</v>
      </c>
      <c r="D132" s="422" t="s">
        <v>428</v>
      </c>
      <c r="E132" s="422" t="s">
        <v>1918</v>
      </c>
      <c r="F132" s="428">
        <v>0.78500000000000003</v>
      </c>
      <c r="G132" s="418">
        <v>68</v>
      </c>
      <c r="H132" s="427">
        <v>72</v>
      </c>
      <c r="I132" s="422" t="s">
        <v>2046</v>
      </c>
    </row>
    <row r="133" spans="1:9" x14ac:dyDescent="0.2">
      <c r="A133" s="422" t="s">
        <v>865</v>
      </c>
      <c r="B133" s="422" t="s">
        <v>487</v>
      </c>
      <c r="C133" s="422" t="s">
        <v>504</v>
      </c>
      <c r="D133" s="422" t="s">
        <v>421</v>
      </c>
      <c r="E133" s="422" t="s">
        <v>421</v>
      </c>
      <c r="F133" s="428"/>
      <c r="G133" s="418">
        <v>68</v>
      </c>
      <c r="H133" s="427">
        <v>80</v>
      </c>
      <c r="I133" s="422" t="s">
        <v>505</v>
      </c>
    </row>
    <row r="134" spans="1:9" x14ac:dyDescent="0.2">
      <c r="A134" s="422" t="s">
        <v>2111</v>
      </c>
      <c r="B134" s="422" t="s">
        <v>412</v>
      </c>
      <c r="C134" s="422" t="s">
        <v>413</v>
      </c>
      <c r="D134" s="422" t="s">
        <v>414</v>
      </c>
      <c r="E134" s="422" t="s">
        <v>1188</v>
      </c>
      <c r="F134" s="428">
        <v>0.75</v>
      </c>
      <c r="G134" s="418">
        <v>50</v>
      </c>
      <c r="H134" s="427">
        <v>58</v>
      </c>
      <c r="I134" s="422" t="s">
        <v>2110</v>
      </c>
    </row>
    <row r="135" spans="1:9" x14ac:dyDescent="0.2">
      <c r="A135" s="422" t="s">
        <v>901</v>
      </c>
      <c r="B135" s="422" t="s">
        <v>412</v>
      </c>
      <c r="C135" s="422" t="s">
        <v>413</v>
      </c>
      <c r="D135" s="422" t="s">
        <v>414</v>
      </c>
      <c r="E135" s="422" t="s">
        <v>415</v>
      </c>
      <c r="F135" s="428">
        <v>0.77500000000000002</v>
      </c>
      <c r="G135" s="418">
        <v>65</v>
      </c>
      <c r="H135" s="427">
        <v>70</v>
      </c>
      <c r="I135" s="422" t="s">
        <v>902</v>
      </c>
    </row>
    <row r="136" spans="1:9" x14ac:dyDescent="0.2">
      <c r="A136" s="422" t="s">
        <v>903</v>
      </c>
      <c r="B136" s="422" t="s">
        <v>412</v>
      </c>
      <c r="C136" s="422" t="s">
        <v>413</v>
      </c>
      <c r="D136" s="422" t="s">
        <v>423</v>
      </c>
      <c r="E136" s="422" t="s">
        <v>423</v>
      </c>
      <c r="F136" s="428">
        <v>0.68</v>
      </c>
      <c r="G136" s="418">
        <v>55</v>
      </c>
      <c r="H136" s="427">
        <v>58</v>
      </c>
      <c r="I136" s="422" t="s">
        <v>904</v>
      </c>
    </row>
    <row r="137" spans="1:9" x14ac:dyDescent="0.2">
      <c r="A137" s="422" t="s">
        <v>1057</v>
      </c>
      <c r="B137" s="422" t="s">
        <v>412</v>
      </c>
      <c r="C137" s="422" t="s">
        <v>413</v>
      </c>
      <c r="D137" s="422" t="s">
        <v>414</v>
      </c>
      <c r="E137" s="422" t="s">
        <v>415</v>
      </c>
      <c r="F137" s="428">
        <v>0.77500000000000002</v>
      </c>
      <c r="G137" s="418">
        <v>50</v>
      </c>
      <c r="H137" s="427">
        <v>55</v>
      </c>
      <c r="I137" s="422" t="s">
        <v>1058</v>
      </c>
    </row>
    <row r="138" spans="1:9" x14ac:dyDescent="0.2">
      <c r="A138" s="422" t="s">
        <v>1059</v>
      </c>
      <c r="B138" s="422" t="s">
        <v>412</v>
      </c>
      <c r="C138" s="422" t="s">
        <v>427</v>
      </c>
      <c r="D138" s="422" t="s">
        <v>414</v>
      </c>
      <c r="E138" s="422" t="s">
        <v>1012</v>
      </c>
      <c r="F138" s="428">
        <v>0.72</v>
      </c>
      <c r="G138" s="418">
        <v>50</v>
      </c>
      <c r="H138" s="427">
        <v>58</v>
      </c>
      <c r="I138" s="422" t="s">
        <v>1060</v>
      </c>
    </row>
    <row r="139" spans="1:9" x14ac:dyDescent="0.2">
      <c r="A139" s="422" t="s">
        <v>1061</v>
      </c>
      <c r="B139" s="422" t="s">
        <v>412</v>
      </c>
      <c r="C139" s="422" t="s">
        <v>427</v>
      </c>
      <c r="D139" s="422" t="s">
        <v>423</v>
      </c>
      <c r="E139" s="422" t="s">
        <v>429</v>
      </c>
      <c r="F139" s="428">
        <v>0.75</v>
      </c>
      <c r="G139" s="418">
        <v>46</v>
      </c>
      <c r="H139" s="427">
        <v>56</v>
      </c>
      <c r="I139" s="422" t="s">
        <v>1062</v>
      </c>
    </row>
    <row r="140" spans="1:9" x14ac:dyDescent="0.2">
      <c r="A140" s="422" t="s">
        <v>2118</v>
      </c>
      <c r="B140" s="422" t="s">
        <v>412</v>
      </c>
      <c r="C140" s="422" t="s">
        <v>413</v>
      </c>
      <c r="D140" s="422"/>
      <c r="E140" s="422"/>
      <c r="F140" s="428"/>
      <c r="G140" s="418"/>
      <c r="H140" s="427"/>
      <c r="I140" s="422" t="s">
        <v>2102</v>
      </c>
    </row>
    <row r="141" spans="1:9" x14ac:dyDescent="0.2">
      <c r="A141" s="422" t="s">
        <v>1164</v>
      </c>
      <c r="B141" s="422" t="s">
        <v>412</v>
      </c>
      <c r="C141" s="422" t="s">
        <v>427</v>
      </c>
      <c r="D141" s="422" t="s">
        <v>423</v>
      </c>
      <c r="E141" s="422" t="s">
        <v>1133</v>
      </c>
      <c r="F141" s="428">
        <v>0.75</v>
      </c>
      <c r="G141" s="418">
        <v>60</v>
      </c>
      <c r="H141" s="427">
        <v>70</v>
      </c>
      <c r="I141" s="422" t="s">
        <v>1165</v>
      </c>
    </row>
    <row r="142" spans="1:9" x14ac:dyDescent="0.2">
      <c r="A142" s="422" t="s">
        <v>1973</v>
      </c>
      <c r="B142" s="422" t="s">
        <v>487</v>
      </c>
      <c r="C142" s="422" t="s">
        <v>860</v>
      </c>
      <c r="D142" s="422" t="s">
        <v>421</v>
      </c>
      <c r="E142" s="422" t="s">
        <v>1173</v>
      </c>
      <c r="F142" s="428">
        <v>0.8</v>
      </c>
      <c r="G142" s="418">
        <v>50</v>
      </c>
      <c r="H142" s="427">
        <v>59</v>
      </c>
      <c r="I142" s="422" t="s">
        <v>1974</v>
      </c>
    </row>
    <row r="143" spans="1:9" x14ac:dyDescent="0.2">
      <c r="A143" s="415" t="s">
        <v>1929</v>
      </c>
      <c r="B143" s="422" t="s">
        <v>412</v>
      </c>
      <c r="C143" s="422" t="s">
        <v>1914</v>
      </c>
      <c r="D143" s="422" t="s">
        <v>428</v>
      </c>
      <c r="E143" s="415" t="s">
        <v>1925</v>
      </c>
      <c r="F143" s="428">
        <v>0.76</v>
      </c>
      <c r="G143" s="418">
        <v>65</v>
      </c>
      <c r="H143" s="427">
        <v>72</v>
      </c>
      <c r="I143" s="415" t="s">
        <v>1926</v>
      </c>
    </row>
    <row r="144" spans="1:9" x14ac:dyDescent="0.2">
      <c r="A144" s="422" t="s">
        <v>506</v>
      </c>
      <c r="B144" s="422" t="s">
        <v>412</v>
      </c>
      <c r="C144" s="422" t="s">
        <v>413</v>
      </c>
      <c r="D144" s="422" t="s">
        <v>421</v>
      </c>
      <c r="E144" s="422" t="s">
        <v>507</v>
      </c>
      <c r="F144" s="428">
        <v>0.75</v>
      </c>
      <c r="G144" s="418">
        <v>65</v>
      </c>
      <c r="H144" s="427">
        <v>70</v>
      </c>
      <c r="I144" s="422" t="s">
        <v>508</v>
      </c>
    </row>
    <row r="145" spans="1:9" x14ac:dyDescent="0.2">
      <c r="A145" s="422" t="s">
        <v>509</v>
      </c>
      <c r="B145" s="422" t="s">
        <v>412</v>
      </c>
      <c r="C145" s="422" t="s">
        <v>413</v>
      </c>
      <c r="D145" s="422" t="s">
        <v>414</v>
      </c>
      <c r="E145" s="422" t="s">
        <v>510</v>
      </c>
      <c r="F145" s="428">
        <v>0.68500000000000005</v>
      </c>
      <c r="G145" s="418">
        <v>65</v>
      </c>
      <c r="H145" s="427">
        <v>69</v>
      </c>
      <c r="I145" s="422" t="s">
        <v>511</v>
      </c>
    </row>
    <row r="146" spans="1:9" x14ac:dyDescent="0.2">
      <c r="A146" s="422" t="s">
        <v>513</v>
      </c>
      <c r="B146" s="422" t="s">
        <v>412</v>
      </c>
      <c r="C146" s="422" t="s">
        <v>413</v>
      </c>
      <c r="D146" s="422" t="s">
        <v>428</v>
      </c>
      <c r="E146" s="422" t="s">
        <v>424</v>
      </c>
      <c r="F146" s="428">
        <v>0.72499999999999998</v>
      </c>
      <c r="G146" s="418">
        <v>68</v>
      </c>
      <c r="H146" s="427">
        <v>73</v>
      </c>
      <c r="I146" s="422" t="s">
        <v>514</v>
      </c>
    </row>
    <row r="147" spans="1:9" x14ac:dyDescent="0.2">
      <c r="A147" s="422" t="s">
        <v>866</v>
      </c>
      <c r="B147" s="422" t="s">
        <v>412</v>
      </c>
      <c r="C147" s="422" t="s">
        <v>413</v>
      </c>
      <c r="D147" s="422" t="s">
        <v>417</v>
      </c>
      <c r="E147" s="422" t="s">
        <v>414</v>
      </c>
      <c r="F147" s="428">
        <v>0.77500000000000002</v>
      </c>
      <c r="G147" s="418">
        <v>66</v>
      </c>
      <c r="H147" s="427">
        <v>70</v>
      </c>
      <c r="I147" s="422" t="s">
        <v>867</v>
      </c>
    </row>
    <row r="148" spans="1:9" x14ac:dyDescent="0.2">
      <c r="A148" s="422" t="s">
        <v>515</v>
      </c>
      <c r="B148" s="422" t="s">
        <v>412</v>
      </c>
      <c r="C148" s="422" t="s">
        <v>413</v>
      </c>
      <c r="D148" s="422" t="s">
        <v>414</v>
      </c>
      <c r="E148" s="422" t="s">
        <v>424</v>
      </c>
      <c r="F148" s="428">
        <v>0.72499999999999998</v>
      </c>
      <c r="G148" s="418">
        <v>65</v>
      </c>
      <c r="H148" s="427">
        <v>70</v>
      </c>
      <c r="I148" s="422" t="s">
        <v>516</v>
      </c>
    </row>
    <row r="149" spans="1:9" x14ac:dyDescent="0.2">
      <c r="A149" s="422" t="s">
        <v>1045</v>
      </c>
      <c r="B149" s="422" t="s">
        <v>412</v>
      </c>
      <c r="C149" s="422" t="s">
        <v>413</v>
      </c>
      <c r="D149" s="422" t="s">
        <v>417</v>
      </c>
      <c r="E149" s="422" t="s">
        <v>1046</v>
      </c>
      <c r="F149" s="428">
        <v>0.72499999999999998</v>
      </c>
      <c r="G149" s="418">
        <v>68</v>
      </c>
      <c r="H149" s="427">
        <v>72</v>
      </c>
      <c r="I149" s="422" t="s">
        <v>1047</v>
      </c>
    </row>
    <row r="150" spans="1:9" x14ac:dyDescent="0.2">
      <c r="A150" s="422" t="s">
        <v>517</v>
      </c>
      <c r="B150" s="422" t="s">
        <v>412</v>
      </c>
      <c r="C150" s="422" t="s">
        <v>420</v>
      </c>
      <c r="D150" s="422" t="s">
        <v>414</v>
      </c>
      <c r="E150" s="422" t="s">
        <v>421</v>
      </c>
      <c r="F150" s="428"/>
      <c r="G150" s="418">
        <v>59</v>
      </c>
      <c r="H150" s="427">
        <v>68</v>
      </c>
      <c r="I150" s="422" t="s">
        <v>518</v>
      </c>
    </row>
    <row r="151" spans="1:9" x14ac:dyDescent="0.2">
      <c r="A151" s="422" t="s">
        <v>519</v>
      </c>
      <c r="B151" s="422" t="s">
        <v>412</v>
      </c>
      <c r="C151" s="422" t="s">
        <v>413</v>
      </c>
      <c r="D151" s="422" t="s">
        <v>535</v>
      </c>
      <c r="E151" s="422" t="s">
        <v>1027</v>
      </c>
      <c r="F151" s="428">
        <v>0.66500000000000004</v>
      </c>
      <c r="G151" s="418">
        <v>65</v>
      </c>
      <c r="H151" s="427">
        <v>68</v>
      </c>
      <c r="I151" s="422" t="s">
        <v>520</v>
      </c>
    </row>
    <row r="152" spans="1:9" x14ac:dyDescent="0.2">
      <c r="A152" s="422" t="s">
        <v>1028</v>
      </c>
      <c r="B152" s="422" t="s">
        <v>412</v>
      </c>
      <c r="C152" s="422" t="s">
        <v>427</v>
      </c>
      <c r="D152" s="422" t="s">
        <v>421</v>
      </c>
      <c r="E152" s="422" t="s">
        <v>1166</v>
      </c>
      <c r="F152" s="428">
        <v>0.7</v>
      </c>
      <c r="G152" s="418">
        <v>64</v>
      </c>
      <c r="H152" s="427">
        <v>72</v>
      </c>
      <c r="I152" s="422" t="s">
        <v>1167</v>
      </c>
    </row>
    <row r="153" spans="1:9" x14ac:dyDescent="0.2">
      <c r="A153" s="422" t="s">
        <v>522</v>
      </c>
      <c r="B153" s="422" t="s">
        <v>412</v>
      </c>
      <c r="C153" s="422" t="s">
        <v>413</v>
      </c>
      <c r="D153" s="422" t="s">
        <v>417</v>
      </c>
      <c r="E153" s="422" t="s">
        <v>523</v>
      </c>
      <c r="F153" s="428">
        <v>0.73499999999999999</v>
      </c>
      <c r="G153" s="418">
        <v>66</v>
      </c>
      <c r="H153" s="427">
        <v>70</v>
      </c>
      <c r="I153" s="422" t="s">
        <v>524</v>
      </c>
    </row>
    <row r="154" spans="1:9" x14ac:dyDescent="0.2">
      <c r="A154" s="422" t="s">
        <v>526</v>
      </c>
      <c r="B154" s="422" t="s">
        <v>412</v>
      </c>
      <c r="C154" s="422" t="s">
        <v>413</v>
      </c>
      <c r="D154" s="422" t="s">
        <v>414</v>
      </c>
      <c r="E154" s="422" t="s">
        <v>527</v>
      </c>
      <c r="F154" s="428">
        <v>0.67500000000000004</v>
      </c>
      <c r="G154" s="418">
        <v>65</v>
      </c>
      <c r="H154" s="427">
        <v>70</v>
      </c>
      <c r="I154" s="422" t="s">
        <v>528</v>
      </c>
    </row>
    <row r="155" spans="1:9" x14ac:dyDescent="0.2">
      <c r="A155" s="422" t="s">
        <v>905</v>
      </c>
      <c r="B155" s="422" t="s">
        <v>412</v>
      </c>
      <c r="C155" s="422" t="s">
        <v>427</v>
      </c>
      <c r="D155" s="422" t="s">
        <v>423</v>
      </c>
      <c r="E155" s="422" t="s">
        <v>1156</v>
      </c>
      <c r="F155" s="428">
        <v>0.75</v>
      </c>
      <c r="G155" s="418">
        <v>46</v>
      </c>
      <c r="H155" s="427">
        <v>56</v>
      </c>
      <c r="I155" s="422" t="s">
        <v>1168</v>
      </c>
    </row>
    <row r="156" spans="1:9" x14ac:dyDescent="0.2">
      <c r="A156" s="415" t="s">
        <v>1619</v>
      </c>
      <c r="B156" s="415" t="s">
        <v>412</v>
      </c>
      <c r="C156" s="415" t="s">
        <v>1563</v>
      </c>
      <c r="D156" s="415" t="s">
        <v>423</v>
      </c>
      <c r="E156" s="415" t="s">
        <v>1620</v>
      </c>
      <c r="F156" s="426">
        <v>0.8</v>
      </c>
      <c r="G156" s="418">
        <v>68</v>
      </c>
      <c r="H156" s="427">
        <v>76</v>
      </c>
      <c r="I156" s="415" t="s">
        <v>1621</v>
      </c>
    </row>
    <row r="157" spans="1:9" x14ac:dyDescent="0.2">
      <c r="A157" s="422" t="s">
        <v>1169</v>
      </c>
      <c r="B157" s="422" t="s">
        <v>412</v>
      </c>
      <c r="C157" s="422" t="s">
        <v>427</v>
      </c>
      <c r="D157" s="422" t="s">
        <v>414</v>
      </c>
      <c r="E157" s="422" t="s">
        <v>1150</v>
      </c>
      <c r="F157" s="428">
        <v>0.76500000000000001</v>
      </c>
      <c r="G157" s="418">
        <v>70</v>
      </c>
      <c r="H157" s="427">
        <v>84</v>
      </c>
      <c r="I157" s="422" t="s">
        <v>1170</v>
      </c>
    </row>
    <row r="158" spans="1:9" x14ac:dyDescent="0.2">
      <c r="A158" s="422" t="s">
        <v>947</v>
      </c>
      <c r="B158" s="422" t="s">
        <v>412</v>
      </c>
      <c r="C158" s="422" t="s">
        <v>875</v>
      </c>
      <c r="D158" s="422"/>
      <c r="E158" s="422" t="s">
        <v>125</v>
      </c>
      <c r="F158" s="428"/>
      <c r="G158" s="418" t="s">
        <v>125</v>
      </c>
      <c r="H158" s="427"/>
      <c r="I158" s="422" t="s">
        <v>948</v>
      </c>
    </row>
    <row r="159" spans="1:9" x14ac:dyDescent="0.2">
      <c r="A159" s="422" t="s">
        <v>2112</v>
      </c>
      <c r="B159" s="422" t="s">
        <v>412</v>
      </c>
      <c r="C159" s="422" t="s">
        <v>413</v>
      </c>
      <c r="D159" s="422"/>
      <c r="E159" s="422" t="s">
        <v>2108</v>
      </c>
      <c r="F159" s="428">
        <v>0.76500000000000001</v>
      </c>
      <c r="G159" s="418"/>
      <c r="H159" s="427"/>
      <c r="I159" s="422" t="s">
        <v>2109</v>
      </c>
    </row>
    <row r="160" spans="1:9" x14ac:dyDescent="0.2">
      <c r="A160" s="422" t="s">
        <v>949</v>
      </c>
      <c r="B160" s="422" t="s">
        <v>412</v>
      </c>
      <c r="C160" s="422" t="s">
        <v>427</v>
      </c>
      <c r="D160" s="422" t="s">
        <v>428</v>
      </c>
      <c r="E160" s="422" t="s">
        <v>1171</v>
      </c>
      <c r="F160" s="428">
        <v>0.76</v>
      </c>
      <c r="G160" s="418">
        <v>64</v>
      </c>
      <c r="H160" s="427">
        <v>80</v>
      </c>
      <c r="I160" s="422" t="s">
        <v>1172</v>
      </c>
    </row>
    <row r="161" spans="1:9" x14ac:dyDescent="0.2">
      <c r="A161" s="422" t="s">
        <v>950</v>
      </c>
      <c r="B161" s="422" t="s">
        <v>412</v>
      </c>
      <c r="C161" s="422" t="s">
        <v>413</v>
      </c>
      <c r="D161" s="422" t="s">
        <v>428</v>
      </c>
      <c r="E161" s="422" t="s">
        <v>421</v>
      </c>
      <c r="F161" s="428"/>
      <c r="G161" s="418">
        <v>68</v>
      </c>
      <c r="H161" s="427">
        <v>80</v>
      </c>
      <c r="I161" s="422" t="s">
        <v>951</v>
      </c>
    </row>
    <row r="162" spans="1:9" x14ac:dyDescent="0.2">
      <c r="A162" s="422" t="s">
        <v>992</v>
      </c>
      <c r="B162" s="422" t="s">
        <v>412</v>
      </c>
      <c r="C162" s="422" t="s">
        <v>875</v>
      </c>
      <c r="D162" s="422"/>
      <c r="E162" s="422" t="s">
        <v>125</v>
      </c>
      <c r="F162" s="428"/>
      <c r="G162" s="418">
        <v>60</v>
      </c>
      <c r="H162" s="427">
        <v>74</v>
      </c>
      <c r="I162" s="422" t="s">
        <v>993</v>
      </c>
    </row>
    <row r="163" spans="1:9" x14ac:dyDescent="0.2">
      <c r="A163" s="422" t="s">
        <v>2103</v>
      </c>
      <c r="B163" s="422" t="s">
        <v>412</v>
      </c>
      <c r="C163" s="422" t="s">
        <v>413</v>
      </c>
      <c r="D163" s="422"/>
      <c r="E163" s="422" t="s">
        <v>2104</v>
      </c>
      <c r="F163" s="428">
        <v>0.9</v>
      </c>
      <c r="G163" s="418">
        <v>70</v>
      </c>
      <c r="H163" s="427">
        <v>100</v>
      </c>
      <c r="I163" s="422" t="s">
        <v>2105</v>
      </c>
    </row>
    <row r="164" spans="1:9" x14ac:dyDescent="0.2">
      <c r="A164" s="422" t="s">
        <v>530</v>
      </c>
      <c r="B164" s="422" t="s">
        <v>412</v>
      </c>
      <c r="C164" s="422" t="s">
        <v>427</v>
      </c>
      <c r="D164" s="422" t="s">
        <v>423</v>
      </c>
      <c r="E164" s="422" t="s">
        <v>429</v>
      </c>
      <c r="F164" s="428">
        <v>0.75</v>
      </c>
      <c r="G164" s="418">
        <v>63</v>
      </c>
      <c r="H164" s="427">
        <v>76</v>
      </c>
      <c r="I164" s="422" t="s">
        <v>531</v>
      </c>
    </row>
    <row r="165" spans="1:9" x14ac:dyDescent="0.2">
      <c r="A165" s="422" t="s">
        <v>952</v>
      </c>
      <c r="B165" s="422" t="s">
        <v>412</v>
      </c>
      <c r="C165" s="422" t="s">
        <v>413</v>
      </c>
      <c r="D165" s="422" t="s">
        <v>417</v>
      </c>
      <c r="E165" s="422" t="s">
        <v>423</v>
      </c>
      <c r="F165" s="428"/>
      <c r="G165" s="418">
        <v>63</v>
      </c>
      <c r="H165" s="427">
        <v>73</v>
      </c>
      <c r="I165" s="422" t="s">
        <v>953</v>
      </c>
    </row>
    <row r="166" spans="1:9" x14ac:dyDescent="0.2">
      <c r="A166" s="422" t="s">
        <v>954</v>
      </c>
      <c r="B166" s="422" t="s">
        <v>412</v>
      </c>
      <c r="C166" s="422" t="s">
        <v>427</v>
      </c>
      <c r="D166" s="422" t="s">
        <v>423</v>
      </c>
      <c r="E166" s="422" t="s">
        <v>1173</v>
      </c>
      <c r="F166" s="428">
        <v>0.8</v>
      </c>
      <c r="G166" s="418">
        <v>65</v>
      </c>
      <c r="H166" s="427">
        <v>77</v>
      </c>
      <c r="I166" s="422" t="s">
        <v>1174</v>
      </c>
    </row>
    <row r="167" spans="1:9" x14ac:dyDescent="0.2">
      <c r="A167" s="422" t="s">
        <v>2071</v>
      </c>
      <c r="B167" s="422" t="s">
        <v>412</v>
      </c>
      <c r="C167" s="422" t="s">
        <v>413</v>
      </c>
      <c r="D167" s="422" t="s">
        <v>414</v>
      </c>
      <c r="E167" s="422" t="s">
        <v>2072</v>
      </c>
      <c r="F167" s="428">
        <v>0.81499999999999995</v>
      </c>
      <c r="G167" s="418">
        <v>69</v>
      </c>
      <c r="H167" s="427">
        <v>75</v>
      </c>
      <c r="I167" s="422" t="s">
        <v>2073</v>
      </c>
    </row>
    <row r="168" spans="1:9" x14ac:dyDescent="0.2">
      <c r="A168" s="422" t="s">
        <v>2081</v>
      </c>
      <c r="B168" s="422" t="s">
        <v>412</v>
      </c>
      <c r="C168" s="422" t="s">
        <v>413</v>
      </c>
      <c r="D168" s="422"/>
      <c r="E168" s="422"/>
      <c r="F168" s="428"/>
      <c r="G168" s="418"/>
      <c r="H168" s="427"/>
      <c r="I168" s="422"/>
    </row>
    <row r="169" spans="1:9" x14ac:dyDescent="0.2">
      <c r="A169" s="415" t="s">
        <v>1589</v>
      </c>
      <c r="B169" s="415" t="s">
        <v>412</v>
      </c>
      <c r="C169" s="415" t="s">
        <v>1563</v>
      </c>
      <c r="D169" s="415" t="s">
        <v>423</v>
      </c>
      <c r="E169" s="415" t="s">
        <v>1156</v>
      </c>
      <c r="F169" s="426">
        <v>0.75</v>
      </c>
      <c r="G169" s="418">
        <v>63</v>
      </c>
      <c r="H169" s="427">
        <v>73</v>
      </c>
      <c r="I169" s="415" t="s">
        <v>1590</v>
      </c>
    </row>
    <row r="170" spans="1:9" x14ac:dyDescent="0.2">
      <c r="A170" s="415" t="s">
        <v>1591</v>
      </c>
      <c r="B170" s="415" t="s">
        <v>412</v>
      </c>
      <c r="C170" s="415" t="s">
        <v>1563</v>
      </c>
      <c r="D170" s="415" t="s">
        <v>423</v>
      </c>
      <c r="E170" s="415" t="s">
        <v>1156</v>
      </c>
      <c r="F170" s="426">
        <v>0.75</v>
      </c>
      <c r="G170" s="418">
        <v>56</v>
      </c>
      <c r="H170" s="427">
        <v>65</v>
      </c>
      <c r="I170" s="415" t="s">
        <v>1592</v>
      </c>
    </row>
    <row r="171" spans="1:9" x14ac:dyDescent="0.2">
      <c r="A171" s="415" t="s">
        <v>1593</v>
      </c>
      <c r="B171" s="415" t="s">
        <v>412</v>
      </c>
      <c r="C171" s="415" t="s">
        <v>1563</v>
      </c>
      <c r="D171" s="415" t="s">
        <v>414</v>
      </c>
      <c r="E171" s="415" t="s">
        <v>1156</v>
      </c>
      <c r="F171" s="426">
        <v>0.75</v>
      </c>
      <c r="G171" s="418">
        <v>60</v>
      </c>
      <c r="H171" s="427">
        <v>69</v>
      </c>
      <c r="I171" s="415" t="s">
        <v>1594</v>
      </c>
    </row>
    <row r="172" spans="1:9" x14ac:dyDescent="0.2">
      <c r="A172" s="422" t="s">
        <v>532</v>
      </c>
      <c r="B172" s="422" t="s">
        <v>412</v>
      </c>
      <c r="C172" s="422" t="s">
        <v>427</v>
      </c>
      <c r="D172" s="422" t="s">
        <v>423</v>
      </c>
      <c r="E172" s="422" t="s">
        <v>429</v>
      </c>
      <c r="F172" s="428">
        <v>0.75</v>
      </c>
      <c r="G172" s="418">
        <v>55</v>
      </c>
      <c r="H172" s="427">
        <v>68</v>
      </c>
      <c r="I172" s="422" t="s">
        <v>533</v>
      </c>
    </row>
    <row r="173" spans="1:9" x14ac:dyDescent="0.2">
      <c r="A173" s="422" t="s">
        <v>2027</v>
      </c>
      <c r="B173" s="422" t="s">
        <v>412</v>
      </c>
      <c r="C173" s="422" t="s">
        <v>413</v>
      </c>
      <c r="D173" s="422" t="s">
        <v>414</v>
      </c>
      <c r="E173" s="422" t="s">
        <v>543</v>
      </c>
      <c r="F173" s="428">
        <v>0.76500000000000001</v>
      </c>
      <c r="G173" s="418">
        <v>65</v>
      </c>
      <c r="H173" s="427">
        <v>70</v>
      </c>
      <c r="I173" s="422" t="s">
        <v>2028</v>
      </c>
    </row>
    <row r="174" spans="1:9" x14ac:dyDescent="0.2">
      <c r="A174" s="422" t="s">
        <v>534</v>
      </c>
      <c r="B174" s="422" t="s">
        <v>412</v>
      </c>
      <c r="C174" s="422" t="s">
        <v>413</v>
      </c>
      <c r="D174" s="422" t="s">
        <v>414</v>
      </c>
      <c r="E174" s="422" t="s">
        <v>536</v>
      </c>
      <c r="F174" s="428">
        <v>0.75</v>
      </c>
      <c r="G174" s="418">
        <v>65</v>
      </c>
      <c r="H174" s="427">
        <v>69</v>
      </c>
      <c r="I174" s="422" t="s">
        <v>537</v>
      </c>
    </row>
    <row r="175" spans="1:9" x14ac:dyDescent="0.2">
      <c r="A175" s="422" t="s">
        <v>2432</v>
      </c>
      <c r="B175" s="422" t="s">
        <v>412</v>
      </c>
      <c r="C175" s="422" t="s">
        <v>1914</v>
      </c>
      <c r="D175" s="422" t="s">
        <v>414</v>
      </c>
      <c r="E175" s="422" t="s">
        <v>1180</v>
      </c>
      <c r="F175" s="428">
        <v>0.73</v>
      </c>
      <c r="G175" s="418">
        <v>48</v>
      </c>
      <c r="H175" s="427">
        <v>55</v>
      </c>
      <c r="I175" s="422" t="s">
        <v>2431</v>
      </c>
    </row>
    <row r="176" spans="1:9" x14ac:dyDescent="0.2">
      <c r="A176" s="422" t="s">
        <v>1007</v>
      </c>
      <c r="B176" s="422" t="s">
        <v>412</v>
      </c>
      <c r="C176" s="422" t="s">
        <v>413</v>
      </c>
      <c r="D176" s="422" t="s">
        <v>414</v>
      </c>
      <c r="E176" s="422" t="s">
        <v>453</v>
      </c>
      <c r="F176" s="428">
        <v>0.73</v>
      </c>
      <c r="G176" s="418">
        <v>48</v>
      </c>
      <c r="H176" s="427">
        <v>55</v>
      </c>
      <c r="I176" s="422" t="s">
        <v>1008</v>
      </c>
    </row>
    <row r="177" spans="1:9" x14ac:dyDescent="0.2">
      <c r="A177" s="422" t="s">
        <v>2424</v>
      </c>
      <c r="B177" s="422" t="s">
        <v>412</v>
      </c>
      <c r="C177" s="422" t="s">
        <v>1914</v>
      </c>
      <c r="D177" s="422" t="s">
        <v>2421</v>
      </c>
      <c r="E177" s="422" t="s">
        <v>429</v>
      </c>
      <c r="F177" s="428">
        <v>0.75</v>
      </c>
      <c r="G177" s="418">
        <v>45</v>
      </c>
      <c r="H177" s="427">
        <v>68</v>
      </c>
      <c r="I177" s="422" t="s">
        <v>2422</v>
      </c>
    </row>
    <row r="178" spans="1:9" x14ac:dyDescent="0.2">
      <c r="A178" s="422" t="s">
        <v>1009</v>
      </c>
      <c r="B178" s="422" t="s">
        <v>412</v>
      </c>
      <c r="C178" s="422" t="s">
        <v>413</v>
      </c>
      <c r="D178" s="422" t="s">
        <v>414</v>
      </c>
      <c r="E178" s="422" t="s">
        <v>512</v>
      </c>
      <c r="F178" s="428">
        <v>0.76500000000000001</v>
      </c>
      <c r="G178" s="418">
        <v>50</v>
      </c>
      <c r="H178" s="427">
        <v>55</v>
      </c>
      <c r="I178" s="422" t="s">
        <v>1010</v>
      </c>
    </row>
    <row r="179" spans="1:9" x14ac:dyDescent="0.2">
      <c r="A179" s="422" t="s">
        <v>2106</v>
      </c>
      <c r="B179" s="422" t="s">
        <v>412</v>
      </c>
      <c r="C179" s="422" t="s">
        <v>413</v>
      </c>
      <c r="D179" s="422" t="s">
        <v>414</v>
      </c>
      <c r="E179" s="422" t="s">
        <v>1180</v>
      </c>
      <c r="F179" s="428">
        <v>0.73</v>
      </c>
      <c r="G179" s="418">
        <v>50</v>
      </c>
      <c r="H179" s="427">
        <v>54</v>
      </c>
      <c r="I179" s="422" t="s">
        <v>2107</v>
      </c>
    </row>
    <row r="180" spans="1:9" x14ac:dyDescent="0.2">
      <c r="A180" s="422" t="s">
        <v>538</v>
      </c>
      <c r="B180" s="422" t="s">
        <v>412</v>
      </c>
      <c r="C180" s="422" t="s">
        <v>427</v>
      </c>
      <c r="D180" s="422" t="s">
        <v>421</v>
      </c>
      <c r="E180" s="422" t="s">
        <v>429</v>
      </c>
      <c r="F180" s="428">
        <v>0.75</v>
      </c>
      <c r="G180" s="418">
        <v>63</v>
      </c>
      <c r="H180" s="427">
        <v>75</v>
      </c>
      <c r="I180" s="422" t="s">
        <v>539</v>
      </c>
    </row>
    <row r="181" spans="1:9" x14ac:dyDescent="0.2">
      <c r="A181" s="422" t="s">
        <v>2052</v>
      </c>
      <c r="B181" s="422" t="s">
        <v>412</v>
      </c>
      <c r="C181" s="422" t="s">
        <v>413</v>
      </c>
      <c r="D181" s="422" t="s">
        <v>417</v>
      </c>
      <c r="E181" s="422" t="s">
        <v>1191</v>
      </c>
      <c r="F181" s="428">
        <v>0.77500000000000002</v>
      </c>
      <c r="G181" s="418">
        <v>66</v>
      </c>
      <c r="H181" s="427">
        <v>70</v>
      </c>
      <c r="I181" s="422" t="s">
        <v>2051</v>
      </c>
    </row>
    <row r="182" spans="1:9" x14ac:dyDescent="0.2">
      <c r="A182" s="415" t="s">
        <v>1927</v>
      </c>
      <c r="B182" s="422" t="s">
        <v>412</v>
      </c>
      <c r="C182" s="422" t="s">
        <v>1914</v>
      </c>
      <c r="D182" s="422" t="s">
        <v>423</v>
      </c>
      <c r="E182" s="415" t="s">
        <v>1156</v>
      </c>
      <c r="F182" s="428">
        <v>0.75</v>
      </c>
      <c r="G182" s="418">
        <v>64</v>
      </c>
      <c r="H182" s="427">
        <v>75</v>
      </c>
      <c r="I182" s="415" t="s">
        <v>1928</v>
      </c>
    </row>
    <row r="183" spans="1:9" x14ac:dyDescent="0.2">
      <c r="A183" s="422" t="s">
        <v>540</v>
      </c>
      <c r="B183" s="422" t="s">
        <v>412</v>
      </c>
      <c r="C183" s="422" t="s">
        <v>413</v>
      </c>
      <c r="D183" s="422" t="s">
        <v>428</v>
      </c>
      <c r="E183" s="422" t="s">
        <v>434</v>
      </c>
      <c r="F183" s="428">
        <v>0.74</v>
      </c>
      <c r="G183" s="418">
        <v>68</v>
      </c>
      <c r="H183" s="427">
        <v>72</v>
      </c>
      <c r="I183" s="422" t="s">
        <v>541</v>
      </c>
    </row>
    <row r="184" spans="1:9" x14ac:dyDescent="0.2">
      <c r="A184" s="422" t="s">
        <v>542</v>
      </c>
      <c r="B184" s="422" t="s">
        <v>412</v>
      </c>
      <c r="C184" s="422" t="s">
        <v>413</v>
      </c>
      <c r="D184" s="422" t="s">
        <v>423</v>
      </c>
      <c r="E184" s="422" t="s">
        <v>543</v>
      </c>
      <c r="F184" s="428">
        <v>0.76500000000000001</v>
      </c>
      <c r="G184" s="418">
        <v>66</v>
      </c>
      <c r="H184" s="427">
        <v>70</v>
      </c>
      <c r="I184" s="422" t="s">
        <v>544</v>
      </c>
    </row>
    <row r="185" spans="1:9" x14ac:dyDescent="0.2">
      <c r="A185" s="422" t="s">
        <v>1175</v>
      </c>
      <c r="B185" s="422" t="s">
        <v>412</v>
      </c>
      <c r="C185" s="422" t="s">
        <v>427</v>
      </c>
      <c r="D185" s="422" t="s">
        <v>414</v>
      </c>
      <c r="E185" s="422" t="s">
        <v>1176</v>
      </c>
      <c r="F185" s="428">
        <v>0.72</v>
      </c>
      <c r="G185" s="418">
        <v>48</v>
      </c>
      <c r="H185" s="427">
        <v>56</v>
      </c>
      <c r="I185" s="422" t="s">
        <v>1177</v>
      </c>
    </row>
    <row r="186" spans="1:9" x14ac:dyDescent="0.2">
      <c r="A186" s="422" t="s">
        <v>2113</v>
      </c>
      <c r="B186" s="422" t="s">
        <v>412</v>
      </c>
      <c r="C186" s="422" t="s">
        <v>413</v>
      </c>
      <c r="D186" s="422" t="s">
        <v>414</v>
      </c>
      <c r="E186" s="422" t="s">
        <v>2114</v>
      </c>
      <c r="F186" s="428">
        <v>0.77500000000000002</v>
      </c>
      <c r="G186" s="418">
        <v>62</v>
      </c>
      <c r="H186" s="427">
        <v>68</v>
      </c>
      <c r="I186" s="422" t="s">
        <v>2115</v>
      </c>
    </row>
    <row r="187" spans="1:9" x14ac:dyDescent="0.2">
      <c r="A187" s="422" t="s">
        <v>1920</v>
      </c>
      <c r="B187" s="422" t="s">
        <v>412</v>
      </c>
      <c r="C187" s="422" t="s">
        <v>1914</v>
      </c>
      <c r="D187" s="422" t="s">
        <v>421</v>
      </c>
      <c r="E187" s="422" t="s">
        <v>1918</v>
      </c>
      <c r="F187" s="428">
        <v>0.78500000000000003</v>
      </c>
      <c r="G187" s="418">
        <v>72</v>
      </c>
      <c r="H187" s="427">
        <v>98</v>
      </c>
      <c r="I187" s="422" t="s">
        <v>1921</v>
      </c>
    </row>
    <row r="188" spans="1:9" x14ac:dyDescent="0.2">
      <c r="A188" s="422" t="s">
        <v>1913</v>
      </c>
      <c r="B188" s="422" t="s">
        <v>412</v>
      </c>
      <c r="C188" s="422" t="s">
        <v>1914</v>
      </c>
      <c r="D188" s="422" t="s">
        <v>417</v>
      </c>
      <c r="E188" s="422" t="s">
        <v>1915</v>
      </c>
      <c r="F188" s="428">
        <v>0.8</v>
      </c>
      <c r="G188" s="418">
        <v>72</v>
      </c>
      <c r="H188" s="427">
        <v>98</v>
      </c>
      <c r="I188" s="422" t="s">
        <v>1916</v>
      </c>
    </row>
    <row r="189" spans="1:9" x14ac:dyDescent="0.2">
      <c r="A189" s="422" t="s">
        <v>545</v>
      </c>
      <c r="B189" s="422" t="s">
        <v>412</v>
      </c>
      <c r="C189" s="422" t="s">
        <v>427</v>
      </c>
      <c r="D189" s="422" t="s">
        <v>414</v>
      </c>
      <c r="E189" s="422" t="s">
        <v>554</v>
      </c>
      <c r="F189" s="428">
        <v>0.73</v>
      </c>
      <c r="G189" s="418">
        <v>62</v>
      </c>
      <c r="H189" s="427">
        <v>72</v>
      </c>
      <c r="I189" s="422" t="s">
        <v>546</v>
      </c>
    </row>
    <row r="190" spans="1:9" x14ac:dyDescent="0.2">
      <c r="A190" s="415" t="s">
        <v>1945</v>
      </c>
      <c r="B190" s="422" t="s">
        <v>412</v>
      </c>
      <c r="C190" s="422" t="s">
        <v>1914</v>
      </c>
      <c r="D190" s="422" t="s">
        <v>414</v>
      </c>
      <c r="E190" s="415" t="s">
        <v>1946</v>
      </c>
      <c r="F190" s="426">
        <v>0.72</v>
      </c>
      <c r="G190" s="418">
        <v>62</v>
      </c>
      <c r="H190" s="427">
        <v>72</v>
      </c>
      <c r="I190" s="415" t="s">
        <v>1947</v>
      </c>
    </row>
    <row r="191" spans="1:9" x14ac:dyDescent="0.2">
      <c r="A191" s="422" t="s">
        <v>547</v>
      </c>
      <c r="B191" s="422" t="s">
        <v>412</v>
      </c>
      <c r="C191" s="422" t="s">
        <v>413</v>
      </c>
      <c r="D191" s="422" t="s">
        <v>417</v>
      </c>
      <c r="E191" s="422" t="s">
        <v>1048</v>
      </c>
      <c r="F191" s="428">
        <v>0.71499999999999997</v>
      </c>
      <c r="G191" s="418">
        <v>65</v>
      </c>
      <c r="H191" s="427">
        <v>68</v>
      </c>
      <c r="I191" s="422" t="s">
        <v>548</v>
      </c>
    </row>
    <row r="192" spans="1:9" x14ac:dyDescent="0.2">
      <c r="A192" s="422" t="s">
        <v>1922</v>
      </c>
      <c r="B192" s="422" t="s">
        <v>412</v>
      </c>
      <c r="C192" s="422" t="s">
        <v>1914</v>
      </c>
      <c r="D192" s="422" t="s">
        <v>428</v>
      </c>
      <c r="E192" s="422" t="s">
        <v>1923</v>
      </c>
      <c r="F192" s="428">
        <v>0.82499999999999996</v>
      </c>
      <c r="G192" s="418">
        <v>70</v>
      </c>
      <c r="H192" s="427">
        <v>95</v>
      </c>
      <c r="I192" s="422" t="s">
        <v>1924</v>
      </c>
    </row>
    <row r="193" spans="1:9" x14ac:dyDescent="0.2">
      <c r="A193" s="422" t="s">
        <v>1148</v>
      </c>
      <c r="B193" s="422" t="s">
        <v>412</v>
      </c>
      <c r="C193" s="422" t="s">
        <v>875</v>
      </c>
      <c r="D193" s="422" t="s">
        <v>421</v>
      </c>
      <c r="E193" s="422"/>
      <c r="F193" s="428">
        <v>0.75</v>
      </c>
      <c r="G193" s="418">
        <v>46</v>
      </c>
      <c r="H193" s="427">
        <v>54</v>
      </c>
      <c r="I193" s="422" t="s">
        <v>1149</v>
      </c>
    </row>
    <row r="194" spans="1:9" x14ac:dyDescent="0.2">
      <c r="A194" s="422" t="s">
        <v>2048</v>
      </c>
      <c r="B194" s="422" t="s">
        <v>412</v>
      </c>
      <c r="C194" s="422" t="s">
        <v>413</v>
      </c>
      <c r="D194" s="422" t="s">
        <v>414</v>
      </c>
      <c r="E194" s="422" t="s">
        <v>1191</v>
      </c>
      <c r="F194" s="428">
        <v>0.77500000000000002</v>
      </c>
      <c r="G194" s="418">
        <v>72</v>
      </c>
      <c r="H194" s="427">
        <v>77</v>
      </c>
      <c r="I194" s="422" t="s">
        <v>2047</v>
      </c>
    </row>
    <row r="195" spans="1:9" x14ac:dyDescent="0.2">
      <c r="A195" s="422" t="s">
        <v>2049</v>
      </c>
      <c r="B195" s="422" t="s">
        <v>412</v>
      </c>
      <c r="C195" s="422" t="s">
        <v>413</v>
      </c>
      <c r="D195" s="422" t="s">
        <v>414</v>
      </c>
      <c r="E195" s="422" t="s">
        <v>2039</v>
      </c>
      <c r="F195" s="428">
        <v>0.7</v>
      </c>
      <c r="G195" s="418">
        <v>66</v>
      </c>
      <c r="H195" s="427">
        <v>70</v>
      </c>
      <c r="I195" s="422" t="s">
        <v>2040</v>
      </c>
    </row>
    <row r="196" spans="1:9" x14ac:dyDescent="0.2">
      <c r="A196" s="422" t="s">
        <v>549</v>
      </c>
      <c r="B196" s="422" t="s">
        <v>412</v>
      </c>
      <c r="C196" s="422" t="s">
        <v>427</v>
      </c>
      <c r="D196" s="422" t="s">
        <v>423</v>
      </c>
      <c r="E196" s="422" t="s">
        <v>429</v>
      </c>
      <c r="F196" s="428">
        <v>0.75</v>
      </c>
      <c r="G196" s="418">
        <v>56</v>
      </c>
      <c r="H196" s="427">
        <v>70</v>
      </c>
      <c r="I196" s="422" t="s">
        <v>550</v>
      </c>
    </row>
    <row r="197" spans="1:9" x14ac:dyDescent="0.2">
      <c r="A197" s="415" t="s">
        <v>1930</v>
      </c>
      <c r="B197" s="422" t="s">
        <v>412</v>
      </c>
      <c r="C197" s="422" t="s">
        <v>1914</v>
      </c>
      <c r="D197" s="422" t="s">
        <v>414</v>
      </c>
      <c r="E197" s="415" t="s">
        <v>1188</v>
      </c>
      <c r="F197" s="428">
        <v>0.75</v>
      </c>
      <c r="G197" s="418">
        <v>65</v>
      </c>
      <c r="H197" s="427">
        <v>69</v>
      </c>
      <c r="I197" s="415" t="s">
        <v>1931</v>
      </c>
    </row>
    <row r="198" spans="1:9" x14ac:dyDescent="0.2">
      <c r="A198" s="422" t="s">
        <v>1178</v>
      </c>
      <c r="B198" s="422" t="s">
        <v>412</v>
      </c>
      <c r="C198" s="422" t="s">
        <v>427</v>
      </c>
      <c r="D198" s="422" t="s">
        <v>423</v>
      </c>
      <c r="E198" s="422" t="s">
        <v>1156</v>
      </c>
      <c r="F198" s="428">
        <v>0.75</v>
      </c>
      <c r="G198" s="418">
        <v>56</v>
      </c>
      <c r="H198" s="427">
        <v>70</v>
      </c>
      <c r="I198" s="422" t="s">
        <v>1179</v>
      </c>
    </row>
    <row r="199" spans="1:9" x14ac:dyDescent="0.2">
      <c r="A199" s="422" t="s">
        <v>1083</v>
      </c>
      <c r="B199" s="422" t="s">
        <v>412</v>
      </c>
      <c r="C199" s="422" t="s">
        <v>875</v>
      </c>
      <c r="D199" s="422" t="s">
        <v>421</v>
      </c>
      <c r="E199" s="422" t="s">
        <v>414</v>
      </c>
      <c r="F199" s="428">
        <v>0.76500000000000001</v>
      </c>
      <c r="G199" s="418">
        <v>58</v>
      </c>
      <c r="H199" s="427">
        <v>66</v>
      </c>
      <c r="I199" s="422" t="s">
        <v>1145</v>
      </c>
    </row>
    <row r="200" spans="1:9" x14ac:dyDescent="0.2">
      <c r="A200" s="422" t="s">
        <v>2119</v>
      </c>
      <c r="B200" s="422" t="s">
        <v>412</v>
      </c>
      <c r="C200" s="422" t="s">
        <v>413</v>
      </c>
      <c r="D200" s="422"/>
      <c r="E200" s="422"/>
      <c r="F200" s="428"/>
      <c r="G200" s="418"/>
      <c r="H200" s="427"/>
      <c r="I200" s="422" t="s">
        <v>2074</v>
      </c>
    </row>
    <row r="201" spans="1:9" x14ac:dyDescent="0.2">
      <c r="A201" s="415" t="s">
        <v>1610</v>
      </c>
      <c r="B201" s="415" t="s">
        <v>412</v>
      </c>
      <c r="C201" s="415" t="s">
        <v>1563</v>
      </c>
      <c r="D201" s="415" t="s">
        <v>417</v>
      </c>
      <c r="E201" s="415" t="s">
        <v>1611</v>
      </c>
      <c r="F201" s="426">
        <v>0.73</v>
      </c>
      <c r="G201" s="418">
        <v>55</v>
      </c>
      <c r="H201" s="427">
        <v>65</v>
      </c>
      <c r="I201" s="415" t="s">
        <v>1612</v>
      </c>
    </row>
    <row r="202" spans="1:9" x14ac:dyDescent="0.2">
      <c r="A202" s="415" t="s">
        <v>1613</v>
      </c>
      <c r="B202" s="415" t="s">
        <v>412</v>
      </c>
      <c r="C202" s="415" t="s">
        <v>1563</v>
      </c>
      <c r="D202" s="415" t="s">
        <v>428</v>
      </c>
      <c r="E202" s="415" t="s">
        <v>1156</v>
      </c>
      <c r="F202" s="426">
        <v>0.75</v>
      </c>
      <c r="G202" s="418">
        <v>46</v>
      </c>
      <c r="H202" s="427">
        <v>56</v>
      </c>
      <c r="I202" s="415" t="s">
        <v>1614</v>
      </c>
    </row>
    <row r="203" spans="1:9" x14ac:dyDescent="0.2">
      <c r="A203" s="415" t="s">
        <v>1615</v>
      </c>
      <c r="B203" s="415" t="s">
        <v>412</v>
      </c>
      <c r="C203" s="415" t="s">
        <v>1563</v>
      </c>
      <c r="D203" s="415" t="s">
        <v>414</v>
      </c>
      <c r="E203" s="415" t="s">
        <v>1176</v>
      </c>
      <c r="F203" s="426">
        <v>0.72</v>
      </c>
      <c r="G203" s="418">
        <v>50</v>
      </c>
      <c r="H203" s="427">
        <v>60</v>
      </c>
      <c r="I203" s="415" t="s">
        <v>1616</v>
      </c>
    </row>
    <row r="204" spans="1:9" x14ac:dyDescent="0.2">
      <c r="A204" s="415" t="s">
        <v>1617</v>
      </c>
      <c r="B204" s="415" t="s">
        <v>412</v>
      </c>
      <c r="C204" s="415" t="s">
        <v>1563</v>
      </c>
      <c r="D204" s="415" t="s">
        <v>414</v>
      </c>
      <c r="E204" s="415" t="s">
        <v>1611</v>
      </c>
      <c r="F204" s="426">
        <v>0.73</v>
      </c>
      <c r="G204" s="418">
        <v>52</v>
      </c>
      <c r="H204" s="427">
        <v>58</v>
      </c>
      <c r="I204" s="415" t="s">
        <v>1618</v>
      </c>
    </row>
    <row r="205" spans="1:9" x14ac:dyDescent="0.2">
      <c r="A205" s="422" t="s">
        <v>994</v>
      </c>
      <c r="B205" s="422" t="s">
        <v>412</v>
      </c>
      <c r="C205" s="422" t="s">
        <v>427</v>
      </c>
      <c r="D205" s="422"/>
      <c r="E205" s="422" t="s">
        <v>125</v>
      </c>
      <c r="F205" s="428"/>
      <c r="G205" s="418">
        <v>60</v>
      </c>
      <c r="H205" s="427">
        <v>95</v>
      </c>
      <c r="I205" s="422" t="s">
        <v>995</v>
      </c>
    </row>
    <row r="206" spans="1:9" x14ac:dyDescent="0.2">
      <c r="A206" s="422" t="s">
        <v>2094</v>
      </c>
      <c r="B206" s="422" t="s">
        <v>412</v>
      </c>
      <c r="C206" s="422" t="s">
        <v>413</v>
      </c>
      <c r="D206" s="422" t="s">
        <v>423</v>
      </c>
      <c r="E206" s="422"/>
      <c r="F206" s="428"/>
      <c r="G206" s="418"/>
      <c r="H206" s="427"/>
      <c r="I206" s="422" t="s">
        <v>2093</v>
      </c>
    </row>
    <row r="207" spans="1:9" x14ac:dyDescent="0.2">
      <c r="A207" s="422" t="s">
        <v>2095</v>
      </c>
      <c r="B207" s="422" t="s">
        <v>412</v>
      </c>
      <c r="C207" s="422" t="s">
        <v>413</v>
      </c>
      <c r="D207" s="422"/>
      <c r="E207" s="422"/>
      <c r="F207" s="428"/>
      <c r="G207" s="418"/>
      <c r="H207" s="427"/>
      <c r="I207" s="422" t="s">
        <v>2096</v>
      </c>
    </row>
    <row r="208" spans="1:9" x14ac:dyDescent="0.2">
      <c r="A208" s="422" t="s">
        <v>2098</v>
      </c>
      <c r="B208" s="422" t="s">
        <v>412</v>
      </c>
      <c r="C208" s="422" t="s">
        <v>413</v>
      </c>
      <c r="D208" s="422" t="s">
        <v>2089</v>
      </c>
      <c r="E208" s="422"/>
      <c r="F208" s="428"/>
      <c r="G208" s="418">
        <v>70</v>
      </c>
      <c r="H208" s="427">
        <v>75</v>
      </c>
      <c r="I208" s="422" t="s">
        <v>2099</v>
      </c>
    </row>
    <row r="209" spans="1:9" x14ac:dyDescent="0.2">
      <c r="A209" s="422" t="s">
        <v>2100</v>
      </c>
      <c r="B209" s="422" t="s">
        <v>412</v>
      </c>
      <c r="C209" s="422" t="s">
        <v>413</v>
      </c>
      <c r="D209" s="422"/>
      <c r="E209" s="422"/>
      <c r="F209" s="428"/>
      <c r="G209" s="418"/>
      <c r="H209" s="427"/>
      <c r="I209" s="422" t="s">
        <v>2101</v>
      </c>
    </row>
    <row r="210" spans="1:9" x14ac:dyDescent="0.2">
      <c r="A210" s="422" t="s">
        <v>2091</v>
      </c>
      <c r="B210" s="422" t="s">
        <v>412</v>
      </c>
      <c r="C210" s="422" t="s">
        <v>413</v>
      </c>
      <c r="D210" s="422"/>
      <c r="E210" s="422"/>
      <c r="F210" s="428"/>
      <c r="G210" s="418"/>
      <c r="H210" s="427"/>
      <c r="I210" s="422" t="s">
        <v>2092</v>
      </c>
    </row>
    <row r="211" spans="1:9" x14ac:dyDescent="0.2">
      <c r="A211" s="422" t="s">
        <v>2120</v>
      </c>
      <c r="B211" s="422" t="s">
        <v>412</v>
      </c>
      <c r="C211" s="422" t="s">
        <v>413</v>
      </c>
      <c r="D211" s="422" t="s">
        <v>423</v>
      </c>
      <c r="E211" s="422" t="s">
        <v>2069</v>
      </c>
      <c r="F211" s="428">
        <v>0.79</v>
      </c>
      <c r="G211" s="418">
        <v>66</v>
      </c>
      <c r="H211" s="427">
        <v>75</v>
      </c>
      <c r="I211" s="422" t="s">
        <v>2070</v>
      </c>
    </row>
    <row r="212" spans="1:9" x14ac:dyDescent="0.2">
      <c r="A212" s="422" t="s">
        <v>955</v>
      </c>
      <c r="B212" s="422" t="s">
        <v>412</v>
      </c>
      <c r="C212" s="422" t="s">
        <v>427</v>
      </c>
      <c r="D212" s="422" t="s">
        <v>423</v>
      </c>
      <c r="E212" s="422" t="s">
        <v>1180</v>
      </c>
      <c r="F212" s="428">
        <v>0.73</v>
      </c>
      <c r="G212" s="418">
        <v>64</v>
      </c>
      <c r="H212" s="427">
        <v>75</v>
      </c>
      <c r="I212" s="422" t="s">
        <v>1181</v>
      </c>
    </row>
    <row r="213" spans="1:9" x14ac:dyDescent="0.2">
      <c r="A213" s="422" t="s">
        <v>551</v>
      </c>
      <c r="B213" s="422" t="s">
        <v>412</v>
      </c>
      <c r="C213" s="422" t="s">
        <v>427</v>
      </c>
      <c r="D213" s="422" t="s">
        <v>428</v>
      </c>
      <c r="E213" s="422" t="s">
        <v>429</v>
      </c>
      <c r="F213" s="428">
        <v>0.75</v>
      </c>
      <c r="G213" s="418">
        <v>60</v>
      </c>
      <c r="H213" s="427">
        <v>72</v>
      </c>
      <c r="I213" s="422" t="s">
        <v>552</v>
      </c>
    </row>
    <row r="214" spans="1:9" x14ac:dyDescent="0.2">
      <c r="A214" s="422" t="s">
        <v>553</v>
      </c>
      <c r="B214" s="422" t="s">
        <v>412</v>
      </c>
      <c r="C214" s="422" t="s">
        <v>427</v>
      </c>
      <c r="D214" s="422" t="s">
        <v>421</v>
      </c>
      <c r="E214" s="422" t="s">
        <v>554</v>
      </c>
      <c r="F214" s="428">
        <v>0.73</v>
      </c>
      <c r="G214" s="418">
        <v>64</v>
      </c>
      <c r="H214" s="427">
        <v>74</v>
      </c>
      <c r="I214" s="422" t="s">
        <v>555</v>
      </c>
    </row>
    <row r="215" spans="1:9" x14ac:dyDescent="0.2">
      <c r="A215" s="422" t="s">
        <v>556</v>
      </c>
      <c r="B215" s="422" t="s">
        <v>412</v>
      </c>
      <c r="C215" s="422" t="s">
        <v>413</v>
      </c>
      <c r="D215" s="422" t="s">
        <v>414</v>
      </c>
      <c r="E215" s="422" t="s">
        <v>557</v>
      </c>
      <c r="F215" s="428">
        <v>0.71</v>
      </c>
      <c r="G215" s="418">
        <v>66</v>
      </c>
      <c r="H215" s="427">
        <v>71</v>
      </c>
      <c r="I215" s="422" t="s">
        <v>558</v>
      </c>
    </row>
    <row r="216" spans="1:9" x14ac:dyDescent="0.2">
      <c r="A216" s="422" t="s">
        <v>1975</v>
      </c>
      <c r="B216" s="422" t="s">
        <v>487</v>
      </c>
      <c r="C216" s="422" t="s">
        <v>860</v>
      </c>
      <c r="D216" s="422" t="s">
        <v>423</v>
      </c>
      <c r="E216" s="422" t="s">
        <v>414</v>
      </c>
      <c r="F216" s="428"/>
      <c r="G216" s="365">
        <v>65</v>
      </c>
      <c r="H216" s="429">
        <v>72</v>
      </c>
      <c r="I216" s="422" t="s">
        <v>1976</v>
      </c>
    </row>
    <row r="217" spans="1:9" x14ac:dyDescent="0.2">
      <c r="A217" s="422" t="s">
        <v>559</v>
      </c>
      <c r="B217" s="422" t="s">
        <v>412</v>
      </c>
      <c r="C217" s="422" t="s">
        <v>427</v>
      </c>
      <c r="D217" s="422" t="s">
        <v>421</v>
      </c>
      <c r="E217" s="422" t="s">
        <v>525</v>
      </c>
      <c r="F217" s="428">
        <v>0.69</v>
      </c>
      <c r="G217" s="365">
        <v>64</v>
      </c>
      <c r="H217" s="424">
        <v>72</v>
      </c>
      <c r="I217" s="422" t="s">
        <v>560</v>
      </c>
    </row>
    <row r="218" spans="1:9" x14ac:dyDescent="0.2">
      <c r="A218" s="422" t="s">
        <v>2024</v>
      </c>
      <c r="B218" s="422" t="s">
        <v>412</v>
      </c>
      <c r="C218" s="422" t="s">
        <v>413</v>
      </c>
      <c r="D218" s="422" t="s">
        <v>428</v>
      </c>
      <c r="E218" s="422" t="s">
        <v>2025</v>
      </c>
      <c r="F218" s="428">
        <v>0.78500000000000003</v>
      </c>
      <c r="G218" s="365">
        <v>64</v>
      </c>
      <c r="H218" s="429">
        <v>72</v>
      </c>
      <c r="I218" s="422" t="s">
        <v>2026</v>
      </c>
    </row>
    <row r="219" spans="1:9" x14ac:dyDescent="0.2">
      <c r="A219" s="422" t="s">
        <v>868</v>
      </c>
      <c r="B219" s="422" t="s">
        <v>412</v>
      </c>
      <c r="C219" s="422" t="s">
        <v>869</v>
      </c>
      <c r="D219" s="422" t="s">
        <v>421</v>
      </c>
      <c r="E219" s="422" t="s">
        <v>507</v>
      </c>
      <c r="F219" s="428">
        <v>0.75</v>
      </c>
      <c r="G219" s="418">
        <v>68</v>
      </c>
      <c r="H219" s="427">
        <v>75</v>
      </c>
      <c r="I219" s="422" t="s">
        <v>870</v>
      </c>
    </row>
    <row r="220" spans="1:9" x14ac:dyDescent="0.2">
      <c r="A220" s="422" t="s">
        <v>2097</v>
      </c>
      <c r="B220" s="422" t="s">
        <v>412</v>
      </c>
      <c r="C220" s="422" t="s">
        <v>413</v>
      </c>
      <c r="D220" s="422"/>
      <c r="E220" s="422"/>
      <c r="F220" s="428"/>
      <c r="G220" s="418"/>
      <c r="H220" s="427"/>
      <c r="I220" s="422"/>
    </row>
    <row r="221" spans="1:9" x14ac:dyDescent="0.2">
      <c r="A221" s="422" t="s">
        <v>1049</v>
      </c>
      <c r="B221" s="422" t="s">
        <v>412</v>
      </c>
      <c r="C221" s="422" t="s">
        <v>413</v>
      </c>
      <c r="D221" s="422" t="s">
        <v>417</v>
      </c>
      <c r="E221" s="422" t="s">
        <v>414</v>
      </c>
      <c r="F221" s="428">
        <v>0.72</v>
      </c>
      <c r="G221" s="418">
        <v>65</v>
      </c>
      <c r="H221" s="427">
        <v>70</v>
      </c>
      <c r="I221" s="422" t="s">
        <v>1050</v>
      </c>
    </row>
    <row r="222" spans="1:9" x14ac:dyDescent="0.2">
      <c r="A222" s="422" t="s">
        <v>2066</v>
      </c>
      <c r="B222" s="422" t="s">
        <v>412</v>
      </c>
      <c r="C222" s="422" t="s">
        <v>413</v>
      </c>
      <c r="D222" s="422" t="s">
        <v>423</v>
      </c>
      <c r="E222" s="422" t="s">
        <v>2067</v>
      </c>
      <c r="F222" s="428">
        <v>0.67500000000000004</v>
      </c>
      <c r="G222" s="418">
        <v>65</v>
      </c>
      <c r="H222" s="427">
        <v>75</v>
      </c>
      <c r="I222" s="422" t="s">
        <v>2068</v>
      </c>
    </row>
    <row r="223" spans="1:9" x14ac:dyDescent="0.2">
      <c r="A223" s="422" t="s">
        <v>2121</v>
      </c>
      <c r="B223" s="422" t="s">
        <v>412</v>
      </c>
      <c r="C223" s="422" t="s">
        <v>413</v>
      </c>
      <c r="D223" s="422" t="s">
        <v>414</v>
      </c>
      <c r="E223" s="422" t="s">
        <v>1171</v>
      </c>
      <c r="F223" s="428">
        <v>0.76</v>
      </c>
      <c r="G223" s="418"/>
      <c r="H223" s="427"/>
      <c r="I223" s="422" t="s">
        <v>2043</v>
      </c>
    </row>
    <row r="224" spans="1:9" x14ac:dyDescent="0.2">
      <c r="A224" s="422" t="s">
        <v>906</v>
      </c>
      <c r="B224" s="422" t="s">
        <v>412</v>
      </c>
      <c r="C224" s="422" t="s">
        <v>413</v>
      </c>
      <c r="D224" s="422" t="s">
        <v>414</v>
      </c>
      <c r="E224" s="422" t="s">
        <v>907</v>
      </c>
      <c r="F224" s="428">
        <v>0.74</v>
      </c>
      <c r="G224" s="418">
        <v>50</v>
      </c>
      <c r="H224" s="427">
        <v>55</v>
      </c>
      <c r="I224" s="422" t="s">
        <v>908</v>
      </c>
    </row>
    <row r="225" spans="1:9" x14ac:dyDescent="0.2">
      <c r="A225" s="422" t="s">
        <v>2062</v>
      </c>
      <c r="B225" s="422" t="s">
        <v>412</v>
      </c>
      <c r="C225" s="422" t="s">
        <v>413</v>
      </c>
      <c r="D225" s="422" t="s">
        <v>428</v>
      </c>
      <c r="E225" s="422" t="s">
        <v>1191</v>
      </c>
      <c r="F225" s="428">
        <v>0.77500000000000002</v>
      </c>
      <c r="G225" s="418">
        <v>65</v>
      </c>
      <c r="H225" s="427">
        <v>72</v>
      </c>
      <c r="I225" s="422" t="s">
        <v>2063</v>
      </c>
    </row>
    <row r="226" spans="1:9" x14ac:dyDescent="0.2">
      <c r="A226" s="415" t="s">
        <v>1977</v>
      </c>
      <c r="B226" s="422" t="s">
        <v>487</v>
      </c>
      <c r="C226" s="422" t="s">
        <v>860</v>
      </c>
      <c r="D226" s="422" t="s">
        <v>423</v>
      </c>
      <c r="E226" s="422" t="s">
        <v>1978</v>
      </c>
      <c r="F226" s="428"/>
      <c r="G226" s="418">
        <v>63</v>
      </c>
      <c r="H226" s="427">
        <v>72</v>
      </c>
      <c r="I226" s="422" t="s">
        <v>1979</v>
      </c>
    </row>
    <row r="227" spans="1:9" x14ac:dyDescent="0.2">
      <c r="A227" s="422" t="s">
        <v>1053</v>
      </c>
      <c r="B227" s="422" t="s">
        <v>412</v>
      </c>
      <c r="C227" s="422" t="s">
        <v>875</v>
      </c>
      <c r="D227" s="422" t="s">
        <v>414</v>
      </c>
      <c r="E227" s="422" t="s">
        <v>414</v>
      </c>
      <c r="F227" s="428"/>
      <c r="G227" s="418">
        <v>46</v>
      </c>
      <c r="H227" s="427">
        <v>54</v>
      </c>
      <c r="I227" s="422" t="s">
        <v>1054</v>
      </c>
    </row>
    <row r="228" spans="1:9" x14ac:dyDescent="0.2">
      <c r="A228" s="422" t="s">
        <v>909</v>
      </c>
      <c r="B228" s="422" t="s">
        <v>412</v>
      </c>
      <c r="C228" s="422" t="s">
        <v>413</v>
      </c>
      <c r="D228" s="422" t="s">
        <v>414</v>
      </c>
      <c r="E228" s="422" t="s">
        <v>414</v>
      </c>
      <c r="F228" s="428">
        <v>0.7</v>
      </c>
      <c r="G228" s="418">
        <v>48</v>
      </c>
      <c r="H228" s="427">
        <v>52</v>
      </c>
      <c r="I228" s="422" t="s">
        <v>910</v>
      </c>
    </row>
    <row r="229" spans="1:9" x14ac:dyDescent="0.2">
      <c r="A229" s="422" t="s">
        <v>1011</v>
      </c>
      <c r="B229" s="422" t="s">
        <v>412</v>
      </c>
      <c r="C229" s="422" t="s">
        <v>427</v>
      </c>
      <c r="D229" s="422" t="s">
        <v>414</v>
      </c>
      <c r="E229" s="422" t="s">
        <v>1012</v>
      </c>
      <c r="F229" s="428">
        <v>0.72</v>
      </c>
      <c r="G229" s="418">
        <v>48</v>
      </c>
      <c r="H229" s="427">
        <v>56</v>
      </c>
      <c r="I229" s="422" t="s">
        <v>1013</v>
      </c>
    </row>
    <row r="230" spans="1:9" x14ac:dyDescent="0.2">
      <c r="A230" s="422" t="s">
        <v>1014</v>
      </c>
      <c r="B230" s="422" t="s">
        <v>412</v>
      </c>
      <c r="C230" s="422" t="s">
        <v>427</v>
      </c>
      <c r="D230" s="422" t="s">
        <v>414</v>
      </c>
      <c r="E230" s="422" t="s">
        <v>1182</v>
      </c>
      <c r="F230" s="428">
        <v>0.73</v>
      </c>
      <c r="G230" s="418">
        <v>52</v>
      </c>
      <c r="H230" s="427">
        <v>62</v>
      </c>
      <c r="I230" s="422" t="s">
        <v>1015</v>
      </c>
    </row>
    <row r="231" spans="1:9" x14ac:dyDescent="0.2">
      <c r="A231" s="415" t="s">
        <v>1219</v>
      </c>
      <c r="B231" s="422" t="s">
        <v>487</v>
      </c>
      <c r="C231" s="422" t="s">
        <v>860</v>
      </c>
      <c r="D231" s="422" t="s">
        <v>1088</v>
      </c>
      <c r="E231" s="422" t="s">
        <v>414</v>
      </c>
      <c r="F231" s="428">
        <v>0.7</v>
      </c>
      <c r="G231" s="418">
        <v>63</v>
      </c>
      <c r="H231" s="427">
        <v>72</v>
      </c>
      <c r="I231" s="422" t="s">
        <v>1089</v>
      </c>
    </row>
    <row r="232" spans="1:9" x14ac:dyDescent="0.2">
      <c r="A232" s="422" t="s">
        <v>561</v>
      </c>
      <c r="B232" s="422" t="s">
        <v>487</v>
      </c>
      <c r="C232" s="422" t="s">
        <v>562</v>
      </c>
      <c r="D232" s="422" t="s">
        <v>421</v>
      </c>
      <c r="E232" s="422" t="s">
        <v>421</v>
      </c>
      <c r="F232" s="428"/>
      <c r="G232" s="418">
        <v>57</v>
      </c>
      <c r="H232" s="427">
        <v>77</v>
      </c>
      <c r="I232" s="422" t="s">
        <v>563</v>
      </c>
    </row>
    <row r="233" spans="1:9" x14ac:dyDescent="0.2">
      <c r="A233" s="422" t="s">
        <v>564</v>
      </c>
      <c r="B233" s="422" t="s">
        <v>487</v>
      </c>
      <c r="C233" s="422" t="s">
        <v>562</v>
      </c>
      <c r="D233" s="422" t="s">
        <v>421</v>
      </c>
      <c r="E233" s="422" t="s">
        <v>421</v>
      </c>
      <c r="F233" s="428"/>
      <c r="G233" s="418">
        <v>57</v>
      </c>
      <c r="H233" s="427">
        <v>77</v>
      </c>
      <c r="I233" s="422" t="s">
        <v>565</v>
      </c>
    </row>
    <row r="234" spans="1:9" x14ac:dyDescent="0.2">
      <c r="A234" s="422" t="s">
        <v>871</v>
      </c>
      <c r="B234" s="422" t="s">
        <v>412</v>
      </c>
      <c r="C234" s="422" t="s">
        <v>413</v>
      </c>
      <c r="D234" s="422" t="s">
        <v>414</v>
      </c>
      <c r="E234" s="422" t="s">
        <v>872</v>
      </c>
      <c r="F234" s="428">
        <v>0.80500000000000005</v>
      </c>
      <c r="G234" s="418">
        <v>76</v>
      </c>
      <c r="H234" s="427">
        <v>85</v>
      </c>
      <c r="I234" s="422" t="s">
        <v>873</v>
      </c>
    </row>
    <row r="235" spans="1:9" x14ac:dyDescent="0.2">
      <c r="A235" s="422" t="s">
        <v>1980</v>
      </c>
      <c r="B235" s="422" t="s">
        <v>487</v>
      </c>
      <c r="C235" s="422" t="s">
        <v>860</v>
      </c>
      <c r="D235" s="422" t="s">
        <v>414</v>
      </c>
      <c r="E235" s="422"/>
      <c r="F235" s="428" t="s">
        <v>414</v>
      </c>
      <c r="G235" s="418">
        <v>59</v>
      </c>
      <c r="H235" s="427">
        <v>72</v>
      </c>
      <c r="I235" s="422" t="s">
        <v>1981</v>
      </c>
    </row>
    <row r="236" spans="1:9" x14ac:dyDescent="0.2">
      <c r="A236" s="422" t="s">
        <v>2078</v>
      </c>
      <c r="B236" s="422" t="s">
        <v>412</v>
      </c>
      <c r="C236" s="422" t="s">
        <v>413</v>
      </c>
      <c r="D236" s="422" t="s">
        <v>428</v>
      </c>
      <c r="E236" s="422" t="s">
        <v>2079</v>
      </c>
      <c r="F236" s="428">
        <v>0.7</v>
      </c>
      <c r="G236" s="418"/>
      <c r="H236" s="427"/>
      <c r="I236" s="422" t="s">
        <v>2080</v>
      </c>
    </row>
    <row r="237" spans="1:9" x14ac:dyDescent="0.2">
      <c r="A237" s="422" t="s">
        <v>1029</v>
      </c>
      <c r="B237" s="422" t="s">
        <v>487</v>
      </c>
      <c r="C237" s="422" t="s">
        <v>887</v>
      </c>
      <c r="D237" s="422" t="s">
        <v>414</v>
      </c>
      <c r="E237" s="422" t="s">
        <v>414</v>
      </c>
      <c r="F237" s="428"/>
      <c r="G237" s="418">
        <v>64</v>
      </c>
      <c r="H237" s="427">
        <v>72</v>
      </c>
      <c r="I237" s="422" t="s">
        <v>1030</v>
      </c>
    </row>
    <row r="238" spans="1:9" x14ac:dyDescent="0.2">
      <c r="A238" s="422" t="s">
        <v>911</v>
      </c>
      <c r="B238" s="422" t="s">
        <v>412</v>
      </c>
      <c r="C238" s="422" t="s">
        <v>427</v>
      </c>
      <c r="D238" s="422" t="s">
        <v>421</v>
      </c>
      <c r="E238" s="422" t="s">
        <v>1180</v>
      </c>
      <c r="F238" s="428">
        <v>0.73</v>
      </c>
      <c r="G238" s="418">
        <v>52</v>
      </c>
      <c r="H238" s="427">
        <v>58</v>
      </c>
      <c r="I238" s="422" t="s">
        <v>1183</v>
      </c>
    </row>
    <row r="239" spans="1:9" x14ac:dyDescent="0.2">
      <c r="A239" s="422" t="s">
        <v>1063</v>
      </c>
      <c r="B239" s="422" t="s">
        <v>412</v>
      </c>
      <c r="C239" s="422" t="s">
        <v>420</v>
      </c>
      <c r="D239" s="422" t="s">
        <v>423</v>
      </c>
      <c r="E239" s="422" t="s">
        <v>421</v>
      </c>
      <c r="F239" s="428"/>
      <c r="G239" s="418">
        <v>68</v>
      </c>
      <c r="H239" s="427">
        <v>72</v>
      </c>
      <c r="I239" s="422" t="s">
        <v>1064</v>
      </c>
    </row>
    <row r="240" spans="1:9" x14ac:dyDescent="0.2">
      <c r="A240" s="422" t="s">
        <v>874</v>
      </c>
      <c r="B240" s="422" t="s">
        <v>412</v>
      </c>
      <c r="C240" s="422" t="s">
        <v>875</v>
      </c>
      <c r="D240" s="422" t="s">
        <v>421</v>
      </c>
      <c r="E240" s="422" t="s">
        <v>421</v>
      </c>
      <c r="F240" s="428"/>
      <c r="G240" s="418">
        <v>65</v>
      </c>
      <c r="H240" s="427">
        <v>70</v>
      </c>
      <c r="I240" s="422" t="s">
        <v>876</v>
      </c>
    </row>
    <row r="241" spans="1:9" x14ac:dyDescent="0.2">
      <c r="A241" s="422" t="s">
        <v>566</v>
      </c>
      <c r="B241" s="422" t="s">
        <v>412</v>
      </c>
      <c r="C241" s="422" t="s">
        <v>427</v>
      </c>
      <c r="D241" s="422" t="s">
        <v>421</v>
      </c>
      <c r="E241" s="422" t="s">
        <v>525</v>
      </c>
      <c r="F241" s="428">
        <v>0.69</v>
      </c>
      <c r="G241" s="418">
        <v>65</v>
      </c>
      <c r="H241" s="427">
        <v>75</v>
      </c>
      <c r="I241" s="422" t="s">
        <v>567</v>
      </c>
    </row>
    <row r="242" spans="1:9" x14ac:dyDescent="0.2">
      <c r="A242" s="422" t="s">
        <v>568</v>
      </c>
      <c r="B242" s="422" t="s">
        <v>487</v>
      </c>
      <c r="C242" s="422" t="s">
        <v>860</v>
      </c>
      <c r="D242" s="422" t="s">
        <v>421</v>
      </c>
      <c r="E242" s="422" t="s">
        <v>421</v>
      </c>
      <c r="F242" s="428">
        <v>0.75</v>
      </c>
      <c r="G242" s="418">
        <v>50</v>
      </c>
      <c r="H242" s="427">
        <v>72</v>
      </c>
      <c r="I242" s="422" t="s">
        <v>569</v>
      </c>
    </row>
    <row r="243" spans="1:9" x14ac:dyDescent="0.2">
      <c r="A243" s="422" t="s">
        <v>2452</v>
      </c>
      <c r="B243" s="422" t="s">
        <v>487</v>
      </c>
      <c r="C243" s="422" t="s">
        <v>860</v>
      </c>
      <c r="D243" s="422" t="s">
        <v>414</v>
      </c>
      <c r="E243" s="422" t="s">
        <v>2453</v>
      </c>
      <c r="F243" s="428">
        <v>0.81</v>
      </c>
      <c r="G243" s="418">
        <v>50</v>
      </c>
      <c r="H243" s="427">
        <v>68</v>
      </c>
      <c r="I243" s="422"/>
    </row>
    <row r="244" spans="1:9" x14ac:dyDescent="0.2">
      <c r="A244" s="422" t="s">
        <v>1077</v>
      </c>
      <c r="B244" s="422" t="s">
        <v>412</v>
      </c>
      <c r="C244" s="422" t="s">
        <v>427</v>
      </c>
      <c r="D244" s="422" t="s">
        <v>428</v>
      </c>
      <c r="E244" s="422" t="s">
        <v>429</v>
      </c>
      <c r="F244" s="428">
        <v>0.75</v>
      </c>
      <c r="G244" s="418">
        <v>48</v>
      </c>
      <c r="H244" s="427">
        <v>58</v>
      </c>
      <c r="I244" s="422" t="s">
        <v>1078</v>
      </c>
    </row>
    <row r="245" spans="1:9" x14ac:dyDescent="0.2">
      <c r="A245" s="422" t="s">
        <v>1079</v>
      </c>
      <c r="B245" s="422" t="s">
        <v>412</v>
      </c>
      <c r="C245" s="422" t="s">
        <v>413</v>
      </c>
      <c r="D245" s="422" t="s">
        <v>414</v>
      </c>
      <c r="E245" s="422" t="s">
        <v>1080</v>
      </c>
      <c r="F245" s="428">
        <v>0.69</v>
      </c>
      <c r="G245" s="418">
        <v>52</v>
      </c>
      <c r="H245" s="427">
        <v>58</v>
      </c>
      <c r="I245" s="422" t="s">
        <v>1081</v>
      </c>
    </row>
    <row r="246" spans="1:9" x14ac:dyDescent="0.2">
      <c r="A246" s="422" t="s">
        <v>1016</v>
      </c>
      <c r="B246" s="422" t="s">
        <v>412</v>
      </c>
      <c r="C246" s="422" t="s">
        <v>413</v>
      </c>
      <c r="D246" s="422" t="s">
        <v>414</v>
      </c>
      <c r="E246" s="422" t="s">
        <v>1017</v>
      </c>
      <c r="F246" s="428">
        <v>0.69</v>
      </c>
      <c r="G246" s="418">
        <v>50</v>
      </c>
      <c r="H246" s="427">
        <v>55</v>
      </c>
      <c r="I246" s="422" t="s">
        <v>1018</v>
      </c>
    </row>
    <row r="247" spans="1:9" x14ac:dyDescent="0.2">
      <c r="A247" s="422" t="s">
        <v>877</v>
      </c>
      <c r="B247" s="422" t="s">
        <v>412</v>
      </c>
      <c r="C247" s="422" t="s">
        <v>875</v>
      </c>
      <c r="D247" s="422" t="s">
        <v>421</v>
      </c>
      <c r="E247" s="422" t="s">
        <v>423</v>
      </c>
      <c r="F247" s="428">
        <v>0.76</v>
      </c>
      <c r="G247" s="418">
        <v>60</v>
      </c>
      <c r="H247" s="427">
        <v>68</v>
      </c>
      <c r="I247" s="422" t="s">
        <v>1140</v>
      </c>
    </row>
    <row r="248" spans="1:9" x14ac:dyDescent="0.2">
      <c r="A248" s="422" t="s">
        <v>878</v>
      </c>
      <c r="B248" s="422" t="s">
        <v>412</v>
      </c>
      <c r="C248" s="422" t="s">
        <v>875</v>
      </c>
      <c r="D248" s="422" t="s">
        <v>414</v>
      </c>
      <c r="E248" s="422" t="s">
        <v>414</v>
      </c>
      <c r="F248" s="428"/>
      <c r="G248" s="418">
        <v>58</v>
      </c>
      <c r="H248" s="427">
        <v>68</v>
      </c>
      <c r="I248" s="422" t="s">
        <v>879</v>
      </c>
    </row>
    <row r="249" spans="1:9" x14ac:dyDescent="0.2">
      <c r="A249" s="422" t="s">
        <v>880</v>
      </c>
      <c r="B249" s="422" t="s">
        <v>412</v>
      </c>
      <c r="C249" s="415" t="s">
        <v>413</v>
      </c>
      <c r="D249" s="422" t="s">
        <v>414</v>
      </c>
      <c r="E249" s="422" t="s">
        <v>414</v>
      </c>
      <c r="F249" s="428"/>
      <c r="G249" s="418">
        <v>66</v>
      </c>
      <c r="H249" s="427">
        <v>70</v>
      </c>
      <c r="I249" s="422" t="s">
        <v>881</v>
      </c>
    </row>
    <row r="250" spans="1:9" x14ac:dyDescent="0.2">
      <c r="A250" s="422" t="s">
        <v>2065</v>
      </c>
      <c r="B250" s="422" t="s">
        <v>412</v>
      </c>
      <c r="C250" s="415" t="s">
        <v>413</v>
      </c>
      <c r="D250" s="422" t="s">
        <v>417</v>
      </c>
      <c r="E250" s="422" t="s">
        <v>1939</v>
      </c>
      <c r="F250" s="428">
        <v>0.75</v>
      </c>
      <c r="G250" s="418">
        <v>77</v>
      </c>
      <c r="H250" s="427">
        <v>95</v>
      </c>
      <c r="I250" s="422" t="s">
        <v>2064</v>
      </c>
    </row>
    <row r="251" spans="1:9" x14ac:dyDescent="0.2">
      <c r="A251" s="422" t="s">
        <v>996</v>
      </c>
      <c r="B251" s="422" t="s">
        <v>412</v>
      </c>
      <c r="C251" s="422" t="s">
        <v>875</v>
      </c>
      <c r="D251" s="422"/>
      <c r="E251" s="422" t="s">
        <v>414</v>
      </c>
      <c r="F251" s="428"/>
      <c r="G251" s="418">
        <v>68</v>
      </c>
      <c r="H251" s="427">
        <v>74</v>
      </c>
      <c r="I251" s="422" t="s">
        <v>997</v>
      </c>
    </row>
    <row r="252" spans="1:9" x14ac:dyDescent="0.2">
      <c r="A252" s="422" t="s">
        <v>570</v>
      </c>
      <c r="B252" s="422" t="s">
        <v>412</v>
      </c>
      <c r="C252" s="422" t="s">
        <v>413</v>
      </c>
      <c r="D252" s="422" t="s">
        <v>421</v>
      </c>
      <c r="E252" s="422" t="s">
        <v>527</v>
      </c>
      <c r="F252" s="428">
        <v>0.67500000000000004</v>
      </c>
      <c r="G252" s="418">
        <v>65</v>
      </c>
      <c r="H252" s="427">
        <v>68</v>
      </c>
      <c r="I252" s="422" t="s">
        <v>571</v>
      </c>
    </row>
    <row r="253" spans="1:9" x14ac:dyDescent="0.2">
      <c r="A253" s="422" t="s">
        <v>998</v>
      </c>
      <c r="B253" s="422" t="s">
        <v>412</v>
      </c>
      <c r="C253" s="422" t="s">
        <v>427</v>
      </c>
      <c r="D253" s="422"/>
      <c r="E253" s="422" t="s">
        <v>125</v>
      </c>
      <c r="F253" s="428"/>
      <c r="G253" s="418">
        <v>60</v>
      </c>
      <c r="H253" s="427">
        <v>95</v>
      </c>
      <c r="I253" s="422" t="s">
        <v>995</v>
      </c>
    </row>
    <row r="254" spans="1:9" x14ac:dyDescent="0.2">
      <c r="A254" s="422" t="s">
        <v>2088</v>
      </c>
      <c r="B254" s="422" t="s">
        <v>412</v>
      </c>
      <c r="C254" s="422" t="s">
        <v>413</v>
      </c>
      <c r="D254" s="422" t="s">
        <v>2089</v>
      </c>
      <c r="E254" s="422"/>
      <c r="F254" s="428"/>
      <c r="G254" s="418"/>
      <c r="H254" s="427"/>
      <c r="I254" s="422" t="s">
        <v>2090</v>
      </c>
    </row>
    <row r="255" spans="1:9" x14ac:dyDescent="0.2">
      <c r="A255" s="422" t="s">
        <v>2423</v>
      </c>
      <c r="B255" s="422" t="s">
        <v>412</v>
      </c>
      <c r="C255" s="422" t="s">
        <v>1914</v>
      </c>
      <c r="D255" s="422" t="s">
        <v>1978</v>
      </c>
      <c r="E255" s="422" t="s">
        <v>1587</v>
      </c>
      <c r="F255" s="428">
        <v>0.74</v>
      </c>
      <c r="G255" s="418">
        <v>48</v>
      </c>
      <c r="H255" s="427">
        <v>56</v>
      </c>
      <c r="I255" s="422" t="s">
        <v>2425</v>
      </c>
    </row>
    <row r="256" spans="1:9" x14ac:dyDescent="0.2">
      <c r="A256" s="422" t="s">
        <v>1065</v>
      </c>
      <c r="B256" s="422" t="s">
        <v>412</v>
      </c>
      <c r="C256" s="422" t="s">
        <v>427</v>
      </c>
      <c r="D256" s="422" t="s">
        <v>414</v>
      </c>
      <c r="E256" s="422" t="s">
        <v>554</v>
      </c>
      <c r="F256" s="428">
        <v>0.73</v>
      </c>
      <c r="G256" s="418">
        <v>48</v>
      </c>
      <c r="H256" s="427">
        <v>56</v>
      </c>
      <c r="I256" s="422" t="s">
        <v>1066</v>
      </c>
    </row>
    <row r="257" spans="1:9" x14ac:dyDescent="0.2">
      <c r="A257" s="422" t="s">
        <v>1067</v>
      </c>
      <c r="B257" s="422" t="s">
        <v>412</v>
      </c>
      <c r="C257" s="422" t="s">
        <v>413</v>
      </c>
      <c r="D257" s="422" t="s">
        <v>417</v>
      </c>
      <c r="E257" s="422" t="s">
        <v>1068</v>
      </c>
      <c r="F257" s="428">
        <v>0.745</v>
      </c>
      <c r="G257" s="418">
        <v>50</v>
      </c>
      <c r="H257" s="427">
        <v>55</v>
      </c>
      <c r="I257" s="422" t="s">
        <v>1069</v>
      </c>
    </row>
    <row r="258" spans="1:9" x14ac:dyDescent="0.2">
      <c r="A258" s="422" t="s">
        <v>2035</v>
      </c>
      <c r="B258" s="422" t="s">
        <v>412</v>
      </c>
      <c r="C258" s="422" t="s">
        <v>413</v>
      </c>
      <c r="D258" s="422" t="s">
        <v>414</v>
      </c>
      <c r="E258" s="422" t="s">
        <v>424</v>
      </c>
      <c r="F258" s="428">
        <v>0.72499999999999998</v>
      </c>
      <c r="G258" s="418">
        <v>67</v>
      </c>
      <c r="H258" s="427">
        <v>70</v>
      </c>
      <c r="I258" s="422" t="s">
        <v>2036</v>
      </c>
    </row>
    <row r="259" spans="1:9" x14ac:dyDescent="0.2">
      <c r="A259" s="422" t="s">
        <v>912</v>
      </c>
      <c r="B259" s="422" t="s">
        <v>412</v>
      </c>
      <c r="C259" s="422" t="s">
        <v>427</v>
      </c>
      <c r="D259" s="422" t="s">
        <v>423</v>
      </c>
      <c r="E259" s="422" t="s">
        <v>414</v>
      </c>
      <c r="F259" s="428"/>
      <c r="G259" s="418">
        <v>48</v>
      </c>
      <c r="H259" s="427">
        <v>68</v>
      </c>
      <c r="I259" s="422" t="s">
        <v>913</v>
      </c>
    </row>
    <row r="260" spans="1:9" x14ac:dyDescent="0.2">
      <c r="A260" s="422" t="s">
        <v>572</v>
      </c>
      <c r="B260" s="422" t="s">
        <v>412</v>
      </c>
      <c r="C260" s="422" t="s">
        <v>427</v>
      </c>
      <c r="D260" s="422" t="s">
        <v>421</v>
      </c>
      <c r="E260" s="422" t="s">
        <v>521</v>
      </c>
      <c r="F260" s="428">
        <v>0.7</v>
      </c>
      <c r="G260" s="418">
        <v>64</v>
      </c>
      <c r="H260" s="427">
        <v>74</v>
      </c>
      <c r="I260" s="422" t="s">
        <v>573</v>
      </c>
    </row>
    <row r="261" spans="1:9" x14ac:dyDescent="0.2">
      <c r="A261" s="422" t="s">
        <v>914</v>
      </c>
      <c r="B261" s="422" t="s">
        <v>412</v>
      </c>
      <c r="C261" s="422" t="s">
        <v>427</v>
      </c>
      <c r="D261" s="422" t="s">
        <v>417</v>
      </c>
      <c r="E261" s="422" t="s">
        <v>1176</v>
      </c>
      <c r="F261" s="428">
        <v>0.72</v>
      </c>
      <c r="G261" s="418">
        <v>48</v>
      </c>
      <c r="H261" s="427">
        <v>56</v>
      </c>
      <c r="I261" s="422" t="s">
        <v>1184</v>
      </c>
    </row>
    <row r="262" spans="1:9" x14ac:dyDescent="0.2">
      <c r="A262" s="422" t="s">
        <v>999</v>
      </c>
      <c r="B262" s="422" t="s">
        <v>412</v>
      </c>
      <c r="C262" s="422" t="s">
        <v>427</v>
      </c>
      <c r="D262" s="422" t="s">
        <v>126</v>
      </c>
      <c r="E262" s="422" t="s">
        <v>1185</v>
      </c>
      <c r="F262" s="428">
        <v>0.8</v>
      </c>
      <c r="G262" s="418">
        <v>65</v>
      </c>
      <c r="H262" s="427">
        <v>85</v>
      </c>
      <c r="I262" s="422" t="s">
        <v>1186</v>
      </c>
    </row>
    <row r="263" spans="1:9" x14ac:dyDescent="0.2">
      <c r="A263" s="422" t="s">
        <v>2085</v>
      </c>
      <c r="B263" s="422" t="s">
        <v>412</v>
      </c>
      <c r="C263" s="422" t="s">
        <v>413</v>
      </c>
      <c r="D263" s="422" t="s">
        <v>423</v>
      </c>
      <c r="E263" s="422">
        <v>85</v>
      </c>
      <c r="F263" s="428">
        <v>0.85</v>
      </c>
      <c r="G263" s="418">
        <v>70</v>
      </c>
      <c r="H263" s="427">
        <v>85</v>
      </c>
      <c r="I263" s="422" t="s">
        <v>2084</v>
      </c>
    </row>
    <row r="264" spans="1:9" ht="25.5" x14ac:dyDescent="0.2">
      <c r="A264" s="422" t="s">
        <v>1196</v>
      </c>
      <c r="B264" s="422" t="s">
        <v>487</v>
      </c>
      <c r="C264" s="422" t="s">
        <v>529</v>
      </c>
      <c r="D264" s="422"/>
      <c r="E264" s="425"/>
      <c r="F264" s="428">
        <v>0.9</v>
      </c>
      <c r="G264" s="418">
        <v>64.400000000000006</v>
      </c>
      <c r="H264" s="427">
        <v>82.4</v>
      </c>
      <c r="I264" s="430" t="s">
        <v>1197</v>
      </c>
    </row>
    <row r="265" spans="1:9" ht="25.5" x14ac:dyDescent="0.2">
      <c r="A265" s="422" t="s">
        <v>1212</v>
      </c>
      <c r="B265" s="422" t="s">
        <v>487</v>
      </c>
      <c r="C265" s="422" t="s">
        <v>529</v>
      </c>
      <c r="D265" s="422"/>
      <c r="E265" s="425"/>
      <c r="F265" s="428">
        <v>0.82</v>
      </c>
      <c r="G265" s="418">
        <v>59</v>
      </c>
      <c r="H265" s="427">
        <v>68</v>
      </c>
      <c r="I265" s="430" t="s">
        <v>1213</v>
      </c>
    </row>
    <row r="266" spans="1:9" ht="38.25" x14ac:dyDescent="0.2">
      <c r="A266" s="422" t="s">
        <v>1210</v>
      </c>
      <c r="B266" s="422" t="s">
        <v>487</v>
      </c>
      <c r="C266" s="422" t="s">
        <v>529</v>
      </c>
      <c r="D266" s="422"/>
      <c r="E266" s="425"/>
      <c r="F266" s="428"/>
      <c r="G266" s="418">
        <v>59</v>
      </c>
      <c r="H266" s="427">
        <v>77</v>
      </c>
      <c r="I266" s="430" t="s">
        <v>1211</v>
      </c>
    </row>
    <row r="267" spans="1:9" ht="25.5" x14ac:dyDescent="0.2">
      <c r="A267" s="422" t="s">
        <v>1208</v>
      </c>
      <c r="B267" s="422" t="s">
        <v>487</v>
      </c>
      <c r="C267" s="422" t="s">
        <v>529</v>
      </c>
      <c r="D267" s="422"/>
      <c r="E267" s="425"/>
      <c r="F267" s="428">
        <v>0.81</v>
      </c>
      <c r="G267" s="418">
        <v>59</v>
      </c>
      <c r="H267" s="427">
        <v>68</v>
      </c>
      <c r="I267" s="430" t="s">
        <v>1209</v>
      </c>
    </row>
    <row r="268" spans="1:9" ht="38.25" x14ac:dyDescent="0.2">
      <c r="A268" s="422" t="s">
        <v>1198</v>
      </c>
      <c r="B268" s="422" t="s">
        <v>487</v>
      </c>
      <c r="C268" s="422" t="s">
        <v>529</v>
      </c>
      <c r="D268" s="422"/>
      <c r="E268" s="425"/>
      <c r="F268" s="428">
        <v>0.79</v>
      </c>
      <c r="G268" s="418">
        <v>59</v>
      </c>
      <c r="H268" s="427">
        <v>68</v>
      </c>
      <c r="I268" s="430" t="s">
        <v>1199</v>
      </c>
    </row>
    <row r="269" spans="1:9" ht="38.25" x14ac:dyDescent="0.2">
      <c r="A269" s="422" t="s">
        <v>1203</v>
      </c>
      <c r="B269" s="422" t="s">
        <v>487</v>
      </c>
      <c r="C269" s="422" t="s">
        <v>529</v>
      </c>
      <c r="D269" s="422"/>
      <c r="E269" s="425"/>
      <c r="F269" s="428">
        <v>0.75</v>
      </c>
      <c r="G269" s="418">
        <v>59</v>
      </c>
      <c r="H269" s="427">
        <v>68</v>
      </c>
      <c r="I269" s="430" t="s">
        <v>1204</v>
      </c>
    </row>
    <row r="270" spans="1:9" ht="25.5" x14ac:dyDescent="0.2">
      <c r="A270" s="422" t="s">
        <v>1201</v>
      </c>
      <c r="B270" s="422" t="s">
        <v>487</v>
      </c>
      <c r="C270" s="422" t="s">
        <v>529</v>
      </c>
      <c r="D270" s="422"/>
      <c r="E270" s="425"/>
      <c r="F270" s="428">
        <v>0.75</v>
      </c>
      <c r="G270" s="418">
        <v>59</v>
      </c>
      <c r="H270" s="427">
        <v>68</v>
      </c>
      <c r="I270" s="430" t="s">
        <v>1202</v>
      </c>
    </row>
    <row r="271" spans="1:9" ht="25.5" x14ac:dyDescent="0.2">
      <c r="A271" s="422" t="s">
        <v>1200</v>
      </c>
      <c r="B271" s="422" t="s">
        <v>487</v>
      </c>
      <c r="C271" s="422" t="s">
        <v>529</v>
      </c>
      <c r="D271" s="422" t="s">
        <v>414</v>
      </c>
      <c r="E271" s="422" t="s">
        <v>421</v>
      </c>
      <c r="F271" s="428">
        <v>0.81</v>
      </c>
      <c r="G271" s="418">
        <v>64</v>
      </c>
      <c r="H271" s="427">
        <v>82</v>
      </c>
      <c r="I271" s="430" t="s">
        <v>1195</v>
      </c>
    </row>
    <row r="272" spans="1:9" x14ac:dyDescent="0.2">
      <c r="A272" s="422" t="s">
        <v>1090</v>
      </c>
      <c r="B272" s="422" t="s">
        <v>487</v>
      </c>
      <c r="C272" s="422" t="s">
        <v>529</v>
      </c>
      <c r="D272" s="422" t="s">
        <v>421</v>
      </c>
      <c r="E272" s="422" t="s">
        <v>421</v>
      </c>
      <c r="F272" s="428">
        <v>0.86</v>
      </c>
      <c r="G272" s="418">
        <v>64</v>
      </c>
      <c r="H272" s="427">
        <v>75</v>
      </c>
      <c r="I272" s="422" t="s">
        <v>1091</v>
      </c>
    </row>
    <row r="273" spans="1:9" ht="25.5" x14ac:dyDescent="0.2">
      <c r="A273" s="422" t="s">
        <v>1214</v>
      </c>
      <c r="B273" s="422" t="s">
        <v>487</v>
      </c>
      <c r="C273" s="422" t="s">
        <v>529</v>
      </c>
      <c r="D273" s="422"/>
      <c r="E273" s="425"/>
      <c r="F273" s="428">
        <v>0.84</v>
      </c>
      <c r="G273" s="418">
        <v>53.6</v>
      </c>
      <c r="H273" s="427">
        <v>59</v>
      </c>
      <c r="I273" s="430" t="s">
        <v>1215</v>
      </c>
    </row>
    <row r="274" spans="1:9" x14ac:dyDescent="0.2">
      <c r="A274" s="422" t="s">
        <v>1207</v>
      </c>
      <c r="B274" s="422" t="s">
        <v>487</v>
      </c>
      <c r="C274" s="422" t="s">
        <v>529</v>
      </c>
      <c r="D274" s="422" t="s">
        <v>417</v>
      </c>
      <c r="E274" s="425">
        <v>0.8</v>
      </c>
      <c r="F274" s="428">
        <v>0.8</v>
      </c>
      <c r="G274" s="418">
        <v>48</v>
      </c>
      <c r="H274" s="427">
        <v>59</v>
      </c>
      <c r="I274" s="422" t="s">
        <v>1070</v>
      </c>
    </row>
    <row r="275" spans="1:9" x14ac:dyDescent="0.2">
      <c r="A275" s="422" t="s">
        <v>1206</v>
      </c>
      <c r="B275" s="422" t="s">
        <v>487</v>
      </c>
      <c r="C275" s="422" t="s">
        <v>529</v>
      </c>
      <c r="D275" s="422" t="s">
        <v>421</v>
      </c>
      <c r="E275" s="422" t="s">
        <v>2426</v>
      </c>
      <c r="F275" s="428">
        <v>0.82</v>
      </c>
      <c r="G275" s="418">
        <v>54</v>
      </c>
      <c r="H275" s="427">
        <v>64</v>
      </c>
      <c r="I275" s="422" t="s">
        <v>915</v>
      </c>
    </row>
    <row r="276" spans="1:9" x14ac:dyDescent="0.2">
      <c r="A276" s="422" t="s">
        <v>1137</v>
      </c>
      <c r="B276" s="422" t="s">
        <v>412</v>
      </c>
      <c r="C276" s="422" t="s">
        <v>875</v>
      </c>
      <c r="D276" s="422" t="s">
        <v>414</v>
      </c>
      <c r="E276" s="422" t="s">
        <v>414</v>
      </c>
      <c r="F276" s="428">
        <v>0.8</v>
      </c>
      <c r="G276" s="418">
        <v>75</v>
      </c>
      <c r="H276" s="427">
        <v>85</v>
      </c>
      <c r="I276" s="422" t="s">
        <v>1138</v>
      </c>
    </row>
    <row r="277" spans="1:9" x14ac:dyDescent="0.2">
      <c r="A277" s="422" t="s">
        <v>1135</v>
      </c>
      <c r="B277" s="422" t="s">
        <v>412</v>
      </c>
      <c r="C277" s="422" t="s">
        <v>875</v>
      </c>
      <c r="D277" s="422" t="s">
        <v>414</v>
      </c>
      <c r="E277" s="422" t="s">
        <v>414</v>
      </c>
      <c r="F277" s="428">
        <v>0.77</v>
      </c>
      <c r="G277" s="418">
        <v>75</v>
      </c>
      <c r="H277" s="427">
        <v>82</v>
      </c>
      <c r="I277" s="422" t="s">
        <v>1143</v>
      </c>
    </row>
    <row r="278" spans="1:9" x14ac:dyDescent="0.2">
      <c r="A278" s="415" t="s">
        <v>1956</v>
      </c>
      <c r="B278" s="422" t="s">
        <v>412</v>
      </c>
      <c r="C278" s="422" t="s">
        <v>1914</v>
      </c>
      <c r="D278" s="422" t="s">
        <v>423</v>
      </c>
      <c r="E278" s="415" t="s">
        <v>1957</v>
      </c>
      <c r="F278" s="426">
        <v>0.85</v>
      </c>
      <c r="G278" s="418">
        <v>65</v>
      </c>
      <c r="H278" s="427">
        <v>78</v>
      </c>
      <c r="I278" s="415" t="s">
        <v>1958</v>
      </c>
    </row>
    <row r="279" spans="1:9" x14ac:dyDescent="0.2">
      <c r="A279" s="422" t="s">
        <v>882</v>
      </c>
      <c r="B279" s="422" t="s">
        <v>412</v>
      </c>
      <c r="C279" s="422" t="s">
        <v>413</v>
      </c>
      <c r="D279" s="422" t="s">
        <v>417</v>
      </c>
      <c r="E279" s="422" t="s">
        <v>421</v>
      </c>
      <c r="F279" s="428">
        <v>0.75</v>
      </c>
      <c r="G279" s="418">
        <v>65</v>
      </c>
      <c r="H279" s="427">
        <v>68</v>
      </c>
      <c r="I279" s="422" t="s">
        <v>883</v>
      </c>
    </row>
    <row r="280" spans="1:9" x14ac:dyDescent="0.2">
      <c r="A280" s="422" t="s">
        <v>574</v>
      </c>
      <c r="B280" s="422" t="s">
        <v>412</v>
      </c>
      <c r="C280" s="422" t="s">
        <v>413</v>
      </c>
      <c r="D280" s="422" t="s">
        <v>421</v>
      </c>
      <c r="E280" s="422" t="s">
        <v>527</v>
      </c>
      <c r="F280" s="428">
        <v>0.67500000000000004</v>
      </c>
      <c r="G280" s="418">
        <v>58</v>
      </c>
      <c r="H280" s="427">
        <v>65</v>
      </c>
      <c r="I280" s="422" t="s">
        <v>575</v>
      </c>
    </row>
    <row r="281" spans="1:9" x14ac:dyDescent="0.2">
      <c r="A281" s="422" t="s">
        <v>2122</v>
      </c>
      <c r="B281" s="422" t="s">
        <v>412</v>
      </c>
      <c r="C281" s="422" t="s">
        <v>413</v>
      </c>
      <c r="D281" s="422" t="s">
        <v>414</v>
      </c>
      <c r="E281" s="422" t="s">
        <v>415</v>
      </c>
      <c r="F281" s="428">
        <v>0.77500000000000002</v>
      </c>
      <c r="G281" s="418">
        <v>72</v>
      </c>
      <c r="H281" s="427">
        <v>77</v>
      </c>
      <c r="I281" s="422" t="s">
        <v>1084</v>
      </c>
    </row>
    <row r="282" spans="1:9" x14ac:dyDescent="0.2">
      <c r="A282" s="422" t="s">
        <v>576</v>
      </c>
      <c r="B282" s="422" t="s">
        <v>412</v>
      </c>
      <c r="C282" s="422" t="s">
        <v>427</v>
      </c>
      <c r="D282" s="422" t="s">
        <v>421</v>
      </c>
      <c r="E282" s="422" t="s">
        <v>577</v>
      </c>
      <c r="F282" s="428">
        <v>0.71</v>
      </c>
      <c r="G282" s="418">
        <v>55</v>
      </c>
      <c r="H282" s="427">
        <v>75</v>
      </c>
      <c r="I282" s="422" t="s">
        <v>578</v>
      </c>
    </row>
    <row r="283" spans="1:9" x14ac:dyDescent="0.2">
      <c r="A283" s="422" t="s">
        <v>918</v>
      </c>
      <c r="B283" s="422" t="s">
        <v>412</v>
      </c>
      <c r="C283" s="422" t="s">
        <v>875</v>
      </c>
      <c r="D283" s="422" t="s">
        <v>414</v>
      </c>
      <c r="E283" s="422" t="s">
        <v>1132</v>
      </c>
      <c r="F283" s="428">
        <v>0.78500000000000003</v>
      </c>
      <c r="G283" s="418">
        <v>60</v>
      </c>
      <c r="H283" s="427">
        <v>68</v>
      </c>
      <c r="I283" s="422" t="s">
        <v>1136</v>
      </c>
    </row>
    <row r="284" spans="1:9" x14ac:dyDescent="0.2">
      <c r="A284" s="422" t="s">
        <v>1146</v>
      </c>
      <c r="B284" s="422" t="s">
        <v>412</v>
      </c>
      <c r="C284" s="422" t="s">
        <v>875</v>
      </c>
      <c r="D284" s="422"/>
      <c r="E284" s="422"/>
      <c r="F284" s="428">
        <v>0.75</v>
      </c>
      <c r="G284" s="418">
        <v>62</v>
      </c>
      <c r="H284" s="427">
        <v>68</v>
      </c>
      <c r="I284" s="422" t="s">
        <v>1147</v>
      </c>
    </row>
    <row r="285" spans="1:9" x14ac:dyDescent="0.2">
      <c r="A285" s="422" t="s">
        <v>2053</v>
      </c>
      <c r="B285" s="422" t="s">
        <v>412</v>
      </c>
      <c r="C285" s="422" t="s">
        <v>413</v>
      </c>
      <c r="D285" s="422" t="s">
        <v>414</v>
      </c>
      <c r="E285" s="422" t="s">
        <v>1176</v>
      </c>
      <c r="F285" s="428">
        <v>0.72</v>
      </c>
      <c r="G285" s="418">
        <v>66</v>
      </c>
      <c r="H285" s="427">
        <v>70</v>
      </c>
      <c r="I285" s="422" t="s">
        <v>2054</v>
      </c>
    </row>
    <row r="286" spans="1:9" x14ac:dyDescent="0.2">
      <c r="A286" s="422" t="s">
        <v>1019</v>
      </c>
      <c r="B286" s="422" t="s">
        <v>412</v>
      </c>
      <c r="C286" s="422" t="s">
        <v>413</v>
      </c>
      <c r="D286" s="422" t="s">
        <v>417</v>
      </c>
      <c r="E286" s="422" t="s">
        <v>1020</v>
      </c>
      <c r="F286" s="428">
        <v>0.72</v>
      </c>
      <c r="G286" s="418">
        <v>50</v>
      </c>
      <c r="H286" s="427">
        <v>55</v>
      </c>
      <c r="I286" s="422" t="s">
        <v>1021</v>
      </c>
    </row>
    <row r="287" spans="1:9" x14ac:dyDescent="0.2">
      <c r="A287" s="422" t="s">
        <v>2032</v>
      </c>
      <c r="B287" s="422" t="s">
        <v>412</v>
      </c>
      <c r="C287" s="422" t="s">
        <v>413</v>
      </c>
      <c r="D287" s="422" t="s">
        <v>414</v>
      </c>
      <c r="E287" s="422" t="s">
        <v>2033</v>
      </c>
      <c r="F287" s="428">
        <v>0.71499999999999997</v>
      </c>
      <c r="G287" s="418">
        <v>66</v>
      </c>
      <c r="H287" s="427">
        <v>69</v>
      </c>
      <c r="I287" s="422" t="s">
        <v>2034</v>
      </c>
    </row>
    <row r="288" spans="1:9" x14ac:dyDescent="0.2">
      <c r="A288" s="422" t="s">
        <v>1022</v>
      </c>
      <c r="B288" s="422" t="s">
        <v>412</v>
      </c>
      <c r="C288" s="422" t="s">
        <v>427</v>
      </c>
      <c r="D288" s="422" t="s">
        <v>414</v>
      </c>
      <c r="E288" s="422" t="s">
        <v>1176</v>
      </c>
      <c r="F288" s="428">
        <v>0.72</v>
      </c>
      <c r="G288" s="418">
        <v>50</v>
      </c>
      <c r="H288" s="427">
        <v>58</v>
      </c>
      <c r="I288" s="422" t="s">
        <v>1187</v>
      </c>
    </row>
    <row r="289" spans="1:9" x14ac:dyDescent="0.2">
      <c r="A289" s="422" t="s">
        <v>579</v>
      </c>
      <c r="B289" s="422" t="s">
        <v>412</v>
      </c>
      <c r="C289" s="422" t="s">
        <v>413</v>
      </c>
      <c r="D289" s="422" t="s">
        <v>414</v>
      </c>
      <c r="E289" s="422" t="s">
        <v>919</v>
      </c>
      <c r="F289" s="428">
        <v>0.82</v>
      </c>
      <c r="G289" s="418">
        <v>65</v>
      </c>
      <c r="H289" s="427">
        <v>69</v>
      </c>
      <c r="I289" s="422" t="s">
        <v>580</v>
      </c>
    </row>
    <row r="290" spans="1:9" x14ac:dyDescent="0.2">
      <c r="A290" s="422" t="s">
        <v>2041</v>
      </c>
      <c r="B290" s="422" t="s">
        <v>412</v>
      </c>
      <c r="C290" s="422" t="s">
        <v>413</v>
      </c>
      <c r="D290" s="422" t="s">
        <v>414</v>
      </c>
      <c r="E290" s="422" t="s">
        <v>415</v>
      </c>
      <c r="F290" s="428">
        <v>0.77500000000000002</v>
      </c>
      <c r="G290" s="418">
        <v>75</v>
      </c>
      <c r="H290" s="427">
        <v>79</v>
      </c>
      <c r="I290" s="422" t="s">
        <v>920</v>
      </c>
    </row>
    <row r="291" spans="1:9" x14ac:dyDescent="0.2">
      <c r="A291" s="422" t="s">
        <v>2037</v>
      </c>
      <c r="B291" s="422" t="s">
        <v>412</v>
      </c>
      <c r="C291" s="422" t="s">
        <v>413</v>
      </c>
      <c r="D291" s="422" t="s">
        <v>421</v>
      </c>
      <c r="E291" s="422" t="s">
        <v>1188</v>
      </c>
      <c r="F291" s="428">
        <v>0.75</v>
      </c>
      <c r="G291" s="418"/>
      <c r="H291" s="427"/>
      <c r="I291" s="422" t="s">
        <v>2038</v>
      </c>
    </row>
    <row r="292" spans="1:9" x14ac:dyDescent="0.2">
      <c r="A292" s="422" t="s">
        <v>581</v>
      </c>
      <c r="B292" s="422" t="s">
        <v>412</v>
      </c>
      <c r="C292" s="422" t="s">
        <v>427</v>
      </c>
      <c r="D292" s="422" t="s">
        <v>414</v>
      </c>
      <c r="E292" s="422" t="s">
        <v>434</v>
      </c>
      <c r="F292" s="428">
        <v>0.74</v>
      </c>
      <c r="G292" s="418">
        <v>62</v>
      </c>
      <c r="H292" s="427">
        <v>72</v>
      </c>
      <c r="I292" s="422" t="s">
        <v>582</v>
      </c>
    </row>
    <row r="293" spans="1:9" x14ac:dyDescent="0.2">
      <c r="A293" s="422" t="s">
        <v>1031</v>
      </c>
      <c r="B293" s="422" t="s">
        <v>412</v>
      </c>
      <c r="C293" s="422" t="s">
        <v>427</v>
      </c>
      <c r="D293" s="422" t="s">
        <v>421</v>
      </c>
      <c r="E293" s="422" t="s">
        <v>1188</v>
      </c>
      <c r="F293" s="428">
        <v>0.75</v>
      </c>
      <c r="G293" s="418">
        <v>60</v>
      </c>
      <c r="H293" s="427">
        <v>70</v>
      </c>
      <c r="I293" s="422" t="s">
        <v>1189</v>
      </c>
    </row>
    <row r="294" spans="1:9" x14ac:dyDescent="0.2">
      <c r="A294" s="422" t="s">
        <v>956</v>
      </c>
      <c r="B294" s="422" t="s">
        <v>487</v>
      </c>
      <c r="C294" s="422" t="s">
        <v>869</v>
      </c>
      <c r="D294" s="422" t="s">
        <v>414</v>
      </c>
      <c r="E294" s="422" t="s">
        <v>415</v>
      </c>
      <c r="F294" s="428">
        <v>0.77500000000000002</v>
      </c>
      <c r="G294" s="418">
        <v>66</v>
      </c>
      <c r="H294" s="427">
        <v>72</v>
      </c>
      <c r="I294" s="422" t="s">
        <v>957</v>
      </c>
    </row>
    <row r="295" spans="1:9" x14ac:dyDescent="0.2">
      <c r="A295" s="422" t="s">
        <v>884</v>
      </c>
      <c r="B295" s="422" t="s">
        <v>487</v>
      </c>
      <c r="C295" s="422" t="s">
        <v>869</v>
      </c>
      <c r="D295" s="422" t="s">
        <v>421</v>
      </c>
      <c r="E295" s="422" t="s">
        <v>507</v>
      </c>
      <c r="F295" s="428">
        <v>0.75</v>
      </c>
      <c r="G295" s="418">
        <v>68</v>
      </c>
      <c r="H295" s="427">
        <v>75</v>
      </c>
      <c r="I295" s="422" t="s">
        <v>885</v>
      </c>
    </row>
    <row r="296" spans="1:9" x14ac:dyDescent="0.2">
      <c r="A296" s="422" t="s">
        <v>2077</v>
      </c>
      <c r="B296" s="422" t="s">
        <v>412</v>
      </c>
      <c r="C296" s="422" t="s">
        <v>413</v>
      </c>
      <c r="D296" s="422" t="s">
        <v>428</v>
      </c>
      <c r="E296" s="422" t="s">
        <v>2075</v>
      </c>
      <c r="F296" s="428">
        <v>0.4</v>
      </c>
      <c r="G296" s="418">
        <v>50</v>
      </c>
      <c r="H296" s="427">
        <v>86</v>
      </c>
      <c r="I296" s="422" t="s">
        <v>2076</v>
      </c>
    </row>
    <row r="297" spans="1:9" x14ac:dyDescent="0.2">
      <c r="A297" s="422" t="s">
        <v>583</v>
      </c>
      <c r="B297" s="422" t="s">
        <v>412</v>
      </c>
      <c r="C297" s="422" t="s">
        <v>420</v>
      </c>
      <c r="D297" s="422" t="s">
        <v>414</v>
      </c>
      <c r="E297" s="422" t="s">
        <v>421</v>
      </c>
      <c r="F297" s="428"/>
      <c r="G297" s="418">
        <v>64</v>
      </c>
      <c r="H297" s="427">
        <v>72</v>
      </c>
      <c r="I297" s="422" t="s">
        <v>958</v>
      </c>
    </row>
    <row r="298" spans="1:9" x14ac:dyDescent="0.2">
      <c r="A298" s="422" t="s">
        <v>584</v>
      </c>
      <c r="B298" s="422" t="s">
        <v>412</v>
      </c>
      <c r="C298" s="422" t="s">
        <v>413</v>
      </c>
      <c r="D298" s="422" t="s">
        <v>428</v>
      </c>
      <c r="E298" s="422" t="s">
        <v>415</v>
      </c>
      <c r="F298" s="428">
        <v>0.77500000000000002</v>
      </c>
      <c r="G298" s="418">
        <v>65</v>
      </c>
      <c r="H298" s="427">
        <v>72</v>
      </c>
      <c r="I298" s="422" t="s">
        <v>585</v>
      </c>
    </row>
    <row r="299" spans="1:9" x14ac:dyDescent="0.2">
      <c r="A299" s="422" t="s">
        <v>586</v>
      </c>
      <c r="B299" s="422" t="s">
        <v>412</v>
      </c>
      <c r="C299" s="422" t="s">
        <v>427</v>
      </c>
      <c r="D299" s="422" t="s">
        <v>414</v>
      </c>
      <c r="E299" s="422" t="s">
        <v>440</v>
      </c>
      <c r="F299" s="428">
        <v>0.76</v>
      </c>
      <c r="G299" s="418">
        <v>64</v>
      </c>
      <c r="H299" s="427">
        <v>78</v>
      </c>
      <c r="I299" s="422" t="s">
        <v>587</v>
      </c>
    </row>
    <row r="300" spans="1:9" x14ac:dyDescent="0.2">
      <c r="A300" s="422" t="s">
        <v>1190</v>
      </c>
      <c r="B300" s="422" t="s">
        <v>412</v>
      </c>
      <c r="C300" s="422" t="s">
        <v>427</v>
      </c>
      <c r="D300" s="422" t="s">
        <v>414</v>
      </c>
      <c r="E300" s="422" t="s">
        <v>1191</v>
      </c>
      <c r="F300" s="428">
        <v>0.77500000000000002</v>
      </c>
      <c r="G300" s="418">
        <v>68</v>
      </c>
      <c r="H300" s="427">
        <v>85</v>
      </c>
      <c r="I300" s="422" t="s">
        <v>1192</v>
      </c>
    </row>
    <row r="301" spans="1:9" x14ac:dyDescent="0.2">
      <c r="A301" s="415" t="s">
        <v>1932</v>
      </c>
      <c r="B301" s="422" t="s">
        <v>412</v>
      </c>
      <c r="C301" s="422" t="s">
        <v>1914</v>
      </c>
      <c r="D301" s="422" t="s">
        <v>423</v>
      </c>
      <c r="E301" s="415" t="s">
        <v>1933</v>
      </c>
      <c r="F301" s="428">
        <v>0.92500000000000004</v>
      </c>
      <c r="G301" s="418">
        <v>75</v>
      </c>
      <c r="H301" s="427">
        <v>85</v>
      </c>
      <c r="I301" s="415" t="s">
        <v>1934</v>
      </c>
    </row>
    <row r="302" spans="1:9" x14ac:dyDescent="0.2">
      <c r="A302" s="422" t="s">
        <v>1071</v>
      </c>
      <c r="B302" s="422" t="s">
        <v>412</v>
      </c>
      <c r="C302" s="422" t="s">
        <v>427</v>
      </c>
      <c r="D302" s="422" t="s">
        <v>417</v>
      </c>
      <c r="E302" s="422" t="s">
        <v>434</v>
      </c>
      <c r="F302" s="428">
        <v>0.74</v>
      </c>
      <c r="G302" s="418">
        <v>48</v>
      </c>
      <c r="H302" s="427">
        <v>56</v>
      </c>
      <c r="I302" s="422" t="s">
        <v>1072</v>
      </c>
    </row>
    <row r="303" spans="1:9" x14ac:dyDescent="0.2">
      <c r="A303" s="422" t="s">
        <v>886</v>
      </c>
      <c r="B303" s="422" t="s">
        <v>487</v>
      </c>
      <c r="C303" s="422" t="s">
        <v>887</v>
      </c>
      <c r="D303" s="422" t="s">
        <v>421</v>
      </c>
      <c r="E303" s="422" t="s">
        <v>421</v>
      </c>
      <c r="F303" s="428"/>
      <c r="G303" s="418">
        <v>59</v>
      </c>
      <c r="H303" s="427">
        <v>74</v>
      </c>
      <c r="I303" s="422" t="s">
        <v>888</v>
      </c>
    </row>
    <row r="304" spans="1:9" x14ac:dyDescent="0.2">
      <c r="A304" s="422" t="s">
        <v>1917</v>
      </c>
      <c r="B304" s="422" t="s">
        <v>412</v>
      </c>
      <c r="C304" s="422" t="s">
        <v>1914</v>
      </c>
      <c r="D304" s="422" t="s">
        <v>414</v>
      </c>
      <c r="E304" s="422" t="s">
        <v>1918</v>
      </c>
      <c r="F304" s="428">
        <v>0.78500000000000003</v>
      </c>
      <c r="G304" s="418">
        <v>72</v>
      </c>
      <c r="H304" s="427">
        <v>98</v>
      </c>
      <c r="I304" s="422" t="s">
        <v>1919</v>
      </c>
    </row>
    <row r="305" spans="1:9" x14ac:dyDescent="0.2">
      <c r="A305" s="415" t="s">
        <v>1622</v>
      </c>
      <c r="B305" s="415" t="s">
        <v>412</v>
      </c>
      <c r="C305" s="415" t="s">
        <v>1563</v>
      </c>
      <c r="D305" s="415" t="s">
        <v>423</v>
      </c>
      <c r="E305" s="415" t="s">
        <v>1191</v>
      </c>
      <c r="F305" s="426">
        <v>0.77500000000000002</v>
      </c>
      <c r="G305" s="418">
        <v>64</v>
      </c>
      <c r="H305" s="427">
        <v>74</v>
      </c>
      <c r="I305" s="415" t="s">
        <v>1623</v>
      </c>
    </row>
    <row r="306" spans="1:9" x14ac:dyDescent="0.2">
      <c r="A306" s="422" t="s">
        <v>588</v>
      </c>
      <c r="B306" s="422" t="s">
        <v>412</v>
      </c>
      <c r="C306" s="422" t="s">
        <v>427</v>
      </c>
      <c r="D306" s="422" t="s">
        <v>423</v>
      </c>
      <c r="E306" s="422" t="s">
        <v>429</v>
      </c>
      <c r="F306" s="428">
        <v>0.75</v>
      </c>
      <c r="G306" s="418">
        <v>64</v>
      </c>
      <c r="H306" s="427">
        <v>75</v>
      </c>
      <c r="I306" s="422" t="s">
        <v>589</v>
      </c>
    </row>
    <row r="307" spans="1:9" x14ac:dyDescent="0.2">
      <c r="A307" s="415" t="s">
        <v>1935</v>
      </c>
      <c r="B307" s="422" t="s">
        <v>412</v>
      </c>
      <c r="C307" s="422" t="s">
        <v>1914</v>
      </c>
      <c r="D307" s="422" t="s">
        <v>428</v>
      </c>
      <c r="E307" s="415" t="s">
        <v>1936</v>
      </c>
      <c r="F307" s="426">
        <v>0.76500000000000001</v>
      </c>
      <c r="G307" s="418">
        <v>60</v>
      </c>
      <c r="H307" s="427">
        <v>73</v>
      </c>
      <c r="I307" s="415" t="s">
        <v>1937</v>
      </c>
    </row>
    <row r="308" spans="1:9" x14ac:dyDescent="0.2">
      <c r="A308" s="422" t="s">
        <v>1032</v>
      </c>
      <c r="B308" s="422" t="s">
        <v>412</v>
      </c>
      <c r="C308" s="422" t="s">
        <v>427</v>
      </c>
      <c r="D308" s="422" t="s">
        <v>421</v>
      </c>
      <c r="E308" s="422" t="s">
        <v>1193</v>
      </c>
      <c r="F308" s="428">
        <v>0.69</v>
      </c>
      <c r="G308" s="418">
        <v>64</v>
      </c>
      <c r="H308" s="427">
        <v>72</v>
      </c>
      <c r="I308" s="422" t="s">
        <v>1194</v>
      </c>
    </row>
    <row r="309" spans="1:9" x14ac:dyDescent="0.2">
      <c r="A309" s="422" t="s">
        <v>590</v>
      </c>
      <c r="B309" s="422" t="s">
        <v>412</v>
      </c>
      <c r="C309" s="422" t="s">
        <v>427</v>
      </c>
      <c r="D309" s="422" t="s">
        <v>421</v>
      </c>
      <c r="E309" s="422" t="s">
        <v>521</v>
      </c>
      <c r="F309" s="428">
        <v>0.7</v>
      </c>
      <c r="G309" s="418">
        <v>64</v>
      </c>
      <c r="H309" s="427">
        <v>74</v>
      </c>
      <c r="I309" s="422" t="s">
        <v>591</v>
      </c>
    </row>
    <row r="310" spans="1:9" x14ac:dyDescent="0.2">
      <c r="A310" s="422" t="s">
        <v>2029</v>
      </c>
      <c r="B310" s="422" t="s">
        <v>412</v>
      </c>
      <c r="C310" s="422" t="s">
        <v>413</v>
      </c>
      <c r="D310" s="422" t="s">
        <v>421</v>
      </c>
      <c r="E310" s="422" t="s">
        <v>592</v>
      </c>
      <c r="F310" s="428">
        <v>0.7</v>
      </c>
      <c r="G310" s="418">
        <v>66</v>
      </c>
      <c r="H310" s="427">
        <v>70</v>
      </c>
      <c r="I310" s="422" t="s">
        <v>593</v>
      </c>
    </row>
    <row r="311" spans="1:9" x14ac:dyDescent="0.2">
      <c r="A311" s="422" t="s">
        <v>921</v>
      </c>
      <c r="B311" s="422" t="s">
        <v>487</v>
      </c>
      <c r="C311" s="422" t="s">
        <v>860</v>
      </c>
      <c r="D311" s="422" t="s">
        <v>423</v>
      </c>
      <c r="E311" s="422" t="s">
        <v>414</v>
      </c>
      <c r="F311" s="428">
        <v>0.75</v>
      </c>
      <c r="G311" s="418">
        <v>59</v>
      </c>
      <c r="H311" s="427">
        <v>72</v>
      </c>
      <c r="I311" s="422" t="s">
        <v>594</v>
      </c>
    </row>
    <row r="312" spans="1:9" x14ac:dyDescent="0.2">
      <c r="A312" s="422" t="s">
        <v>889</v>
      </c>
      <c r="B312" s="422" t="s">
        <v>487</v>
      </c>
      <c r="C312" s="422" t="s">
        <v>887</v>
      </c>
      <c r="D312" s="422" t="s">
        <v>414</v>
      </c>
      <c r="E312" s="422" t="s">
        <v>421</v>
      </c>
      <c r="F312" s="428"/>
      <c r="G312" s="418">
        <v>59</v>
      </c>
      <c r="H312" s="427">
        <v>68</v>
      </c>
      <c r="I312" s="422" t="s">
        <v>890</v>
      </c>
    </row>
    <row r="313" spans="1:9" x14ac:dyDescent="0.2">
      <c r="A313" s="422" t="s">
        <v>1040</v>
      </c>
      <c r="B313" s="422" t="s">
        <v>487</v>
      </c>
      <c r="C313" s="422" t="s">
        <v>869</v>
      </c>
      <c r="D313" s="422" t="s">
        <v>414</v>
      </c>
      <c r="E313" s="422" t="s">
        <v>472</v>
      </c>
      <c r="F313" s="428">
        <v>0.7</v>
      </c>
      <c r="G313" s="418">
        <v>65</v>
      </c>
      <c r="H313" s="427">
        <v>70</v>
      </c>
      <c r="I313" s="422" t="s">
        <v>1041</v>
      </c>
    </row>
    <row r="314" spans="1:9" x14ac:dyDescent="0.2">
      <c r="A314" s="422" t="s">
        <v>1033</v>
      </c>
      <c r="B314" s="422" t="s">
        <v>412</v>
      </c>
      <c r="C314" s="422" t="s">
        <v>413</v>
      </c>
      <c r="D314" s="422" t="s">
        <v>421</v>
      </c>
      <c r="E314" s="422" t="s">
        <v>423</v>
      </c>
      <c r="F314" s="428">
        <v>0.7</v>
      </c>
      <c r="G314" s="418">
        <v>65</v>
      </c>
      <c r="H314" s="427">
        <v>70</v>
      </c>
      <c r="I314" s="422" t="s">
        <v>1034</v>
      </c>
    </row>
    <row r="315" spans="1:9" x14ac:dyDescent="0.2">
      <c r="A315" s="422" t="s">
        <v>1073</v>
      </c>
      <c r="B315" s="422" t="s">
        <v>412</v>
      </c>
      <c r="C315" s="422" t="s">
        <v>413</v>
      </c>
      <c r="D315" s="422" t="s">
        <v>414</v>
      </c>
      <c r="E315" s="422" t="s">
        <v>507</v>
      </c>
      <c r="F315" s="428">
        <v>0.75</v>
      </c>
      <c r="G315" s="418">
        <v>50</v>
      </c>
      <c r="H315" s="427">
        <v>55</v>
      </c>
      <c r="I315" s="422" t="s">
        <v>1074</v>
      </c>
    </row>
    <row r="316" spans="1:9" x14ac:dyDescent="0.2">
      <c r="A316" s="422"/>
      <c r="B316" s="422"/>
      <c r="C316" s="422"/>
      <c r="D316" s="422"/>
      <c r="E316" s="422"/>
      <c r="F316" s="422"/>
      <c r="G316" s="418"/>
      <c r="H316" s="418"/>
      <c r="I316" s="422"/>
    </row>
    <row r="317" spans="1:9" x14ac:dyDescent="0.2">
      <c r="A317" s="422"/>
      <c r="B317" s="422"/>
      <c r="C317" s="422"/>
      <c r="D317" s="422"/>
      <c r="E317" s="422"/>
      <c r="F317" s="422"/>
      <c r="G317" s="418"/>
      <c r="H317" s="418"/>
      <c r="I317" s="422"/>
    </row>
    <row r="318" spans="1:9" x14ac:dyDescent="0.2">
      <c r="A318" s="422"/>
      <c r="B318" s="422"/>
      <c r="C318" s="422"/>
      <c r="D318" s="422"/>
      <c r="E318" s="422"/>
      <c r="F318" s="422"/>
      <c r="G318" s="418"/>
      <c r="H318" s="418"/>
      <c r="I318" s="422"/>
    </row>
    <row r="319" spans="1:9" x14ac:dyDescent="0.2">
      <c r="A319" s="422"/>
      <c r="B319" s="422"/>
      <c r="C319" s="422"/>
      <c r="D319" s="422"/>
      <c r="E319" s="422"/>
      <c r="F319" s="422"/>
      <c r="G319" s="418"/>
      <c r="H319" s="418"/>
      <c r="I319" s="422"/>
    </row>
    <row r="320" spans="1:9" x14ac:dyDescent="0.2">
      <c r="A320" s="422"/>
      <c r="B320" s="422"/>
      <c r="C320" s="422"/>
      <c r="D320" s="422"/>
      <c r="E320" s="422"/>
      <c r="F320" s="422"/>
      <c r="G320" s="418"/>
      <c r="H320" s="418"/>
      <c r="I320" s="422"/>
    </row>
    <row r="321" spans="1:9" x14ac:dyDescent="0.2">
      <c r="A321" s="422"/>
      <c r="B321" s="422"/>
      <c r="C321" s="422"/>
      <c r="D321" s="422"/>
      <c r="E321" s="422"/>
      <c r="F321" s="422"/>
      <c r="G321" s="418"/>
      <c r="H321" s="418"/>
      <c r="I321" s="422"/>
    </row>
    <row r="322" spans="1:9" x14ac:dyDescent="0.2">
      <c r="A322" s="422"/>
      <c r="B322" s="422"/>
      <c r="C322" s="422"/>
      <c r="D322" s="422"/>
      <c r="E322" s="422"/>
      <c r="F322" s="422"/>
      <c r="G322" s="418"/>
      <c r="H322" s="418"/>
      <c r="I322" s="422"/>
    </row>
    <row r="323" spans="1:9" x14ac:dyDescent="0.2">
      <c r="A323" s="422"/>
      <c r="B323" s="422"/>
      <c r="C323" s="422"/>
      <c r="D323" s="422"/>
      <c r="E323" s="422"/>
      <c r="F323" s="422"/>
      <c r="G323" s="418"/>
      <c r="H323" s="418"/>
      <c r="I323" s="422"/>
    </row>
    <row r="324" spans="1:9" x14ac:dyDescent="0.2">
      <c r="A324" s="422"/>
      <c r="B324" s="422"/>
      <c r="C324" s="422"/>
      <c r="D324" s="422"/>
      <c r="E324" s="422"/>
      <c r="F324" s="422"/>
      <c r="G324" s="418"/>
      <c r="H324" s="418"/>
      <c r="I324" s="422"/>
    </row>
    <row r="325" spans="1:9" x14ac:dyDescent="0.2">
      <c r="A325" s="422"/>
      <c r="B325" s="422"/>
      <c r="C325" s="422"/>
      <c r="D325" s="422"/>
      <c r="E325" s="422"/>
      <c r="F325" s="422"/>
      <c r="G325" s="418"/>
      <c r="H325" s="418"/>
      <c r="I325" s="422"/>
    </row>
    <row r="326" spans="1:9" x14ac:dyDescent="0.2">
      <c r="A326" s="422"/>
      <c r="B326" s="422"/>
      <c r="C326" s="422"/>
      <c r="D326" s="422"/>
      <c r="E326" s="422"/>
      <c r="F326" s="422"/>
      <c r="G326" s="418"/>
      <c r="H326" s="418"/>
      <c r="I326" s="422"/>
    </row>
    <row r="327" spans="1:9" x14ac:dyDescent="0.2">
      <c r="A327" s="422"/>
      <c r="B327" s="422"/>
      <c r="C327" s="422"/>
      <c r="D327" s="422"/>
      <c r="E327" s="422"/>
      <c r="F327" s="422"/>
      <c r="G327" s="418"/>
      <c r="H327" s="418"/>
      <c r="I327" s="422"/>
    </row>
    <row r="328" spans="1:9" x14ac:dyDescent="0.2">
      <c r="A328" s="422"/>
      <c r="B328" s="422"/>
      <c r="C328" s="422"/>
      <c r="D328" s="422"/>
      <c r="E328" s="422"/>
      <c r="F328" s="422"/>
      <c r="G328" s="418"/>
      <c r="H328" s="418"/>
      <c r="I328" s="422"/>
    </row>
    <row r="329" spans="1:9" x14ac:dyDescent="0.2">
      <c r="A329" s="422"/>
      <c r="B329" s="422"/>
      <c r="C329" s="422"/>
      <c r="D329" s="422"/>
      <c r="E329" s="422"/>
      <c r="F329" s="422"/>
      <c r="G329" s="418"/>
      <c r="H329" s="418"/>
      <c r="I329" s="422"/>
    </row>
    <row r="330" spans="1:9" x14ac:dyDescent="0.2">
      <c r="A330" s="422"/>
      <c r="B330" s="422"/>
      <c r="C330" s="422"/>
      <c r="D330" s="422"/>
      <c r="E330" s="422"/>
      <c r="F330" s="422"/>
      <c r="G330" s="418"/>
      <c r="H330" s="418"/>
      <c r="I330" s="422"/>
    </row>
    <row r="331" spans="1:9" x14ac:dyDescent="0.2">
      <c r="A331" s="422"/>
      <c r="B331" s="422"/>
      <c r="C331" s="422"/>
      <c r="D331" s="422"/>
      <c r="E331" s="422"/>
      <c r="F331" s="422"/>
      <c r="G331" s="418"/>
      <c r="H331" s="418"/>
      <c r="I331" s="422"/>
    </row>
    <row r="332" spans="1:9" x14ac:dyDescent="0.2">
      <c r="A332" s="422"/>
      <c r="B332" s="422"/>
      <c r="C332" s="422"/>
      <c r="D332" s="422"/>
      <c r="E332" s="422"/>
      <c r="F332" s="422"/>
      <c r="G332" s="418"/>
      <c r="H332" s="418"/>
      <c r="I332" s="422"/>
    </row>
    <row r="333" spans="1:9" x14ac:dyDescent="0.2">
      <c r="A333" s="422"/>
      <c r="B333" s="422"/>
      <c r="C333" s="422"/>
      <c r="D333" s="422"/>
      <c r="E333" s="422"/>
      <c r="F333" s="422"/>
      <c r="G333" s="418"/>
      <c r="H333" s="418"/>
      <c r="I333" s="422"/>
    </row>
    <row r="334" spans="1:9" x14ac:dyDescent="0.2">
      <c r="A334" s="422"/>
      <c r="B334" s="422"/>
      <c r="C334" s="422"/>
      <c r="D334" s="422"/>
      <c r="E334" s="422"/>
      <c r="F334" s="422"/>
      <c r="G334" s="418"/>
      <c r="H334" s="418"/>
      <c r="I334" s="422"/>
    </row>
    <row r="335" spans="1:9" x14ac:dyDescent="0.2">
      <c r="A335" s="422"/>
      <c r="B335" s="422"/>
      <c r="C335" s="422"/>
      <c r="D335" s="422"/>
      <c r="E335" s="422"/>
      <c r="F335" s="422"/>
      <c r="G335" s="418"/>
      <c r="H335" s="418"/>
      <c r="I335" s="422"/>
    </row>
    <row r="336" spans="1:9" x14ac:dyDescent="0.2">
      <c r="A336" s="422"/>
      <c r="B336" s="422"/>
      <c r="C336" s="422"/>
      <c r="D336" s="422"/>
      <c r="E336" s="422"/>
      <c r="F336" s="422"/>
      <c r="G336" s="418"/>
      <c r="H336" s="418"/>
      <c r="I336" s="422"/>
    </row>
    <row r="337" spans="1:9" x14ac:dyDescent="0.2">
      <c r="A337" s="422"/>
      <c r="B337" s="422"/>
      <c r="C337" s="422"/>
      <c r="D337" s="422"/>
      <c r="E337" s="422"/>
      <c r="F337" s="422"/>
      <c r="G337" s="418"/>
      <c r="H337" s="418"/>
      <c r="I337" s="422"/>
    </row>
    <row r="338" spans="1:9" x14ac:dyDescent="0.2">
      <c r="A338" s="422"/>
      <c r="B338" s="422"/>
      <c r="C338" s="422"/>
      <c r="D338" s="422"/>
      <c r="E338" s="422"/>
      <c r="F338" s="422"/>
      <c r="G338" s="418"/>
      <c r="H338" s="418"/>
      <c r="I338" s="422"/>
    </row>
    <row r="339" spans="1:9" x14ac:dyDescent="0.2">
      <c r="A339" s="422"/>
      <c r="B339" s="422"/>
      <c r="C339" s="422"/>
      <c r="D339" s="422"/>
      <c r="E339" s="422"/>
      <c r="F339" s="422"/>
      <c r="G339" s="418"/>
      <c r="H339" s="418"/>
      <c r="I339" s="422"/>
    </row>
    <row r="340" spans="1:9" x14ac:dyDescent="0.2">
      <c r="A340" s="422"/>
      <c r="B340" s="422"/>
      <c r="C340" s="422"/>
      <c r="D340" s="422"/>
      <c r="E340" s="422"/>
      <c r="F340" s="422"/>
      <c r="G340" s="418"/>
      <c r="H340" s="418"/>
      <c r="I340" s="422"/>
    </row>
    <row r="341" spans="1:9" x14ac:dyDescent="0.2">
      <c r="A341" s="422"/>
      <c r="B341" s="422"/>
      <c r="C341" s="422"/>
      <c r="D341" s="422"/>
      <c r="E341" s="422"/>
      <c r="F341" s="422"/>
      <c r="G341" s="418"/>
      <c r="H341" s="418"/>
      <c r="I341" s="422"/>
    </row>
    <row r="342" spans="1:9" x14ac:dyDescent="0.2">
      <c r="A342" s="422"/>
      <c r="B342" s="422"/>
      <c r="C342" s="422"/>
      <c r="D342" s="422"/>
      <c r="E342" s="422"/>
      <c r="F342" s="422"/>
      <c r="G342" s="418"/>
      <c r="H342" s="418"/>
      <c r="I342" s="422"/>
    </row>
    <row r="343" spans="1:9" x14ac:dyDescent="0.2">
      <c r="A343" s="422"/>
      <c r="B343" s="422"/>
      <c r="C343" s="422"/>
      <c r="D343" s="422"/>
      <c r="E343" s="422"/>
      <c r="F343" s="422"/>
      <c r="G343" s="418"/>
      <c r="H343" s="418"/>
      <c r="I343" s="422"/>
    </row>
    <row r="344" spans="1:9" x14ac:dyDescent="0.2">
      <c r="A344" s="422"/>
      <c r="B344" s="422"/>
      <c r="C344" s="422"/>
      <c r="D344" s="422"/>
      <c r="E344" s="422"/>
      <c r="F344" s="422"/>
      <c r="G344" s="418"/>
      <c r="H344" s="418"/>
      <c r="I344" s="422"/>
    </row>
    <row r="345" spans="1:9" x14ac:dyDescent="0.2">
      <c r="A345" s="422"/>
      <c r="B345" s="422"/>
      <c r="C345" s="422"/>
      <c r="D345" s="422"/>
      <c r="E345" s="422"/>
      <c r="F345" s="422"/>
      <c r="G345" s="418"/>
      <c r="H345" s="418"/>
      <c r="I345" s="422"/>
    </row>
    <row r="346" spans="1:9" x14ac:dyDescent="0.2">
      <c r="A346" s="422"/>
      <c r="B346" s="422"/>
      <c r="C346" s="422"/>
      <c r="D346" s="422"/>
      <c r="E346" s="422"/>
      <c r="F346" s="422"/>
      <c r="G346" s="418"/>
      <c r="H346" s="418"/>
      <c r="I346" s="422"/>
    </row>
    <row r="347" spans="1:9" x14ac:dyDescent="0.2">
      <c r="A347" s="422"/>
      <c r="B347" s="422"/>
      <c r="C347" s="422"/>
      <c r="D347" s="422"/>
      <c r="E347" s="422"/>
      <c r="F347" s="422"/>
      <c r="G347" s="418"/>
      <c r="H347" s="418"/>
      <c r="I347" s="422"/>
    </row>
    <row r="348" spans="1:9" x14ac:dyDescent="0.2">
      <c r="A348" s="422"/>
      <c r="B348" s="422"/>
      <c r="C348" s="422"/>
      <c r="D348" s="422"/>
      <c r="E348" s="422"/>
      <c r="F348" s="422"/>
      <c r="G348" s="418"/>
      <c r="H348" s="418"/>
      <c r="I348" s="422"/>
    </row>
    <row r="349" spans="1:9" x14ac:dyDescent="0.2">
      <c r="A349" s="422"/>
      <c r="B349" s="422"/>
      <c r="C349" s="422"/>
      <c r="D349" s="422"/>
      <c r="E349" s="422"/>
      <c r="F349" s="422"/>
      <c r="G349" s="418"/>
      <c r="H349" s="418"/>
      <c r="I349" s="422"/>
    </row>
    <row r="350" spans="1:9" x14ac:dyDescent="0.2">
      <c r="A350" s="422"/>
      <c r="B350" s="422"/>
      <c r="C350" s="422"/>
      <c r="D350" s="422"/>
      <c r="E350" s="422"/>
      <c r="F350" s="422"/>
      <c r="G350" s="418"/>
      <c r="H350" s="418"/>
      <c r="I350" s="422"/>
    </row>
    <row r="351" spans="1:9" x14ac:dyDescent="0.2">
      <c r="A351" s="422"/>
      <c r="B351" s="422"/>
      <c r="C351" s="422"/>
      <c r="D351" s="422"/>
      <c r="E351" s="422"/>
      <c r="F351" s="422"/>
      <c r="G351" s="418"/>
      <c r="H351" s="418"/>
      <c r="I351" s="422"/>
    </row>
    <row r="352" spans="1:9" x14ac:dyDescent="0.2">
      <c r="A352" s="422"/>
      <c r="B352" s="422"/>
      <c r="C352" s="422"/>
      <c r="D352" s="422"/>
      <c r="E352" s="422"/>
      <c r="F352" s="422"/>
      <c r="G352" s="418"/>
      <c r="H352" s="418"/>
      <c r="I352" s="422"/>
    </row>
    <row r="353" spans="1:9" x14ac:dyDescent="0.2">
      <c r="A353" s="422"/>
      <c r="B353" s="422"/>
      <c r="C353" s="422"/>
      <c r="D353" s="422"/>
      <c r="E353" s="422"/>
      <c r="F353" s="422"/>
      <c r="G353" s="418"/>
      <c r="H353" s="418"/>
      <c r="I353" s="422"/>
    </row>
    <row r="354" spans="1:9" x14ac:dyDescent="0.2">
      <c r="A354" s="422"/>
      <c r="B354" s="422"/>
      <c r="C354" s="422"/>
      <c r="D354" s="422"/>
      <c r="E354" s="422"/>
      <c r="F354" s="422"/>
      <c r="G354" s="418"/>
      <c r="H354" s="418"/>
      <c r="I354" s="422"/>
    </row>
  </sheetData>
  <sheetProtection sheet="1" formatRows="0" insertRows="0" insertHyperlinks="0" deleteRows="0" selectLockedCells="1" sort="0" autoFilter="0"/>
  <sortState xmlns:xlrd2="http://schemas.microsoft.com/office/spreadsheetml/2017/richdata2" ref="A1:G730">
    <sortCondition ref="A1:A730"/>
  </sortState>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zoomScale="160" zoomScaleNormal="160" workbookViewId="0">
      <selection activeCell="F3" sqref="F3"/>
    </sheetView>
  </sheetViews>
  <sheetFormatPr defaultRowHeight="12.75" x14ac:dyDescent="0.2"/>
  <cols>
    <col min="1" max="1" width="14" bestFit="1" customWidth="1"/>
    <col min="3" max="3" width="7.140625" bestFit="1" customWidth="1"/>
    <col min="5" max="5" width="20.7109375" bestFit="1" customWidth="1"/>
    <col min="7" max="7" width="9.7109375" bestFit="1" customWidth="1"/>
  </cols>
  <sheetData>
    <row r="1" spans="1:7" ht="15" x14ac:dyDescent="0.25">
      <c r="A1" s="1352" t="s">
        <v>1643</v>
      </c>
      <c r="B1" s="1352"/>
      <c r="C1" s="1352"/>
      <c r="F1" s="53" t="s">
        <v>100</v>
      </c>
      <c r="G1" s="681" t="s">
        <v>1644</v>
      </c>
    </row>
    <row r="2" spans="1:7" ht="15" x14ac:dyDescent="0.25">
      <c r="A2" s="1" t="s">
        <v>1645</v>
      </c>
      <c r="B2" s="676">
        <v>14.74</v>
      </c>
      <c r="C2" s="2" t="s">
        <v>1646</v>
      </c>
      <c r="E2" s="1352" t="s">
        <v>1647</v>
      </c>
      <c r="F2" s="1352"/>
      <c r="G2" s="1352"/>
    </row>
    <row r="3" spans="1:7" x14ac:dyDescent="0.2">
      <c r="A3" s="1" t="s">
        <v>1226</v>
      </c>
      <c r="B3" s="839">
        <f>1+(B2/(258.6-((B2/258.2)*227.1) ) )</f>
        <v>1.0600076319236915</v>
      </c>
      <c r="C3" s="2"/>
      <c r="D3" s="4"/>
      <c r="E3" s="1" t="s">
        <v>1648</v>
      </c>
      <c r="F3" s="676">
        <v>60</v>
      </c>
      <c r="G3" s="2" t="str">
        <f>IF($G$1="Fahrenheit","°F","°C")</f>
        <v>°F</v>
      </c>
    </row>
    <row r="4" spans="1:7" x14ac:dyDescent="0.2">
      <c r="A4" s="1" t="s">
        <v>1649</v>
      </c>
      <c r="B4" s="676">
        <v>204</v>
      </c>
      <c r="C4" s="2" t="s">
        <v>1650</v>
      </c>
      <c r="D4" s="4"/>
      <c r="E4" s="1" t="s">
        <v>1653</v>
      </c>
      <c r="F4" s="676">
        <v>61</v>
      </c>
      <c r="G4" s="2" t="str">
        <f>IF($G$1="Fahrenheit","°F","°C")</f>
        <v>°F</v>
      </c>
    </row>
    <row r="5" spans="1:7" x14ac:dyDescent="0.2">
      <c r="A5" s="1" t="s">
        <v>1652</v>
      </c>
      <c r="B5" s="840">
        <f>B4*B2/100</f>
        <v>30.069600000000001</v>
      </c>
      <c r="C5" s="2" t="s">
        <v>1650</v>
      </c>
      <c r="D5" s="4"/>
      <c r="E5" s="1" t="s">
        <v>1651</v>
      </c>
      <c r="F5" s="680">
        <v>1.0580000000000001</v>
      </c>
    </row>
    <row r="6" spans="1:7" x14ac:dyDescent="0.2">
      <c r="A6" s="1" t="s">
        <v>1654</v>
      </c>
      <c r="B6" s="840">
        <f>B4-B5</f>
        <v>173.93039999999999</v>
      </c>
      <c r="C6" s="2" t="s">
        <v>1650</v>
      </c>
      <c r="D6" s="4"/>
      <c r="E6" s="1" t="s">
        <v>1655</v>
      </c>
      <c r="F6" s="841">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
      <c r="D7" s="4"/>
    </row>
    <row r="8" spans="1:7" x14ac:dyDescent="0.2">
      <c r="A8" s="1353" t="s">
        <v>1657</v>
      </c>
      <c r="B8" s="1353"/>
      <c r="C8" s="1353"/>
      <c r="G8" s="4"/>
    </row>
    <row r="9" spans="1:7" x14ac:dyDescent="0.2">
      <c r="A9" s="1" t="s">
        <v>1656</v>
      </c>
      <c r="B9" s="676">
        <v>14.74</v>
      </c>
      <c r="C9" s="2"/>
    </row>
    <row r="10" spans="1:7" x14ac:dyDescent="0.2">
      <c r="A10" s="1" t="s">
        <v>1226</v>
      </c>
      <c r="B10" s="839">
        <f>(B9/(258.6-((B9/258.2)*227.1))) + 1</f>
        <v>1.0600076319236915</v>
      </c>
      <c r="C10" s="2"/>
    </row>
  </sheetData>
  <sheetProtection sheet="1" objects="1" scenarios="1" selectLockedCell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zoomScale="110" zoomScaleNormal="110" workbookViewId="0">
      <selection activeCell="C2" sqref="C2"/>
    </sheetView>
  </sheetViews>
  <sheetFormatPr defaultColWidth="8.85546875" defaultRowHeight="15" x14ac:dyDescent="0.25"/>
  <cols>
    <col min="1" max="1" width="33.42578125" style="343" bestFit="1" customWidth="1"/>
    <col min="2" max="2" width="5.140625" style="343" customWidth="1"/>
    <col min="3" max="3" width="12" style="343" customWidth="1"/>
    <col min="4" max="4" width="7.7109375" style="343" bestFit="1" customWidth="1"/>
    <col min="5" max="5" width="9.42578125" style="343" customWidth="1"/>
    <col min="6" max="6" width="7.28515625" style="343" bestFit="1" customWidth="1"/>
    <col min="7" max="7" width="8.85546875" style="343"/>
    <col min="8" max="8" width="12" style="343" bestFit="1" customWidth="1"/>
    <col min="9" max="16384" width="8.85546875" style="343"/>
  </cols>
  <sheetData>
    <row r="1" spans="1:6" x14ac:dyDescent="0.25">
      <c r="C1" s="344" t="s">
        <v>1796</v>
      </c>
    </row>
    <row r="2" spans="1:6" ht="17.25" x14ac:dyDescent="0.25">
      <c r="A2" s="343" t="s">
        <v>1797</v>
      </c>
      <c r="B2" s="343" t="s">
        <v>1798</v>
      </c>
      <c r="C2" s="682">
        <v>12</v>
      </c>
      <c r="D2" s="343" t="s">
        <v>1799</v>
      </c>
      <c r="E2" s="844">
        <f>C2*144</f>
        <v>1728</v>
      </c>
      <c r="F2" s="343" t="s">
        <v>1800</v>
      </c>
    </row>
    <row r="3" spans="1:6" x14ac:dyDescent="0.25">
      <c r="A3" s="343" t="s">
        <v>1801</v>
      </c>
      <c r="B3" s="343" t="s">
        <v>1802</v>
      </c>
      <c r="C3" s="683">
        <v>1.01</v>
      </c>
    </row>
    <row r="4" spans="1:6" ht="18" x14ac:dyDescent="0.35">
      <c r="A4" s="343" t="s">
        <v>1803</v>
      </c>
      <c r="B4" s="343" t="s">
        <v>1804</v>
      </c>
      <c r="C4" s="684">
        <f>31/12</f>
        <v>2.5833333333333335</v>
      </c>
      <c r="D4" s="343">
        <v>22</v>
      </c>
    </row>
    <row r="5" spans="1:6" x14ac:dyDescent="0.25">
      <c r="A5" s="343" t="s">
        <v>1805</v>
      </c>
      <c r="B5" s="343" t="s">
        <v>487</v>
      </c>
      <c r="C5" s="682">
        <v>0.1875</v>
      </c>
      <c r="D5" s="343" t="s">
        <v>1806</v>
      </c>
      <c r="E5" s="844">
        <f>C5/12</f>
        <v>1.5625E-2</v>
      </c>
      <c r="F5" s="343" t="s">
        <v>1807</v>
      </c>
    </row>
    <row r="6" spans="1:6" x14ac:dyDescent="0.25">
      <c r="A6" s="343" t="s">
        <v>1808</v>
      </c>
      <c r="B6" s="343" t="s">
        <v>1809</v>
      </c>
      <c r="C6" s="685">
        <f>0.0015/25.4*1/12</f>
        <v>4.9212598425196856E-6</v>
      </c>
      <c r="D6" s="343" t="s">
        <v>1807</v>
      </c>
    </row>
    <row r="7" spans="1:6" x14ac:dyDescent="0.25">
      <c r="A7" s="343" t="s">
        <v>1810</v>
      </c>
      <c r="C7" s="682">
        <v>10</v>
      </c>
      <c r="D7" s="343" t="s">
        <v>1811</v>
      </c>
    </row>
    <row r="8" spans="1:6" x14ac:dyDescent="0.25">
      <c r="C8" s="345"/>
    </row>
    <row r="9" spans="1:6" x14ac:dyDescent="0.25">
      <c r="C9" s="346" t="s">
        <v>1812</v>
      </c>
    </row>
    <row r="10" spans="1:6" ht="18.75" x14ac:dyDescent="0.35">
      <c r="A10" s="343" t="s">
        <v>1813</v>
      </c>
      <c r="B10" s="347" t="s">
        <v>1814</v>
      </c>
      <c r="C10" s="842">
        <v>1.94</v>
      </c>
      <c r="D10" s="343" t="s">
        <v>1815</v>
      </c>
      <c r="E10" s="844">
        <f>C10*32.174049</f>
        <v>62.417655059999994</v>
      </c>
      <c r="F10" s="343" t="s">
        <v>1816</v>
      </c>
    </row>
    <row r="11" spans="1:6" ht="17.25" x14ac:dyDescent="0.25">
      <c r="A11" s="343" t="s">
        <v>1817</v>
      </c>
      <c r="B11" s="347" t="s">
        <v>1650</v>
      </c>
      <c r="C11" s="842">
        <f>C3*E10</f>
        <v>63.041831610599992</v>
      </c>
      <c r="D11" s="343" t="s">
        <v>1818</v>
      </c>
    </row>
    <row r="12" spans="1:6" ht="17.25" x14ac:dyDescent="0.25">
      <c r="A12" s="343" t="s">
        <v>1819</v>
      </c>
      <c r="B12" s="343" t="s">
        <v>1820</v>
      </c>
      <c r="C12" s="842">
        <f>PI()*(E5/2)^2</f>
        <v>1.9174759848570515E-4</v>
      </c>
      <c r="D12" s="343" t="s">
        <v>1821</v>
      </c>
    </row>
    <row r="13" spans="1:6" ht="17.25" x14ac:dyDescent="0.25">
      <c r="A13" s="343" t="s">
        <v>1822</v>
      </c>
      <c r="B13" s="343" t="s">
        <v>1823</v>
      </c>
      <c r="C13" s="842">
        <f>0.016710069444/C7</f>
        <v>1.6710069444000001E-3</v>
      </c>
      <c r="D13" s="343" t="s">
        <v>1824</v>
      </c>
    </row>
    <row r="14" spans="1:6" x14ac:dyDescent="0.25">
      <c r="A14" s="343" t="s">
        <v>1825</v>
      </c>
      <c r="B14" s="343" t="s">
        <v>1826</v>
      </c>
      <c r="C14" s="842">
        <f>C13/C12</f>
        <v>8.7146173281777735</v>
      </c>
      <c r="D14" s="343" t="s">
        <v>1827</v>
      </c>
    </row>
    <row r="15" spans="1:6" ht="18.75" x14ac:dyDescent="0.35">
      <c r="A15" s="343" t="s">
        <v>1828</v>
      </c>
      <c r="B15" s="343" t="s">
        <v>1829</v>
      </c>
      <c r="C15" s="842">
        <f>0.00003228*C3</f>
        <v>3.2602800000000006E-5</v>
      </c>
      <c r="D15" s="343" t="s">
        <v>1830</v>
      </c>
    </row>
    <row r="16" spans="1:6" ht="17.25" x14ac:dyDescent="0.25">
      <c r="A16" s="343" t="s">
        <v>1831</v>
      </c>
      <c r="B16" s="347" t="s">
        <v>1832</v>
      </c>
      <c r="C16" s="842">
        <f>C15/C10</f>
        <v>1.6805567010309282E-5</v>
      </c>
      <c r="D16" s="343" t="s">
        <v>1833</v>
      </c>
    </row>
    <row r="17" spans="1:4" x14ac:dyDescent="0.25">
      <c r="A17" s="343" t="s">
        <v>1834</v>
      </c>
      <c r="B17" s="343" t="s">
        <v>1835</v>
      </c>
      <c r="C17" s="842">
        <f>(C13*E5)/(C16*C12)</f>
        <v>8102.4279436241259</v>
      </c>
    </row>
    <row r="18" spans="1:4" x14ac:dyDescent="0.25">
      <c r="A18" s="343" t="s">
        <v>1836</v>
      </c>
      <c r="B18" s="343" t="s">
        <v>1837</v>
      </c>
      <c r="C18" s="842">
        <f>0.25*(LOG10(C6/(3.7*C5)+5.74/C17^0.9))^-2</f>
        <v>3.2888353186781065E-2</v>
      </c>
    </row>
    <row r="19" spans="1:4" ht="15.75" thickBot="1" x14ac:dyDescent="0.3"/>
    <row r="20" spans="1:4" ht="16.5" thickTop="1" thickBot="1" x14ac:dyDescent="0.3">
      <c r="A20" s="346" t="s">
        <v>1838</v>
      </c>
      <c r="B20" s="348" t="s">
        <v>1839</v>
      </c>
      <c r="C20" s="843">
        <f>(E2/C11-C4)*E5/C18*2*32.2/C14^2</f>
        <v>10.002119249741197</v>
      </c>
      <c r="D20" s="349" t="s">
        <v>1807</v>
      </c>
    </row>
    <row r="21" spans="1:4" ht="15.75" thickTop="1" x14ac:dyDescent="0.25"/>
    <row r="22" spans="1:4" x14ac:dyDescent="0.25">
      <c r="A22" s="343" t="s">
        <v>1840</v>
      </c>
    </row>
    <row r="23" spans="1:4" x14ac:dyDescent="0.25">
      <c r="A23" s="343" t="s">
        <v>1841</v>
      </c>
    </row>
    <row r="24" spans="1:4" x14ac:dyDescent="0.25">
      <c r="A24" s="343" t="s">
        <v>1842</v>
      </c>
    </row>
    <row r="25" spans="1:4" x14ac:dyDescent="0.25">
      <c r="A25" s="343" t="s">
        <v>1843</v>
      </c>
    </row>
    <row r="26" spans="1:4" x14ac:dyDescent="0.25">
      <c r="A26" s="343" t="s">
        <v>1844</v>
      </c>
    </row>
    <row r="27" spans="1:4" x14ac:dyDescent="0.25">
      <c r="A27" s="343" t="s">
        <v>1845</v>
      </c>
    </row>
    <row r="29" spans="1:4" x14ac:dyDescent="0.25">
      <c r="A29" s="343" t="s">
        <v>1846</v>
      </c>
    </row>
    <row r="30" spans="1:4" x14ac:dyDescent="0.25">
      <c r="A30" s="350" t="s">
        <v>1847</v>
      </c>
    </row>
    <row r="34" spans="7:9" x14ac:dyDescent="0.25">
      <c r="G34" s="351"/>
      <c r="H34" s="352"/>
      <c r="I34" s="352"/>
    </row>
  </sheetData>
  <sheetProtection sheet="1" objects="1" scenarios="1" selectLockedCell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zoomScale="110" zoomScaleNormal="110" workbookViewId="0">
      <selection activeCell="G33" sqref="G33"/>
    </sheetView>
  </sheetViews>
  <sheetFormatPr defaultRowHeight="12.75" x14ac:dyDescent="0.2"/>
  <cols>
    <col min="1" max="1" width="19.85546875" customWidth="1"/>
    <col min="2" max="2" width="6.7109375" customWidth="1"/>
    <col min="3" max="3" width="10.7109375" customWidth="1"/>
    <col min="4" max="4" width="2.85546875" customWidth="1"/>
    <col min="5" max="5" width="18" customWidth="1"/>
    <col min="6" max="6" width="8.42578125" customWidth="1"/>
    <col min="7" max="7" width="14.5703125" customWidth="1"/>
    <col min="8" max="8" width="4.28515625" customWidth="1"/>
    <col min="9" max="9" width="18" customWidth="1"/>
    <col min="10" max="10" width="10.7109375" customWidth="1"/>
    <col min="11" max="11" width="13.5703125" customWidth="1"/>
    <col min="12" max="12" width="6.7109375" customWidth="1"/>
    <col min="13" max="13" width="4.85546875" customWidth="1"/>
    <col min="14" max="14" width="2.7109375" customWidth="1"/>
    <col min="15" max="15" width="9.140625" customWidth="1"/>
    <col min="17" max="17" width="8.5703125" customWidth="1"/>
    <col min="18" max="18" width="8.7109375" customWidth="1"/>
    <col min="19" max="19" width="2.85546875" customWidth="1"/>
    <col min="20" max="20" width="18.140625" customWidth="1"/>
    <col min="21" max="21" width="7.85546875" bestFit="1" customWidth="1"/>
    <col min="22" max="22" width="9" customWidth="1"/>
  </cols>
  <sheetData>
    <row r="1" spans="1:22" ht="14.25" x14ac:dyDescent="0.2">
      <c r="A1" s="1355" t="s">
        <v>64</v>
      </c>
      <c r="B1" s="1356"/>
      <c r="C1" s="1356"/>
      <c r="E1" s="1355" t="s">
        <v>61</v>
      </c>
      <c r="F1" s="1356"/>
      <c r="G1" s="1356"/>
      <c r="I1" s="1355" t="s">
        <v>1637</v>
      </c>
      <c r="J1" s="1356"/>
      <c r="K1" s="1356"/>
      <c r="O1" s="1355" t="s">
        <v>37</v>
      </c>
      <c r="P1" s="1356"/>
      <c r="Q1" s="1356"/>
      <c r="R1" s="1365"/>
      <c r="T1" s="1355" t="s">
        <v>28</v>
      </c>
      <c r="U1" s="1356"/>
      <c r="V1" s="1356"/>
    </row>
    <row r="2" spans="1:22" ht="15.75" x14ac:dyDescent="0.3">
      <c r="A2" s="5" t="s">
        <v>38</v>
      </c>
      <c r="B2" s="672">
        <v>0.88</v>
      </c>
      <c r="C2" s="2" t="s">
        <v>15</v>
      </c>
      <c r="E2" s="5" t="s">
        <v>53</v>
      </c>
      <c r="F2" s="672">
        <v>1.73</v>
      </c>
      <c r="G2" s="2" t="s">
        <v>55</v>
      </c>
      <c r="I2" s="5" t="s">
        <v>53</v>
      </c>
      <c r="J2" s="672">
        <v>1.73</v>
      </c>
      <c r="K2" s="2" t="s">
        <v>55</v>
      </c>
      <c r="O2" s="1353" t="s">
        <v>19</v>
      </c>
      <c r="P2" s="1353"/>
      <c r="Q2" s="1368" t="s">
        <v>46</v>
      </c>
      <c r="R2" s="1357" t="s">
        <v>65</v>
      </c>
      <c r="T2" s="1353" t="s">
        <v>21</v>
      </c>
      <c r="U2" s="1358" t="s">
        <v>45</v>
      </c>
      <c r="V2" s="1357" t="s">
        <v>35</v>
      </c>
    </row>
    <row r="3" spans="1:22" ht="15.75" x14ac:dyDescent="0.3">
      <c r="A3" s="5" t="s">
        <v>36</v>
      </c>
      <c r="B3" s="672">
        <v>3.6</v>
      </c>
      <c r="C3" s="2" t="s">
        <v>15</v>
      </c>
      <c r="E3" s="5" t="s">
        <v>54</v>
      </c>
      <c r="F3" s="672">
        <v>6.5</v>
      </c>
      <c r="G3" s="2" t="s">
        <v>55</v>
      </c>
      <c r="I3" s="5" t="s">
        <v>54</v>
      </c>
      <c r="J3" s="672">
        <v>6.5</v>
      </c>
      <c r="K3" s="2" t="s">
        <v>55</v>
      </c>
      <c r="O3" s="2" t="s">
        <v>18</v>
      </c>
      <c r="P3" s="2" t="s">
        <v>20</v>
      </c>
      <c r="Q3" s="1369"/>
      <c r="R3" s="1357"/>
      <c r="T3" s="1353"/>
      <c r="U3" s="1359"/>
      <c r="V3" s="1357"/>
    </row>
    <row r="4" spans="1:22" ht="30" customHeight="1" x14ac:dyDescent="0.2">
      <c r="A4" s="51" t="s">
        <v>1634</v>
      </c>
      <c r="B4" s="815">
        <f>'Recipe Sheet'!AD50</f>
        <v>0</v>
      </c>
      <c r="C4" s="815" t="str">
        <f>'Brewhouse Setup &amp; Calcs'!D18</f>
        <v>qt</v>
      </c>
      <c r="E4" s="51" t="s">
        <v>1634</v>
      </c>
      <c r="F4" s="815">
        <f>'Recipe Sheet'!AD50</f>
        <v>0</v>
      </c>
      <c r="G4" s="815" t="str">
        <f>'Brewhouse Setup &amp; Calcs'!D18</f>
        <v>qt</v>
      </c>
      <c r="I4" s="51" t="s">
        <v>1634</v>
      </c>
      <c r="J4" s="815">
        <f>'Recipe Sheet'!AD50</f>
        <v>0</v>
      </c>
      <c r="K4" s="815" t="str">
        <f>'Brewhouse Setup &amp; Calcs'!D18</f>
        <v>qt</v>
      </c>
      <c r="O4" s="2">
        <v>0</v>
      </c>
      <c r="P4" s="7">
        <f t="shared" ref="P4:P15" si="0">O4*9/5+32</f>
        <v>32</v>
      </c>
      <c r="Q4" s="6">
        <v>3.34</v>
      </c>
      <c r="R4" s="6">
        <v>1.7</v>
      </c>
      <c r="T4" s="1" t="s">
        <v>22</v>
      </c>
      <c r="U4" s="2" t="s">
        <v>47</v>
      </c>
      <c r="V4" s="14" t="s">
        <v>70</v>
      </c>
    </row>
    <row r="5" spans="1:22" ht="16.149999999999999" customHeight="1" thickBot="1" x14ac:dyDescent="0.35">
      <c r="A5" s="1358" t="s">
        <v>56</v>
      </c>
      <c r="B5" s="845">
        <f>(B3-B2)*'Common Variables'!C14/(2*('Common Variables'!D6*'Common Variables'!D7/'Common Variables'!D8))</f>
        <v>10.18538810444088</v>
      </c>
      <c r="C5" s="52" t="s">
        <v>16</v>
      </c>
      <c r="E5" s="1358" t="s">
        <v>56</v>
      </c>
      <c r="F5" s="815">
        <f>(F3-F2)*2.16</f>
        <v>10.3032</v>
      </c>
      <c r="G5" s="2" t="s">
        <v>16</v>
      </c>
      <c r="I5" s="1242" t="s">
        <v>1639</v>
      </c>
      <c r="J5" s="845">
        <f>(J$3-J$2)/(0.5*0.91)</f>
        <v>10.483516483516482</v>
      </c>
      <c r="K5" s="52" t="s">
        <v>16</v>
      </c>
      <c r="O5" s="2">
        <v>2</v>
      </c>
      <c r="P5" s="7">
        <f t="shared" si="0"/>
        <v>35.6</v>
      </c>
      <c r="Q5" s="6">
        <v>3.14</v>
      </c>
      <c r="R5" s="6">
        <v>1.6</v>
      </c>
      <c r="T5" s="1" t="s">
        <v>31</v>
      </c>
      <c r="U5" s="2" t="s">
        <v>27</v>
      </c>
      <c r="V5" s="2" t="s">
        <v>23</v>
      </c>
    </row>
    <row r="6" spans="1:22" ht="13.5" thickBot="1" x14ac:dyDescent="0.25">
      <c r="A6" s="1360"/>
      <c r="B6" s="817">
        <f>B5*$B$4</f>
        <v>0</v>
      </c>
      <c r="C6" s="50" t="s">
        <v>1636</v>
      </c>
      <c r="E6" s="1361"/>
      <c r="F6" s="817">
        <f>F5*$B$4</f>
        <v>0</v>
      </c>
      <c r="G6" s="50" t="s">
        <v>1636</v>
      </c>
      <c r="I6" s="1360"/>
      <c r="J6" s="817">
        <f>J5*$B$4</f>
        <v>0</v>
      </c>
      <c r="K6" s="50" t="s">
        <v>1636</v>
      </c>
      <c r="O6" s="2">
        <v>4</v>
      </c>
      <c r="P6" s="7">
        <f t="shared" si="0"/>
        <v>39.200000000000003</v>
      </c>
      <c r="Q6" s="6">
        <v>2.95</v>
      </c>
      <c r="R6" s="6">
        <v>1.5</v>
      </c>
      <c r="T6" s="1" t="s">
        <v>30</v>
      </c>
      <c r="U6" s="2" t="s">
        <v>48</v>
      </c>
      <c r="V6" s="2" t="s">
        <v>24</v>
      </c>
    </row>
    <row r="7" spans="1:22" ht="13.5" thickBot="1" x14ac:dyDescent="0.25">
      <c r="A7" s="1361"/>
      <c r="B7" s="846">
        <f>B5/28.34952/1.056688</f>
        <v>0.34000483779648361</v>
      </c>
      <c r="C7" s="14" t="s">
        <v>1635</v>
      </c>
      <c r="E7" s="1361"/>
      <c r="F7" s="846">
        <f>F5/28.34952/1.056688</f>
        <v>0.34393759068025542</v>
      </c>
      <c r="G7" s="14" t="s">
        <v>1635</v>
      </c>
      <c r="I7" s="1361"/>
      <c r="J7" s="846">
        <f>J5/28.34952/1.056688</f>
        <v>0.34995684847400826</v>
      </c>
      <c r="K7" s="14" t="s">
        <v>1635</v>
      </c>
      <c r="O7" s="2">
        <v>6</v>
      </c>
      <c r="P7" s="7">
        <f t="shared" si="0"/>
        <v>42.8</v>
      </c>
      <c r="Q7" s="6">
        <v>2.75</v>
      </c>
      <c r="R7" s="6">
        <v>1.4</v>
      </c>
      <c r="T7" s="1" t="s">
        <v>29</v>
      </c>
      <c r="U7" s="2" t="s">
        <v>49</v>
      </c>
      <c r="V7" s="14" t="s">
        <v>74</v>
      </c>
    </row>
    <row r="8" spans="1:22" ht="13.5" thickBot="1" x14ac:dyDescent="0.25">
      <c r="A8" s="1360"/>
      <c r="B8" s="847">
        <f>$B$4*B7</f>
        <v>0</v>
      </c>
      <c r="C8" s="50" t="s">
        <v>1632</v>
      </c>
      <c r="E8" s="1359"/>
      <c r="F8" s="847">
        <f>$B$4*F7</f>
        <v>0</v>
      </c>
      <c r="G8" s="14" t="s">
        <v>1632</v>
      </c>
      <c r="I8" s="1360"/>
      <c r="J8" s="847">
        <f>$B$4*J7</f>
        <v>0</v>
      </c>
      <c r="K8" s="50" t="s">
        <v>1632</v>
      </c>
      <c r="O8" s="2">
        <v>8</v>
      </c>
      <c r="P8" s="7">
        <f t="shared" si="0"/>
        <v>46.4</v>
      </c>
      <c r="Q8" s="6">
        <v>2.5499999999999998</v>
      </c>
      <c r="R8" s="6">
        <v>1.3</v>
      </c>
      <c r="T8" s="13" t="s">
        <v>68</v>
      </c>
      <c r="U8" s="2" t="s">
        <v>50</v>
      </c>
      <c r="V8" s="14" t="s">
        <v>72</v>
      </c>
    </row>
    <row r="9" spans="1:22" ht="16.149999999999999" customHeight="1" thickBot="1" x14ac:dyDescent="0.35">
      <c r="A9" s="1358" t="s">
        <v>57</v>
      </c>
      <c r="B9" s="814">
        <f>B5*1.15</f>
        <v>11.713196320107011</v>
      </c>
      <c r="C9" s="2" t="s">
        <v>16</v>
      </c>
      <c r="E9" s="1358" t="s">
        <v>57</v>
      </c>
      <c r="F9" s="815">
        <f>F5*1.15</f>
        <v>11.84868</v>
      </c>
      <c r="G9" s="2" t="s">
        <v>16</v>
      </c>
      <c r="I9" s="1362" t="s">
        <v>1640</v>
      </c>
      <c r="J9" s="845">
        <f>(J$3-J$2)/(0.5*0.82*0.8)</f>
        <v>14.542682926829267</v>
      </c>
      <c r="K9" s="2" t="s">
        <v>16</v>
      </c>
      <c r="O9" s="2">
        <v>10</v>
      </c>
      <c r="P9" s="7">
        <f t="shared" si="0"/>
        <v>50</v>
      </c>
      <c r="Q9" s="6">
        <v>2.36</v>
      </c>
      <c r="R9" s="6">
        <v>1.2</v>
      </c>
      <c r="T9" s="13" t="s">
        <v>69</v>
      </c>
      <c r="U9" s="2"/>
      <c r="V9" s="14" t="s">
        <v>73</v>
      </c>
    </row>
    <row r="10" spans="1:22" ht="13.5" thickBot="1" x14ac:dyDescent="0.25">
      <c r="A10" s="1361"/>
      <c r="B10" s="817">
        <f>B9*$B$4</f>
        <v>0</v>
      </c>
      <c r="C10" s="14" t="s">
        <v>1636</v>
      </c>
      <c r="E10" s="1361"/>
      <c r="F10" s="817">
        <f>F9*$B$4</f>
        <v>0</v>
      </c>
      <c r="G10" s="14" t="s">
        <v>1636</v>
      </c>
      <c r="I10" s="1363"/>
      <c r="J10" s="817">
        <f>J9*$B$4</f>
        <v>0</v>
      </c>
      <c r="K10" s="14" t="s">
        <v>1636</v>
      </c>
      <c r="O10" s="2">
        <v>12</v>
      </c>
      <c r="P10" s="7">
        <f t="shared" si="0"/>
        <v>53.6</v>
      </c>
      <c r="Q10" s="6">
        <v>2.2000000000000002</v>
      </c>
      <c r="R10" s="6">
        <v>1.1200000000000001</v>
      </c>
      <c r="T10" s="1" t="s">
        <v>32</v>
      </c>
      <c r="U10" s="2" t="s">
        <v>50</v>
      </c>
      <c r="V10" s="2" t="s">
        <v>25</v>
      </c>
    </row>
    <row r="11" spans="1:22" ht="13.5" thickBot="1" x14ac:dyDescent="0.25">
      <c r="A11" s="1361"/>
      <c r="B11" s="837">
        <f>B9/28.34952/1.056688</f>
        <v>0.39100556346595611</v>
      </c>
      <c r="C11" s="14" t="s">
        <v>1635</v>
      </c>
      <c r="E11" s="1361"/>
      <c r="F11" s="837">
        <f>F9/28.34952/1.056688</f>
        <v>0.3955282292822937</v>
      </c>
      <c r="G11" s="14" t="s">
        <v>1635</v>
      </c>
      <c r="I11" s="1363"/>
      <c r="J11" s="837">
        <f>J9/28.34952/1.056688</f>
        <v>0.48545843309656644</v>
      </c>
      <c r="K11" s="14" t="s">
        <v>1635</v>
      </c>
      <c r="O11" s="2">
        <v>14</v>
      </c>
      <c r="P11" s="7">
        <f t="shared" si="0"/>
        <v>57.2</v>
      </c>
      <c r="Q11" s="6">
        <v>2.06</v>
      </c>
      <c r="R11" s="6">
        <v>1.05</v>
      </c>
      <c r="T11" s="1" t="s">
        <v>33</v>
      </c>
      <c r="U11" s="2" t="s">
        <v>52</v>
      </c>
      <c r="V11" s="2" t="s">
        <v>26</v>
      </c>
    </row>
    <row r="12" spans="1:22" ht="13.5" thickBot="1" x14ac:dyDescent="0.25">
      <c r="A12" s="1359"/>
      <c r="B12" s="847">
        <f>$B$4*B11</f>
        <v>0</v>
      </c>
      <c r="C12" s="50" t="s">
        <v>1632</v>
      </c>
      <c r="E12" s="1359"/>
      <c r="F12" s="847">
        <f>$B$4*F11</f>
        <v>0</v>
      </c>
      <c r="G12" s="50" t="s">
        <v>1632</v>
      </c>
      <c r="I12" s="1364"/>
      <c r="J12" s="847">
        <f>$B$4*J11</f>
        <v>0</v>
      </c>
      <c r="K12" s="50" t="s">
        <v>1632</v>
      </c>
      <c r="O12" s="2">
        <v>16</v>
      </c>
      <c r="P12" s="7">
        <f t="shared" si="0"/>
        <v>60.8</v>
      </c>
      <c r="Q12" s="6">
        <v>1.94</v>
      </c>
      <c r="R12" s="6">
        <v>0.99</v>
      </c>
      <c r="T12" s="1" t="s">
        <v>34</v>
      </c>
      <c r="U12" s="2" t="s">
        <v>51</v>
      </c>
      <c r="V12" s="14" t="s">
        <v>71</v>
      </c>
    </row>
    <row r="13" spans="1:22" ht="15" customHeight="1" thickBot="1" x14ac:dyDescent="0.35">
      <c r="A13" s="1366" t="s">
        <v>62</v>
      </c>
      <c r="B13" s="815">
        <f>B5*1.3</f>
        <v>13.241004535773145</v>
      </c>
      <c r="C13" s="2" t="s">
        <v>16</v>
      </c>
      <c r="E13" s="1366" t="s">
        <v>62</v>
      </c>
      <c r="F13" s="815">
        <f>F5*1.3</f>
        <v>13.394160000000001</v>
      </c>
      <c r="G13" s="2" t="s">
        <v>16</v>
      </c>
      <c r="O13" s="2">
        <v>18</v>
      </c>
      <c r="P13" s="7">
        <f t="shared" si="0"/>
        <v>64.400000000000006</v>
      </c>
      <c r="Q13" s="6">
        <v>1.83</v>
      </c>
      <c r="R13" s="6">
        <v>0.93</v>
      </c>
      <c r="T13" s="1"/>
      <c r="U13" s="2"/>
      <c r="V13" s="2"/>
    </row>
    <row r="14" spans="1:22" ht="15" customHeight="1" thickBot="1" x14ac:dyDescent="0.25">
      <c r="A14" s="1363"/>
      <c r="B14" s="817">
        <f>B13*$B$4</f>
        <v>0</v>
      </c>
      <c r="C14" s="50" t="s">
        <v>1636</v>
      </c>
      <c r="E14" s="1363"/>
      <c r="F14" s="817">
        <f>F13*$B$4</f>
        <v>0</v>
      </c>
      <c r="G14" s="50" t="s">
        <v>1636</v>
      </c>
      <c r="O14" s="2">
        <v>20</v>
      </c>
      <c r="P14" s="7">
        <f t="shared" si="0"/>
        <v>68</v>
      </c>
      <c r="Q14" s="6">
        <v>1.73</v>
      </c>
      <c r="R14" s="6">
        <v>0.88</v>
      </c>
      <c r="T14" s="1"/>
      <c r="U14" s="2"/>
      <c r="V14" s="2"/>
    </row>
    <row r="15" spans="1:22" ht="13.5" thickBot="1" x14ac:dyDescent="0.25">
      <c r="A15" s="1363"/>
      <c r="B15" s="837">
        <f>B13/28.34952/1.056688</f>
        <v>0.44200628913542872</v>
      </c>
      <c r="C15" s="14" t="s">
        <v>1635</v>
      </c>
      <c r="E15" s="1363"/>
      <c r="F15" s="837">
        <f>F13/28.34952/1.056688</f>
        <v>0.44711886788433203</v>
      </c>
      <c r="G15" s="14" t="s">
        <v>1635</v>
      </c>
      <c r="O15" s="2">
        <v>22</v>
      </c>
      <c r="P15" s="7">
        <f t="shared" si="0"/>
        <v>71.599999999999994</v>
      </c>
      <c r="Q15" s="6">
        <v>1.63</v>
      </c>
      <c r="R15" s="6">
        <v>0.83</v>
      </c>
    </row>
    <row r="16" spans="1:22" ht="13.5" thickBot="1" x14ac:dyDescent="0.25">
      <c r="A16" s="1364"/>
      <c r="B16" s="847">
        <f>$B$4*B15</f>
        <v>0</v>
      </c>
      <c r="C16" s="50" t="s">
        <v>1632</v>
      </c>
      <c r="E16" s="1364"/>
      <c r="F16" s="847">
        <f>$B$4*F15</f>
        <v>0</v>
      </c>
      <c r="G16" s="50" t="s">
        <v>1632</v>
      </c>
    </row>
    <row r="17" spans="1:17" ht="16.5" thickBot="1" x14ac:dyDescent="0.35">
      <c r="A17" s="1367" t="s">
        <v>63</v>
      </c>
      <c r="B17" s="815">
        <f>B5*1.4</f>
        <v>14.259543346217232</v>
      </c>
      <c r="C17" s="2" t="s">
        <v>16</v>
      </c>
      <c r="E17" s="1367" t="s">
        <v>63</v>
      </c>
      <c r="F17" s="815">
        <f>F5*1.4</f>
        <v>14.424479999999999</v>
      </c>
      <c r="G17" s="2" t="s">
        <v>16</v>
      </c>
      <c r="Q17" s="4"/>
    </row>
    <row r="18" spans="1:17" ht="13.5" thickBot="1" x14ac:dyDescent="0.25">
      <c r="A18" s="1367"/>
      <c r="B18" s="817">
        <f>B17*$B$4</f>
        <v>0</v>
      </c>
      <c r="C18" s="50" t="s">
        <v>1636</v>
      </c>
      <c r="E18" s="1367"/>
      <c r="F18" s="817">
        <f>F17*$B$4</f>
        <v>0</v>
      </c>
      <c r="G18" s="50" t="s">
        <v>1636</v>
      </c>
      <c r="Q18" s="4"/>
    </row>
    <row r="19" spans="1:17" ht="13.5" thickBot="1" x14ac:dyDescent="0.25">
      <c r="A19" s="1367"/>
      <c r="B19" s="837">
        <f>B17/28.34952/1.056688</f>
        <v>0.47600677291507704</v>
      </c>
      <c r="C19" s="2" t="s">
        <v>17</v>
      </c>
      <c r="E19" s="1367"/>
      <c r="F19" s="837">
        <f>F17/28.34952/1.056688</f>
        <v>0.48151262695235753</v>
      </c>
      <c r="G19" s="2" t="s">
        <v>17</v>
      </c>
    </row>
    <row r="20" spans="1:17" ht="13.5" thickBot="1" x14ac:dyDescent="0.25">
      <c r="A20" s="1367"/>
      <c r="B20" s="847">
        <f>$B$4*B19</f>
        <v>0</v>
      </c>
      <c r="C20" s="50" t="s">
        <v>1632</v>
      </c>
      <c r="E20" s="1367"/>
      <c r="F20" s="847">
        <f>$B$4*F19</f>
        <v>0</v>
      </c>
      <c r="G20" s="50" t="s">
        <v>1632</v>
      </c>
    </row>
    <row r="22" spans="1:17" ht="14.25" x14ac:dyDescent="0.2">
      <c r="A22" s="12" t="s">
        <v>58</v>
      </c>
    </row>
    <row r="23" spans="1:17" ht="14.25" x14ac:dyDescent="0.2">
      <c r="A23" s="12" t="s">
        <v>59</v>
      </c>
    </row>
    <row r="24" spans="1:17" ht="14.25" x14ac:dyDescent="0.2">
      <c r="A24" s="12" t="s">
        <v>60</v>
      </c>
    </row>
    <row r="25" spans="1:17" ht="14.25" x14ac:dyDescent="0.2">
      <c r="A25" s="12" t="s">
        <v>1638</v>
      </c>
    </row>
    <row r="32" spans="1:17" x14ac:dyDescent="0.2">
      <c r="E32" s="1248" t="s">
        <v>1513</v>
      </c>
      <c r="F32" s="1248"/>
      <c r="G32" s="1248"/>
    </row>
    <row r="33" spans="5:7" x14ac:dyDescent="0.2">
      <c r="E33" s="1354" t="s">
        <v>1514</v>
      </c>
      <c r="F33" s="1354"/>
      <c r="G33" s="675">
        <v>2.8</v>
      </c>
    </row>
    <row r="34" spans="5:7" x14ac:dyDescent="0.2">
      <c r="E34" s="1354" t="s">
        <v>1515</v>
      </c>
      <c r="F34" s="1354"/>
      <c r="G34" s="607">
        <v>38</v>
      </c>
    </row>
    <row r="35" spans="5:7" x14ac:dyDescent="0.2">
      <c r="E35" s="1354" t="s">
        <v>1516</v>
      </c>
      <c r="F35" s="1354"/>
      <c r="G35" s="48">
        <f xml:space="preserve"> -16.6999 - 0.0101059*G34 + 0.00116512*G34^2 + 0.173354*G34*G33 + 4.24267*G33 - 0.0684226*G33^2</f>
        <v>14.386417496000002</v>
      </c>
    </row>
    <row r="36" spans="5:7" x14ac:dyDescent="0.2">
      <c r="E36" s="46" t="s">
        <v>1517</v>
      </c>
    </row>
  </sheetData>
  <sheetProtection sheet="1" objects="1" scenarios="1" selectLockedCells="1"/>
  <mergeCells count="25">
    <mergeCell ref="A1:C1"/>
    <mergeCell ref="O1:R1"/>
    <mergeCell ref="A13:A16"/>
    <mergeCell ref="A17:A20"/>
    <mergeCell ref="A5:A8"/>
    <mergeCell ref="A9:A12"/>
    <mergeCell ref="R2:R3"/>
    <mergeCell ref="E1:G1"/>
    <mergeCell ref="E5:E8"/>
    <mergeCell ref="E9:E12"/>
    <mergeCell ref="E13:E16"/>
    <mergeCell ref="E17:E20"/>
    <mergeCell ref="Q2:Q3"/>
    <mergeCell ref="O2:P2"/>
    <mergeCell ref="E32:G32"/>
    <mergeCell ref="E33:F33"/>
    <mergeCell ref="E34:F34"/>
    <mergeCell ref="E35:F35"/>
    <mergeCell ref="T1:V1"/>
    <mergeCell ref="V2:V3"/>
    <mergeCell ref="T2:T3"/>
    <mergeCell ref="U2:U3"/>
    <mergeCell ref="I1:K1"/>
    <mergeCell ref="I5:I8"/>
    <mergeCell ref="I9:I1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zoomScale="150" zoomScaleNormal="150" workbookViewId="0">
      <selection activeCell="C4" sqref="C4"/>
    </sheetView>
  </sheetViews>
  <sheetFormatPr defaultRowHeight="12.75" x14ac:dyDescent="0.2"/>
  <cols>
    <col min="3" max="3" width="9.42578125" customWidth="1"/>
    <col min="4" max="4" width="32.85546875" bestFit="1" customWidth="1"/>
    <col min="5" max="5" width="93.28515625" customWidth="1"/>
  </cols>
  <sheetData>
    <row r="2" spans="2:5" x14ac:dyDescent="0.2">
      <c r="B2" s="1370" t="s">
        <v>1542</v>
      </c>
      <c r="C2" s="1371"/>
      <c r="D2" s="1372"/>
      <c r="E2" s="24" t="s">
        <v>1543</v>
      </c>
    </row>
    <row r="3" spans="2:5" x14ac:dyDescent="0.2">
      <c r="B3" s="44" t="s">
        <v>1524</v>
      </c>
      <c r="C3" s="44" t="s">
        <v>101</v>
      </c>
      <c r="D3" s="44" t="s">
        <v>67</v>
      </c>
      <c r="E3" s="49" t="s">
        <v>1546</v>
      </c>
    </row>
    <row r="4" spans="2:5" x14ac:dyDescent="0.2">
      <c r="B4" s="14" t="s">
        <v>1525</v>
      </c>
      <c r="C4" s="686">
        <v>0.79</v>
      </c>
      <c r="D4" s="13" t="s">
        <v>1526</v>
      </c>
      <c r="E4" s="34" t="s">
        <v>1544</v>
      </c>
    </row>
    <row r="5" spans="2:5" x14ac:dyDescent="0.2">
      <c r="B5" s="2" t="s">
        <v>1521</v>
      </c>
      <c r="C5" s="686">
        <v>4.2000000000000003E-2</v>
      </c>
      <c r="D5" s="1" t="s">
        <v>1233</v>
      </c>
      <c r="E5" s="34" t="s">
        <v>1545</v>
      </c>
    </row>
    <row r="6" spans="2:5" x14ac:dyDescent="0.2">
      <c r="B6" s="2" t="s">
        <v>1522</v>
      </c>
      <c r="C6" s="848">
        <f>((C4-C5-0.002)*46.214)/1000+1</f>
        <v>1.034475644</v>
      </c>
      <c r="D6" s="1" t="s">
        <v>1523</v>
      </c>
    </row>
    <row r="8" spans="2:5" x14ac:dyDescent="0.2">
      <c r="B8" s="1370" t="s">
        <v>1541</v>
      </c>
      <c r="C8" s="1371"/>
      <c r="D8" s="1372"/>
      <c r="E8" s="24" t="s">
        <v>1543</v>
      </c>
    </row>
    <row r="9" spans="2:5" x14ac:dyDescent="0.2">
      <c r="B9" s="44" t="s">
        <v>1524</v>
      </c>
      <c r="C9" s="44" t="s">
        <v>101</v>
      </c>
      <c r="D9" s="44" t="s">
        <v>67</v>
      </c>
      <c r="E9" s="19" t="s">
        <v>1547</v>
      </c>
    </row>
    <row r="10" spans="2:5" x14ac:dyDescent="0.2">
      <c r="B10" s="14" t="s">
        <v>1525</v>
      </c>
      <c r="C10" s="686">
        <v>0.79</v>
      </c>
      <c r="D10" s="13" t="s">
        <v>1526</v>
      </c>
    </row>
    <row r="11" spans="2:5" x14ac:dyDescent="0.2">
      <c r="B11" s="2"/>
      <c r="C11" s="687"/>
      <c r="D11" s="1"/>
    </row>
    <row r="12" spans="2:5" x14ac:dyDescent="0.2">
      <c r="B12" s="2" t="s">
        <v>1522</v>
      </c>
      <c r="C12" s="848">
        <f>((C10)*46.214)/1000+1</f>
        <v>1.03650906</v>
      </c>
      <c r="D12" s="1" t="s">
        <v>1523</v>
      </c>
    </row>
  </sheetData>
  <sheetProtection sheet="1" objects="1" scenarios="1" selectLockedCell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zoomScale="150" zoomScaleNormal="150" workbookViewId="0">
      <selection activeCell="F15" sqref="F15"/>
    </sheetView>
  </sheetViews>
  <sheetFormatPr defaultRowHeight="12.75" x14ac:dyDescent="0.2"/>
  <cols>
    <col min="1" max="1" width="13.85546875" bestFit="1" customWidth="1"/>
    <col min="2" max="2" width="3.28515625" customWidth="1"/>
    <col min="3" max="3" width="8.28515625" bestFit="1" customWidth="1"/>
    <col min="4" max="4" width="8.5703125" bestFit="1" customWidth="1"/>
    <col min="5" max="5" width="6.28515625" customWidth="1"/>
    <col min="6" max="6" width="16.42578125" customWidth="1"/>
    <col min="7" max="7" width="18.7109375" style="36" bestFit="1" customWidth="1"/>
    <col min="8" max="8" width="13.7109375" customWidth="1"/>
    <col min="12" max="12" width="32.85546875" bestFit="1" customWidth="1"/>
  </cols>
  <sheetData>
    <row r="1" spans="1:8" x14ac:dyDescent="0.2">
      <c r="A1" s="1353" t="s">
        <v>78</v>
      </c>
      <c r="B1" s="1353"/>
      <c r="C1" s="1353"/>
      <c r="D1" s="1353"/>
    </row>
    <row r="2" spans="1:8" x14ac:dyDescent="0.2">
      <c r="A2" s="16" t="s">
        <v>76</v>
      </c>
      <c r="B2" s="3"/>
      <c r="C2" s="18" t="s">
        <v>79</v>
      </c>
      <c r="D2" s="3" t="s">
        <v>80</v>
      </c>
      <c r="F2" s="35" t="s">
        <v>1118</v>
      </c>
      <c r="G2" s="36">
        <v>0.45359237000000002</v>
      </c>
    </row>
    <row r="3" spans="1:8" x14ac:dyDescent="0.2">
      <c r="A3" s="849">
        <v>8.73</v>
      </c>
      <c r="B3" s="15" t="s">
        <v>0</v>
      </c>
      <c r="C3" s="735">
        <f>A3*0.8125</f>
        <v>7.0931250000000006</v>
      </c>
      <c r="D3" s="735">
        <f>A3*0.6875</f>
        <v>6.0018750000000001</v>
      </c>
      <c r="F3" s="28" t="s">
        <v>1119</v>
      </c>
      <c r="G3" s="36">
        <v>2.20462262185</v>
      </c>
    </row>
    <row r="4" spans="1:8" x14ac:dyDescent="0.2">
      <c r="A4" s="16" t="s">
        <v>77</v>
      </c>
      <c r="B4" s="3"/>
      <c r="C4" s="18" t="s">
        <v>81</v>
      </c>
      <c r="D4" s="3" t="s">
        <v>82</v>
      </c>
      <c r="F4" s="35" t="s">
        <v>1120</v>
      </c>
      <c r="G4" s="36">
        <v>1.0566882049699999</v>
      </c>
    </row>
    <row r="5" spans="1:8" x14ac:dyDescent="0.2">
      <c r="A5" s="849">
        <v>7.57</v>
      </c>
      <c r="B5" s="15" t="s">
        <v>0</v>
      </c>
      <c r="C5" s="735">
        <f>A5*0.937</f>
        <v>7.093090000000001</v>
      </c>
      <c r="D5" s="735">
        <f>A5*0.7929</f>
        <v>6.0022530000000005</v>
      </c>
      <c r="F5" s="28" t="s">
        <v>1121</v>
      </c>
      <c r="G5" s="36">
        <v>0.94635294999999997</v>
      </c>
    </row>
    <row r="6" spans="1:8" x14ac:dyDescent="0.2">
      <c r="F6" s="22" t="s">
        <v>1122</v>
      </c>
      <c r="G6" s="36">
        <v>2.0863511218233199</v>
      </c>
    </row>
    <row r="7" spans="1:8" x14ac:dyDescent="0.2">
      <c r="A7" s="1353" t="s">
        <v>75</v>
      </c>
      <c r="B7" s="1353"/>
      <c r="C7" s="1353"/>
      <c r="D7" s="1353"/>
      <c r="F7" s="28" t="s">
        <v>1123</v>
      </c>
      <c r="G7" s="37">
        <v>154</v>
      </c>
      <c r="H7" s="38">
        <f>5/9*(G7-32)</f>
        <v>67.777777777777786</v>
      </c>
    </row>
    <row r="8" spans="1:8" x14ac:dyDescent="0.2">
      <c r="A8" s="17" t="s">
        <v>79</v>
      </c>
      <c r="B8" s="3"/>
      <c r="C8" s="1375" t="s">
        <v>76</v>
      </c>
      <c r="D8" s="1376"/>
      <c r="F8" s="22" t="s">
        <v>1124</v>
      </c>
      <c r="G8" s="36">
        <v>28.349519999999998</v>
      </c>
    </row>
    <row r="9" spans="1:8" x14ac:dyDescent="0.2">
      <c r="A9" s="849">
        <v>6.6</v>
      </c>
      <c r="B9" s="15" t="s">
        <v>0</v>
      </c>
      <c r="C9" s="1373">
        <f>A9/0.8125</f>
        <v>8.1230769230769226</v>
      </c>
      <c r="D9" s="1374"/>
      <c r="F9" s="28" t="s">
        <v>1125</v>
      </c>
      <c r="G9" s="36">
        <v>0.26417205124199999</v>
      </c>
    </row>
    <row r="10" spans="1:8" ht="25.5" x14ac:dyDescent="0.2">
      <c r="A10" s="17" t="s">
        <v>80</v>
      </c>
      <c r="B10" s="3"/>
      <c r="C10" s="1375" t="s">
        <v>76</v>
      </c>
      <c r="D10" s="1376"/>
      <c r="F10" s="39" t="s">
        <v>1127</v>
      </c>
      <c r="G10" s="36">
        <v>4.5100000000000001E-4</v>
      </c>
    </row>
    <row r="11" spans="1:8" ht="25.5" x14ac:dyDescent="0.2">
      <c r="A11" s="849">
        <v>2</v>
      </c>
      <c r="B11" s="15" t="s">
        <v>0</v>
      </c>
      <c r="C11" s="1373">
        <f>A11/0.6875</f>
        <v>2.9090909090909092</v>
      </c>
      <c r="D11" s="1374"/>
      <c r="F11" s="39" t="s">
        <v>1126</v>
      </c>
      <c r="G11" s="36">
        <f>G10*17.22</f>
        <v>7.7662199999999999E-3</v>
      </c>
    </row>
    <row r="12" spans="1:8" x14ac:dyDescent="0.2">
      <c r="A12" s="17" t="s">
        <v>81</v>
      </c>
      <c r="B12" s="3"/>
      <c r="C12" s="1375" t="s">
        <v>76</v>
      </c>
      <c r="D12" s="1376"/>
    </row>
    <row r="13" spans="1:8" x14ac:dyDescent="0.2">
      <c r="A13" s="849">
        <v>6</v>
      </c>
      <c r="B13" s="15" t="s">
        <v>0</v>
      </c>
      <c r="C13" s="1373">
        <f>A13/0.937</f>
        <v>6.4034151547491991</v>
      </c>
      <c r="D13" s="1374"/>
      <c r="F13" s="29" t="s">
        <v>1226</v>
      </c>
      <c r="G13" s="45" t="s">
        <v>89</v>
      </c>
    </row>
    <row r="14" spans="1:8" x14ac:dyDescent="0.2">
      <c r="A14" s="17" t="s">
        <v>82</v>
      </c>
      <c r="B14" s="3"/>
      <c r="C14" s="1375" t="s">
        <v>76</v>
      </c>
      <c r="D14" s="1376"/>
      <c r="G14" s="45">
        <v>1.6</v>
      </c>
      <c r="H14" s="19" t="s">
        <v>1227</v>
      </c>
    </row>
    <row r="15" spans="1:8" x14ac:dyDescent="0.2">
      <c r="A15" s="849">
        <v>6</v>
      </c>
      <c r="B15" s="15" t="s">
        <v>0</v>
      </c>
      <c r="C15" s="1373">
        <f>A15/0.7929</f>
        <v>7.567158531971244</v>
      </c>
      <c r="D15" s="1374"/>
      <c r="G15" s="36">
        <v>0.38</v>
      </c>
      <c r="H15" s="19" t="s">
        <v>1228</v>
      </c>
    </row>
    <row r="16" spans="1:8" x14ac:dyDescent="0.2">
      <c r="G16" s="45" t="s">
        <v>1229</v>
      </c>
    </row>
    <row r="17" spans="1:8" x14ac:dyDescent="0.2">
      <c r="A17" s="19" t="s">
        <v>84</v>
      </c>
      <c r="G17" s="36">
        <v>4.18</v>
      </c>
      <c r="H17" s="19" t="s">
        <v>1227</v>
      </c>
    </row>
    <row r="18" spans="1:8" x14ac:dyDescent="0.2">
      <c r="A18" s="19" t="s">
        <v>83</v>
      </c>
      <c r="G18" s="36">
        <v>0.99904397700000003</v>
      </c>
      <c r="H18" s="19" t="s">
        <v>1228</v>
      </c>
    </row>
    <row r="19" spans="1:8" x14ac:dyDescent="0.2">
      <c r="A19" s="19" t="s">
        <v>85</v>
      </c>
    </row>
    <row r="20" spans="1:8" x14ac:dyDescent="0.2">
      <c r="A20" s="19" t="s">
        <v>86</v>
      </c>
    </row>
    <row r="23" spans="1:8" x14ac:dyDescent="0.2">
      <c r="B23" s="19"/>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84A4-86BD-4F0E-967C-E90AA4CC4987}">
  <dimension ref="A1:L208"/>
  <sheetViews>
    <sheetView workbookViewId="0">
      <pane ySplit="1" topLeftCell="A2" activePane="bottomLeft" state="frozen"/>
      <selection pane="bottomLeft" activeCell="H113" sqref="H113"/>
    </sheetView>
  </sheetViews>
  <sheetFormatPr defaultColWidth="8.85546875" defaultRowHeight="12.75" x14ac:dyDescent="0.2"/>
  <cols>
    <col min="1" max="1" width="39" style="385" bestFit="1" customWidth="1"/>
    <col min="2" max="2" width="14.28515625" style="213" customWidth="1"/>
    <col min="3" max="3" width="12.5703125" style="213" customWidth="1"/>
    <col min="4" max="4" width="11.28515625" style="213" customWidth="1"/>
    <col min="5" max="5" width="12.7109375" style="213" customWidth="1"/>
    <col min="6" max="6" width="11.7109375" style="213" customWidth="1"/>
    <col min="7" max="7" width="12.85546875" style="213" customWidth="1"/>
    <col min="8" max="8" width="15" style="213" customWidth="1"/>
    <col min="9" max="9" width="13.85546875" style="213" customWidth="1"/>
    <col min="10" max="11" width="13.28515625" style="213" customWidth="1"/>
    <col min="12" max="12" width="9.5703125" style="397" bestFit="1" customWidth="1"/>
    <col min="13" max="16384" width="8.85546875" style="199"/>
  </cols>
  <sheetData>
    <row r="1" spans="1:12" ht="13.5" thickBot="1" x14ac:dyDescent="0.25">
      <c r="A1" s="412" t="s">
        <v>21</v>
      </c>
      <c r="B1" s="410" t="s">
        <v>2130</v>
      </c>
      <c r="C1" s="410" t="s">
        <v>2131</v>
      </c>
      <c r="D1" s="410" t="s">
        <v>2132</v>
      </c>
      <c r="E1" s="410" t="s">
        <v>2133</v>
      </c>
      <c r="F1" s="410" t="s">
        <v>2134</v>
      </c>
      <c r="G1" s="410" t="s">
        <v>2135</v>
      </c>
      <c r="H1" s="410" t="s">
        <v>2136</v>
      </c>
      <c r="I1" s="410" t="s">
        <v>2137</v>
      </c>
      <c r="J1" s="410" t="s">
        <v>2139</v>
      </c>
      <c r="K1" s="410" t="s">
        <v>2138</v>
      </c>
      <c r="L1"/>
    </row>
    <row r="2" spans="1:12" ht="15.75" thickTop="1" x14ac:dyDescent="0.2">
      <c r="A2" s="411" t="s">
        <v>595</v>
      </c>
      <c r="B2" s="406">
        <v>1.028</v>
      </c>
      <c r="C2" s="406">
        <v>1.04</v>
      </c>
      <c r="D2" s="406">
        <v>0.998</v>
      </c>
      <c r="E2" s="406">
        <v>1.008</v>
      </c>
      <c r="F2" s="407">
        <v>8</v>
      </c>
      <c r="G2" s="408">
        <v>12</v>
      </c>
      <c r="H2" s="409">
        <v>2.8</v>
      </c>
      <c r="I2" s="409">
        <v>4.2</v>
      </c>
      <c r="J2" s="851">
        <v>2</v>
      </c>
      <c r="K2" s="851">
        <v>3</v>
      </c>
      <c r="L2"/>
    </row>
    <row r="3" spans="1:12" ht="15" x14ac:dyDescent="0.2">
      <c r="A3" s="1" t="s">
        <v>596</v>
      </c>
      <c r="B3" s="400">
        <v>1.04</v>
      </c>
      <c r="C3" s="400">
        <v>1.05</v>
      </c>
      <c r="D3" s="400">
        <v>1.004</v>
      </c>
      <c r="E3" s="400">
        <v>1.01</v>
      </c>
      <c r="F3" s="401">
        <v>8</v>
      </c>
      <c r="G3" s="402">
        <v>18</v>
      </c>
      <c r="H3" s="403">
        <v>4.2</v>
      </c>
      <c r="I3" s="403">
        <v>5.3</v>
      </c>
      <c r="J3" s="851">
        <v>2</v>
      </c>
      <c r="K3" s="851">
        <v>4</v>
      </c>
      <c r="L3"/>
    </row>
    <row r="4" spans="1:12" ht="15" x14ac:dyDescent="0.2">
      <c r="A4" s="1" t="s">
        <v>597</v>
      </c>
      <c r="B4" s="400">
        <v>1.042</v>
      </c>
      <c r="C4" s="400">
        <v>1.0549999999999999</v>
      </c>
      <c r="D4" s="400">
        <v>1.006</v>
      </c>
      <c r="E4" s="400">
        <v>1.012</v>
      </c>
      <c r="F4" s="401">
        <v>8</v>
      </c>
      <c r="G4" s="402">
        <v>20</v>
      </c>
      <c r="H4" s="403">
        <v>4.2</v>
      </c>
      <c r="I4" s="403">
        <v>5.6</v>
      </c>
      <c r="J4" s="851">
        <v>2.5</v>
      </c>
      <c r="K4" s="851">
        <v>5</v>
      </c>
      <c r="L4"/>
    </row>
    <row r="5" spans="1:12" ht="15" x14ac:dyDescent="0.2">
      <c r="A5" s="1" t="s">
        <v>598</v>
      </c>
      <c r="B5" s="400">
        <v>1.04</v>
      </c>
      <c r="C5" s="400">
        <v>1.0549999999999999</v>
      </c>
      <c r="D5" s="400">
        <v>1.008</v>
      </c>
      <c r="E5" s="400">
        <v>1.0129999999999999</v>
      </c>
      <c r="F5" s="401">
        <v>15</v>
      </c>
      <c r="G5" s="402">
        <v>30</v>
      </c>
      <c r="H5" s="403">
        <v>4</v>
      </c>
      <c r="I5" s="403">
        <v>5.5</v>
      </c>
      <c r="J5" s="851">
        <v>3</v>
      </c>
      <c r="K5" s="851">
        <v>6</v>
      </c>
      <c r="L5"/>
    </row>
    <row r="6" spans="1:12" ht="15" x14ac:dyDescent="0.2">
      <c r="A6" s="1" t="s">
        <v>599</v>
      </c>
      <c r="B6" s="400">
        <v>1.042</v>
      </c>
      <c r="C6" s="400">
        <v>1.05</v>
      </c>
      <c r="D6" s="400">
        <v>1.008</v>
      </c>
      <c r="E6" s="400">
        <v>1.012</v>
      </c>
      <c r="F6" s="401">
        <v>18</v>
      </c>
      <c r="G6" s="402">
        <v>25</v>
      </c>
      <c r="H6" s="403">
        <v>4.5999999999999996</v>
      </c>
      <c r="I6" s="403">
        <v>6</v>
      </c>
      <c r="J6" s="851">
        <v>2</v>
      </c>
      <c r="K6" s="851">
        <v>6</v>
      </c>
      <c r="L6"/>
    </row>
    <row r="7" spans="1:12" ht="15" x14ac:dyDescent="0.2">
      <c r="A7" s="1" t="s">
        <v>600</v>
      </c>
      <c r="B7" s="400">
        <v>1.042</v>
      </c>
      <c r="C7" s="400">
        <v>1.0549999999999999</v>
      </c>
      <c r="D7" s="400">
        <v>1.008</v>
      </c>
      <c r="E7" s="400">
        <v>1.014</v>
      </c>
      <c r="F7" s="401">
        <v>8</v>
      </c>
      <c r="G7" s="402">
        <v>25</v>
      </c>
      <c r="H7" s="403">
        <v>4.5999999999999996</v>
      </c>
      <c r="I7" s="403">
        <v>6</v>
      </c>
      <c r="J7" s="851">
        <v>7</v>
      </c>
      <c r="K7" s="851">
        <v>14</v>
      </c>
      <c r="L7"/>
    </row>
    <row r="8" spans="1:12" ht="15" x14ac:dyDescent="0.2">
      <c r="A8" s="1" t="s">
        <v>601</v>
      </c>
      <c r="B8" s="400">
        <v>1.044</v>
      </c>
      <c r="C8" s="400">
        <v>1.056</v>
      </c>
      <c r="D8" s="400">
        <v>1.008</v>
      </c>
      <c r="E8" s="400">
        <v>1.012</v>
      </c>
      <c r="F8" s="401">
        <v>8</v>
      </c>
      <c r="G8" s="402">
        <v>20</v>
      </c>
      <c r="H8" s="403">
        <v>4.2</v>
      </c>
      <c r="I8" s="403">
        <v>6</v>
      </c>
      <c r="J8" s="851">
        <v>14</v>
      </c>
      <c r="K8" s="851">
        <v>22</v>
      </c>
      <c r="L8"/>
    </row>
    <row r="9" spans="1:12" ht="15" x14ac:dyDescent="0.2">
      <c r="A9" s="1" t="s">
        <v>602</v>
      </c>
      <c r="B9" s="400">
        <v>1.028</v>
      </c>
      <c r="C9" s="400">
        <v>1.044</v>
      </c>
      <c r="D9" s="400">
        <v>1.008</v>
      </c>
      <c r="E9" s="400">
        <v>1.014</v>
      </c>
      <c r="F9" s="401">
        <v>20</v>
      </c>
      <c r="G9" s="402">
        <v>35</v>
      </c>
      <c r="H9" s="403">
        <v>3</v>
      </c>
      <c r="I9" s="403">
        <v>4.0999999999999996</v>
      </c>
      <c r="J9" s="851">
        <v>3</v>
      </c>
      <c r="K9" s="851">
        <v>6</v>
      </c>
      <c r="L9"/>
    </row>
    <row r="10" spans="1:12" ht="15" x14ac:dyDescent="0.2">
      <c r="A10" s="1" t="s">
        <v>603</v>
      </c>
      <c r="B10" s="400">
        <v>1.044</v>
      </c>
      <c r="C10" s="400">
        <v>1.06</v>
      </c>
      <c r="D10" s="400">
        <v>1.0129999999999999</v>
      </c>
      <c r="E10" s="400">
        <v>1.0169999999999999</v>
      </c>
      <c r="F10" s="401">
        <v>30</v>
      </c>
      <c r="G10" s="402">
        <v>45</v>
      </c>
      <c r="H10" s="403">
        <v>4.2</v>
      </c>
      <c r="I10" s="403">
        <v>5.8</v>
      </c>
      <c r="J10" s="851">
        <v>3.5</v>
      </c>
      <c r="K10" s="851">
        <v>6</v>
      </c>
      <c r="L10"/>
    </row>
    <row r="11" spans="1:12" ht="15" x14ac:dyDescent="0.2">
      <c r="A11" s="1" t="s">
        <v>604</v>
      </c>
      <c r="B11" s="400">
        <v>1.044</v>
      </c>
      <c r="C11" s="400">
        <v>1.06</v>
      </c>
      <c r="D11" s="400">
        <v>1.0129999999999999</v>
      </c>
      <c r="E11" s="400">
        <v>1.0169999999999999</v>
      </c>
      <c r="F11" s="401">
        <v>20</v>
      </c>
      <c r="G11" s="402">
        <v>35</v>
      </c>
      <c r="H11" s="403">
        <v>4.4000000000000004</v>
      </c>
      <c r="I11" s="403">
        <v>5.8</v>
      </c>
      <c r="J11" s="851">
        <v>10</v>
      </c>
      <c r="K11" s="851">
        <v>16</v>
      </c>
      <c r="L11"/>
    </row>
    <row r="12" spans="1:12" ht="15" x14ac:dyDescent="0.2">
      <c r="A12" s="1" t="s">
        <v>605</v>
      </c>
      <c r="B12" s="400">
        <v>1.044</v>
      </c>
      <c r="C12" s="400">
        <v>1.06</v>
      </c>
      <c r="D12" s="400">
        <v>1.0129999999999999</v>
      </c>
      <c r="E12" s="400">
        <v>1.0169999999999999</v>
      </c>
      <c r="F12" s="401">
        <v>18</v>
      </c>
      <c r="G12" s="402">
        <v>34</v>
      </c>
      <c r="H12" s="403">
        <v>4.4000000000000004</v>
      </c>
      <c r="I12" s="403">
        <v>5.8</v>
      </c>
      <c r="J12" s="851">
        <v>14</v>
      </c>
      <c r="K12" s="851">
        <v>35</v>
      </c>
      <c r="L12"/>
    </row>
    <row r="13" spans="1:12" ht="15" x14ac:dyDescent="0.2">
      <c r="A13" s="1" t="s">
        <v>606</v>
      </c>
      <c r="B13" s="400">
        <v>1.044</v>
      </c>
      <c r="C13" s="400">
        <v>1.048</v>
      </c>
      <c r="D13" s="400">
        <v>1.006</v>
      </c>
      <c r="E13" s="400">
        <v>1.012</v>
      </c>
      <c r="F13" s="401">
        <v>16</v>
      </c>
      <c r="G13" s="402">
        <v>22</v>
      </c>
      <c r="H13" s="403">
        <v>4.7</v>
      </c>
      <c r="I13" s="403">
        <v>5.4</v>
      </c>
      <c r="J13" s="851">
        <v>3</v>
      </c>
      <c r="K13" s="851">
        <v>5</v>
      </c>
      <c r="L13"/>
    </row>
    <row r="14" spans="1:12" ht="15" x14ac:dyDescent="0.2">
      <c r="A14" s="1" t="s">
        <v>607</v>
      </c>
      <c r="B14" s="400">
        <v>1.054</v>
      </c>
      <c r="C14" s="400">
        <v>1.0569999999999999</v>
      </c>
      <c r="D14" s="400">
        <v>1.01</v>
      </c>
      <c r="E14" s="400">
        <v>1.012</v>
      </c>
      <c r="F14" s="401">
        <v>18</v>
      </c>
      <c r="G14" s="402">
        <v>25</v>
      </c>
      <c r="H14" s="403">
        <v>5.8</v>
      </c>
      <c r="I14" s="403">
        <v>6.3</v>
      </c>
      <c r="J14" s="851">
        <v>4</v>
      </c>
      <c r="K14" s="851">
        <v>7</v>
      </c>
      <c r="L14"/>
    </row>
    <row r="15" spans="1:12" ht="15" x14ac:dyDescent="0.2">
      <c r="A15" s="1" t="s">
        <v>608</v>
      </c>
      <c r="B15" s="400">
        <v>1.0640000000000001</v>
      </c>
      <c r="C15" s="400">
        <v>1.0720000000000001</v>
      </c>
      <c r="D15" s="400">
        <v>1.0109999999999999</v>
      </c>
      <c r="E15" s="400">
        <v>1.018</v>
      </c>
      <c r="F15" s="401">
        <v>23</v>
      </c>
      <c r="G15" s="402">
        <v>35</v>
      </c>
      <c r="H15" s="403">
        <v>6.3</v>
      </c>
      <c r="I15" s="403">
        <v>7.4</v>
      </c>
      <c r="J15" s="851">
        <v>6</v>
      </c>
      <c r="K15" s="851">
        <v>11</v>
      </c>
      <c r="L15"/>
    </row>
    <row r="16" spans="1:12" ht="15" x14ac:dyDescent="0.2">
      <c r="A16" s="1" t="s">
        <v>609</v>
      </c>
      <c r="B16" s="400">
        <v>1.026</v>
      </c>
      <c r="C16" s="400">
        <v>1.034</v>
      </c>
      <c r="D16" s="400">
        <v>1.006</v>
      </c>
      <c r="E16" s="400">
        <v>1.01</v>
      </c>
      <c r="F16" s="401">
        <v>15</v>
      </c>
      <c r="G16" s="402">
        <v>28</v>
      </c>
      <c r="H16" s="403">
        <v>2.4</v>
      </c>
      <c r="I16" s="403">
        <v>3.6</v>
      </c>
      <c r="J16" s="851">
        <v>2</v>
      </c>
      <c r="K16" s="851">
        <v>5</v>
      </c>
      <c r="L16"/>
    </row>
    <row r="17" spans="1:12" ht="15" x14ac:dyDescent="0.2">
      <c r="A17" s="1" t="s">
        <v>610</v>
      </c>
      <c r="B17" s="400">
        <v>1.044</v>
      </c>
      <c r="C17" s="400">
        <v>1.05</v>
      </c>
      <c r="D17" s="400">
        <v>1.0069999999999999</v>
      </c>
      <c r="E17" s="400">
        <v>1.0109999999999999</v>
      </c>
      <c r="F17" s="401">
        <v>18</v>
      </c>
      <c r="G17" s="402">
        <v>30</v>
      </c>
      <c r="H17" s="403">
        <v>4.4000000000000004</v>
      </c>
      <c r="I17" s="403">
        <v>5.2</v>
      </c>
      <c r="J17" s="851">
        <v>3.5</v>
      </c>
      <c r="K17" s="851">
        <v>5</v>
      </c>
      <c r="L17"/>
    </row>
    <row r="18" spans="1:12" ht="15" x14ac:dyDescent="0.2">
      <c r="A18" s="1" t="s">
        <v>611</v>
      </c>
      <c r="B18" s="400">
        <v>1.048</v>
      </c>
      <c r="C18" s="400">
        <v>1.056</v>
      </c>
      <c r="D18" s="400">
        <v>1.01</v>
      </c>
      <c r="E18" s="400">
        <v>1.0149999999999999</v>
      </c>
      <c r="F18" s="401">
        <v>20</v>
      </c>
      <c r="G18" s="402">
        <v>30</v>
      </c>
      <c r="H18" s="403">
        <v>4.8</v>
      </c>
      <c r="I18" s="403">
        <v>6</v>
      </c>
      <c r="J18" s="851">
        <v>4</v>
      </c>
      <c r="K18" s="851">
        <v>7</v>
      </c>
      <c r="L18"/>
    </row>
    <row r="19" spans="1:12" ht="15" x14ac:dyDescent="0.2">
      <c r="A19" s="1" t="s">
        <v>612</v>
      </c>
      <c r="B19" s="400">
        <v>1.044</v>
      </c>
      <c r="C19" s="400">
        <v>1.05</v>
      </c>
      <c r="D19" s="400">
        <v>1.008</v>
      </c>
      <c r="E19" s="400">
        <v>1.0129999999999999</v>
      </c>
      <c r="F19" s="401">
        <v>22</v>
      </c>
      <c r="G19" s="402">
        <v>40</v>
      </c>
      <c r="H19" s="403">
        <v>4.4000000000000004</v>
      </c>
      <c r="I19" s="403">
        <v>5.2</v>
      </c>
      <c r="J19" s="851">
        <v>2</v>
      </c>
      <c r="K19" s="851">
        <v>5</v>
      </c>
      <c r="L19"/>
    </row>
    <row r="20" spans="1:12" ht="15" x14ac:dyDescent="0.2">
      <c r="A20" s="1" t="s">
        <v>615</v>
      </c>
      <c r="B20" s="400">
        <v>1.054</v>
      </c>
      <c r="C20" s="400">
        <v>1.06</v>
      </c>
      <c r="D20" s="400">
        <v>1.01</v>
      </c>
      <c r="E20" s="400">
        <v>1.014</v>
      </c>
      <c r="F20" s="401">
        <v>18</v>
      </c>
      <c r="G20" s="402">
        <v>24</v>
      </c>
      <c r="H20" s="403">
        <v>5.8</v>
      </c>
      <c r="I20" s="403">
        <v>6.3</v>
      </c>
      <c r="J20" s="851">
        <v>8</v>
      </c>
      <c r="K20" s="851">
        <v>17</v>
      </c>
      <c r="L20"/>
    </row>
    <row r="21" spans="1:12" ht="15" x14ac:dyDescent="0.2">
      <c r="A21" s="1" t="s">
        <v>616</v>
      </c>
      <c r="B21" s="400">
        <v>1.05</v>
      </c>
      <c r="C21" s="400">
        <v>1.0569999999999999</v>
      </c>
      <c r="D21" s="400">
        <v>1.012</v>
      </c>
      <c r="E21" s="400">
        <v>1.016</v>
      </c>
      <c r="F21" s="401">
        <v>20</v>
      </c>
      <c r="G21" s="402">
        <v>30</v>
      </c>
      <c r="H21" s="403">
        <v>4.8</v>
      </c>
      <c r="I21" s="403">
        <v>6</v>
      </c>
      <c r="J21" s="851">
        <v>12</v>
      </c>
      <c r="K21" s="851">
        <v>22</v>
      </c>
      <c r="L21"/>
    </row>
    <row r="22" spans="1:12" ht="15" x14ac:dyDescent="0.2">
      <c r="A22" s="1" t="s">
        <v>617</v>
      </c>
      <c r="B22" s="400">
        <v>1.0640000000000001</v>
      </c>
      <c r="C22" s="400">
        <v>1.0720000000000001</v>
      </c>
      <c r="D22" s="400">
        <v>1.0129999999999999</v>
      </c>
      <c r="E22" s="400">
        <v>1.0189999999999999</v>
      </c>
      <c r="F22" s="401">
        <v>20</v>
      </c>
      <c r="G22" s="402">
        <v>27</v>
      </c>
      <c r="H22" s="403">
        <v>6.3</v>
      </c>
      <c r="I22" s="403">
        <v>7.2</v>
      </c>
      <c r="J22" s="851">
        <v>14</v>
      </c>
      <c r="K22" s="851">
        <v>22</v>
      </c>
      <c r="L22"/>
    </row>
    <row r="23" spans="1:12" ht="15" x14ac:dyDescent="0.2">
      <c r="A23" s="1" t="s">
        <v>613</v>
      </c>
      <c r="B23" s="400">
        <v>1.048</v>
      </c>
      <c r="C23" s="400">
        <v>1.0549999999999999</v>
      </c>
      <c r="D23" s="400">
        <v>1.01</v>
      </c>
      <c r="E23" s="400">
        <v>1.014</v>
      </c>
      <c r="F23" s="401">
        <v>18</v>
      </c>
      <c r="G23" s="402">
        <v>30</v>
      </c>
      <c r="H23" s="403">
        <v>4.7</v>
      </c>
      <c r="I23" s="403">
        <v>5.5</v>
      </c>
      <c r="J23" s="851">
        <v>9</v>
      </c>
      <c r="K23" s="851">
        <v>15</v>
      </c>
      <c r="L23"/>
    </row>
    <row r="24" spans="1:12" ht="15" x14ac:dyDescent="0.2">
      <c r="A24" s="1" t="s">
        <v>614</v>
      </c>
      <c r="B24" s="400">
        <v>1.044</v>
      </c>
      <c r="C24" s="400">
        <v>1.052</v>
      </c>
      <c r="D24" s="400">
        <v>1.008</v>
      </c>
      <c r="E24" s="400">
        <v>1.014</v>
      </c>
      <c r="F24" s="401">
        <v>25</v>
      </c>
      <c r="G24" s="402">
        <v>50</v>
      </c>
      <c r="H24" s="403">
        <v>4.3</v>
      </c>
      <c r="I24" s="403">
        <v>5.5</v>
      </c>
      <c r="J24" s="851">
        <v>11</v>
      </c>
      <c r="K24" s="851">
        <v>17</v>
      </c>
      <c r="L24"/>
    </row>
    <row r="25" spans="1:12" ht="15" x14ac:dyDescent="0.2">
      <c r="A25" s="1" t="s">
        <v>618</v>
      </c>
      <c r="B25" s="400">
        <v>1.048</v>
      </c>
      <c r="C25" s="400">
        <v>1.056</v>
      </c>
      <c r="D25" s="400">
        <v>1.01</v>
      </c>
      <c r="E25" s="400">
        <v>1.016</v>
      </c>
      <c r="F25" s="401">
        <v>18</v>
      </c>
      <c r="G25" s="402">
        <v>28</v>
      </c>
      <c r="H25" s="403">
        <v>4.5</v>
      </c>
      <c r="I25" s="403">
        <v>5.6</v>
      </c>
      <c r="J25" s="851">
        <v>14</v>
      </c>
      <c r="K25" s="851">
        <v>28</v>
      </c>
      <c r="L25"/>
    </row>
    <row r="26" spans="1:12" ht="15" x14ac:dyDescent="0.2">
      <c r="A26" s="1" t="s">
        <v>619</v>
      </c>
      <c r="B26" s="400">
        <v>1.046</v>
      </c>
      <c r="C26" s="400">
        <v>1.052</v>
      </c>
      <c r="D26" s="400">
        <v>1.01</v>
      </c>
      <c r="E26" s="400">
        <v>1.016</v>
      </c>
      <c r="F26" s="401">
        <v>20</v>
      </c>
      <c r="G26" s="402">
        <v>30</v>
      </c>
      <c r="H26" s="403">
        <v>4.4000000000000004</v>
      </c>
      <c r="I26" s="403">
        <v>5.4</v>
      </c>
      <c r="J26" s="851">
        <v>17</v>
      </c>
      <c r="K26" s="851">
        <v>30</v>
      </c>
      <c r="L26"/>
    </row>
    <row r="27" spans="1:12" ht="15" x14ac:dyDescent="0.2">
      <c r="A27" s="1" t="s">
        <v>620</v>
      </c>
      <c r="B27" s="400">
        <v>1.0720000000000001</v>
      </c>
      <c r="C27" s="400">
        <v>1.1120000000000001</v>
      </c>
      <c r="D27" s="400">
        <v>1.016</v>
      </c>
      <c r="E27" s="400">
        <v>1.024</v>
      </c>
      <c r="F27" s="401">
        <v>16</v>
      </c>
      <c r="G27" s="402">
        <v>26</v>
      </c>
      <c r="H27" s="403">
        <v>7</v>
      </c>
      <c r="I27" s="403">
        <v>10</v>
      </c>
      <c r="J27" s="851">
        <v>6</v>
      </c>
      <c r="K27" s="851">
        <v>25</v>
      </c>
      <c r="L27"/>
    </row>
    <row r="28" spans="1:12" ht="15" x14ac:dyDescent="0.2">
      <c r="A28" s="1" t="s">
        <v>621</v>
      </c>
      <c r="B28" s="400">
        <v>1.0780000000000001</v>
      </c>
      <c r="C28" s="400">
        <v>1.1200000000000001</v>
      </c>
      <c r="D28" s="400">
        <v>1.02</v>
      </c>
      <c r="E28" s="400">
        <v>1.0349999999999999</v>
      </c>
      <c r="F28" s="401">
        <v>25</v>
      </c>
      <c r="G28" s="402">
        <v>35</v>
      </c>
      <c r="H28" s="403">
        <v>9</v>
      </c>
      <c r="I28" s="403">
        <v>14</v>
      </c>
      <c r="J28" s="851">
        <v>18</v>
      </c>
      <c r="K28" s="851">
        <v>30</v>
      </c>
      <c r="L28"/>
    </row>
    <row r="29" spans="1:12" ht="15" x14ac:dyDescent="0.2">
      <c r="A29" s="1" t="s">
        <v>622</v>
      </c>
      <c r="B29" s="400">
        <v>1.06</v>
      </c>
      <c r="C29" s="400">
        <v>1.0900000000000001</v>
      </c>
      <c r="D29" s="400">
        <v>1.016</v>
      </c>
      <c r="E29" s="400">
        <v>1.024</v>
      </c>
      <c r="F29" s="401">
        <v>20</v>
      </c>
      <c r="G29" s="402">
        <v>40</v>
      </c>
      <c r="H29" s="403">
        <v>6.5</v>
      </c>
      <c r="I29" s="403">
        <v>9.5</v>
      </c>
      <c r="J29" s="851">
        <v>17</v>
      </c>
      <c r="K29" s="851">
        <v>30</v>
      </c>
      <c r="L29"/>
    </row>
    <row r="30" spans="1:12" ht="15" x14ac:dyDescent="0.2">
      <c r="A30" s="1" t="s">
        <v>623</v>
      </c>
      <c r="B30" s="400">
        <v>1.044</v>
      </c>
      <c r="C30" s="400">
        <v>1.052</v>
      </c>
      <c r="D30" s="400">
        <v>1.01</v>
      </c>
      <c r="E30" s="400">
        <v>1.014</v>
      </c>
      <c r="F30" s="401">
        <v>8</v>
      </c>
      <c r="G30" s="402">
        <v>15</v>
      </c>
      <c r="H30" s="403">
        <v>4.3</v>
      </c>
      <c r="I30" s="403">
        <v>5.6</v>
      </c>
      <c r="J30" s="851">
        <v>2</v>
      </c>
      <c r="K30" s="851">
        <v>6</v>
      </c>
      <c r="L30"/>
    </row>
    <row r="31" spans="1:12" ht="15" x14ac:dyDescent="0.2">
      <c r="A31" s="1" t="s">
        <v>624</v>
      </c>
      <c r="B31" s="400">
        <v>1.044</v>
      </c>
      <c r="C31" s="400">
        <v>1.056</v>
      </c>
      <c r="D31" s="400">
        <v>1.01</v>
      </c>
      <c r="E31" s="400">
        <v>1.014</v>
      </c>
      <c r="F31" s="401">
        <v>10</v>
      </c>
      <c r="G31" s="402">
        <v>18</v>
      </c>
      <c r="H31" s="403">
        <v>4.3</v>
      </c>
      <c r="I31" s="403">
        <v>5.6</v>
      </c>
      <c r="J31" s="851">
        <v>14</v>
      </c>
      <c r="K31" s="851">
        <v>23</v>
      </c>
      <c r="L31"/>
    </row>
    <row r="32" spans="1:12" ht="15" x14ac:dyDescent="0.2">
      <c r="A32" s="1" t="s">
        <v>625</v>
      </c>
      <c r="B32" s="400">
        <v>1.0640000000000001</v>
      </c>
      <c r="C32" s="400">
        <v>1.0900000000000001</v>
      </c>
      <c r="D32" s="400">
        <v>1.0149999999999999</v>
      </c>
      <c r="E32" s="400">
        <v>1.022</v>
      </c>
      <c r="F32" s="401">
        <v>15</v>
      </c>
      <c r="G32" s="402">
        <v>30</v>
      </c>
      <c r="H32" s="403">
        <v>6.5</v>
      </c>
      <c r="I32" s="403">
        <v>9</v>
      </c>
      <c r="J32" s="851">
        <v>6</v>
      </c>
      <c r="K32" s="851">
        <v>25</v>
      </c>
      <c r="L32"/>
    </row>
    <row r="33" spans="1:12" ht="15" x14ac:dyDescent="0.2">
      <c r="A33" s="1" t="s">
        <v>626</v>
      </c>
      <c r="B33" s="400">
        <v>1.03</v>
      </c>
      <c r="C33" s="400">
        <v>1.0389999999999999</v>
      </c>
      <c r="D33" s="400">
        <v>1.0069999999999999</v>
      </c>
      <c r="E33" s="400">
        <v>1.0109999999999999</v>
      </c>
      <c r="F33" s="401">
        <v>25</v>
      </c>
      <c r="G33" s="402">
        <v>35</v>
      </c>
      <c r="H33" s="403">
        <v>3.2</v>
      </c>
      <c r="I33" s="403">
        <v>3.8</v>
      </c>
      <c r="J33" s="851">
        <v>8</v>
      </c>
      <c r="K33" s="851">
        <v>14</v>
      </c>
      <c r="L33"/>
    </row>
    <row r="34" spans="1:12" ht="15" x14ac:dyDescent="0.2">
      <c r="A34" s="1" t="s">
        <v>627</v>
      </c>
      <c r="B34" s="400">
        <v>1.04</v>
      </c>
      <c r="C34" s="400">
        <v>1.048</v>
      </c>
      <c r="D34" s="400">
        <v>1.008</v>
      </c>
      <c r="E34" s="400">
        <v>1.012</v>
      </c>
      <c r="F34" s="401">
        <v>25</v>
      </c>
      <c r="G34" s="402">
        <v>40</v>
      </c>
      <c r="H34" s="403">
        <v>3.8</v>
      </c>
      <c r="I34" s="403">
        <v>4.5999999999999996</v>
      </c>
      <c r="J34" s="851">
        <v>8</v>
      </c>
      <c r="K34" s="851">
        <v>16</v>
      </c>
      <c r="L34"/>
    </row>
    <row r="35" spans="1:12" ht="15" x14ac:dyDescent="0.2">
      <c r="A35" s="1" t="s">
        <v>628</v>
      </c>
      <c r="B35" s="400">
        <v>1.048</v>
      </c>
      <c r="C35" s="400">
        <v>1.06</v>
      </c>
      <c r="D35" s="400">
        <v>1.01</v>
      </c>
      <c r="E35" s="400">
        <v>1.016</v>
      </c>
      <c r="F35" s="401">
        <v>30</v>
      </c>
      <c r="G35" s="402">
        <v>50</v>
      </c>
      <c r="H35" s="403">
        <v>4.5999999999999996</v>
      </c>
      <c r="I35" s="403">
        <v>6.2</v>
      </c>
      <c r="J35" s="851">
        <v>8</v>
      </c>
      <c r="K35" s="851">
        <v>18</v>
      </c>
      <c r="L35"/>
    </row>
    <row r="36" spans="1:12" ht="15" x14ac:dyDescent="0.2">
      <c r="A36" s="1" t="s">
        <v>629</v>
      </c>
      <c r="B36" s="400">
        <v>1.038</v>
      </c>
      <c r="C36" s="400">
        <v>1.0529999999999999</v>
      </c>
      <c r="D36" s="400">
        <v>1.006</v>
      </c>
      <c r="E36" s="400">
        <v>1.012</v>
      </c>
      <c r="F36" s="401">
        <v>20</v>
      </c>
      <c r="G36" s="402">
        <v>45</v>
      </c>
      <c r="H36" s="403">
        <v>3.8</v>
      </c>
      <c r="I36" s="403">
        <v>5</v>
      </c>
      <c r="J36" s="851">
        <v>2</v>
      </c>
      <c r="K36" s="851">
        <v>6</v>
      </c>
      <c r="L36"/>
    </row>
    <row r="37" spans="1:12" ht="15" x14ac:dyDescent="0.2">
      <c r="A37" s="1" t="s">
        <v>630</v>
      </c>
      <c r="B37" s="400">
        <v>1.038</v>
      </c>
      <c r="C37" s="400">
        <v>1.05</v>
      </c>
      <c r="D37" s="400">
        <v>1.004</v>
      </c>
      <c r="E37" s="400">
        <v>1.006</v>
      </c>
      <c r="F37" s="401">
        <v>20</v>
      </c>
      <c r="G37" s="402">
        <v>35</v>
      </c>
      <c r="H37" s="403">
        <v>4.5</v>
      </c>
      <c r="I37" s="403">
        <v>6</v>
      </c>
      <c r="J37" s="851">
        <v>4</v>
      </c>
      <c r="K37" s="851">
        <v>7</v>
      </c>
      <c r="L37"/>
    </row>
    <row r="38" spans="1:12" ht="15" x14ac:dyDescent="0.2">
      <c r="A38" s="1" t="s">
        <v>631</v>
      </c>
      <c r="B38" s="400">
        <v>1.05</v>
      </c>
      <c r="C38" s="400">
        <v>1.075</v>
      </c>
      <c r="D38" s="400">
        <v>1.01</v>
      </c>
      <c r="E38" s="400">
        <v>1.018</v>
      </c>
      <c r="F38" s="401">
        <v>40</v>
      </c>
      <c r="G38" s="402">
        <v>60</v>
      </c>
      <c r="H38" s="403">
        <v>5</v>
      </c>
      <c r="I38" s="403">
        <v>7.5</v>
      </c>
      <c r="J38" s="851">
        <v>6</v>
      </c>
      <c r="K38" s="851">
        <v>14</v>
      </c>
      <c r="L38"/>
    </row>
    <row r="39" spans="1:12" ht="15" x14ac:dyDescent="0.2">
      <c r="A39" s="1" t="s">
        <v>632</v>
      </c>
      <c r="B39" s="400">
        <v>1.03</v>
      </c>
      <c r="C39" s="400">
        <v>1.038</v>
      </c>
      <c r="D39" s="400">
        <v>1.008</v>
      </c>
      <c r="E39" s="400">
        <v>1.0129999999999999</v>
      </c>
      <c r="F39" s="401">
        <v>10</v>
      </c>
      <c r="G39" s="402">
        <v>25</v>
      </c>
      <c r="H39" s="403">
        <v>3</v>
      </c>
      <c r="I39" s="403">
        <v>3.8</v>
      </c>
      <c r="J39" s="851">
        <v>12</v>
      </c>
      <c r="K39" s="851">
        <v>25</v>
      </c>
      <c r="L39"/>
    </row>
    <row r="40" spans="1:12" ht="15" x14ac:dyDescent="0.2">
      <c r="A40" s="1" t="s">
        <v>633</v>
      </c>
      <c r="B40" s="400">
        <v>1.04</v>
      </c>
      <c r="C40" s="400">
        <v>1.052</v>
      </c>
      <c r="D40" s="400">
        <v>1.008</v>
      </c>
      <c r="E40" s="400">
        <v>1.0129999999999999</v>
      </c>
      <c r="F40" s="401">
        <v>20</v>
      </c>
      <c r="G40" s="402">
        <v>30</v>
      </c>
      <c r="H40" s="403">
        <v>4.2</v>
      </c>
      <c r="I40" s="403">
        <v>5.4</v>
      </c>
      <c r="J40" s="851">
        <v>12</v>
      </c>
      <c r="K40" s="851">
        <v>22</v>
      </c>
      <c r="L40"/>
    </row>
    <row r="41" spans="1:12" ht="15" x14ac:dyDescent="0.2">
      <c r="A41" s="1" t="s">
        <v>634</v>
      </c>
      <c r="B41" s="400">
        <v>1.04</v>
      </c>
      <c r="C41" s="400">
        <v>1.052</v>
      </c>
      <c r="D41" s="400">
        <v>1.008</v>
      </c>
      <c r="E41" s="400">
        <v>1.014</v>
      </c>
      <c r="F41" s="401">
        <v>18</v>
      </c>
      <c r="G41" s="402">
        <v>35</v>
      </c>
      <c r="H41" s="403">
        <v>4</v>
      </c>
      <c r="I41" s="403">
        <v>5.4</v>
      </c>
      <c r="J41" s="851">
        <v>20</v>
      </c>
      <c r="K41" s="851">
        <v>30</v>
      </c>
      <c r="L41"/>
    </row>
    <row r="42" spans="1:12" ht="15" x14ac:dyDescent="0.2">
      <c r="A42" s="1" t="s">
        <v>635</v>
      </c>
      <c r="B42" s="400">
        <v>1.03</v>
      </c>
      <c r="C42" s="400">
        <v>1.0349999999999999</v>
      </c>
      <c r="D42" s="400">
        <v>1.01</v>
      </c>
      <c r="E42" s="400">
        <v>1.0129999999999999</v>
      </c>
      <c r="F42" s="401">
        <v>10</v>
      </c>
      <c r="G42" s="402">
        <v>20</v>
      </c>
      <c r="H42" s="403">
        <v>2.5</v>
      </c>
      <c r="I42" s="403">
        <v>3.2</v>
      </c>
      <c r="J42" s="851">
        <v>17</v>
      </c>
      <c r="K42" s="851">
        <v>22</v>
      </c>
      <c r="L42"/>
    </row>
    <row r="43" spans="1:12" ht="15" x14ac:dyDescent="0.2">
      <c r="A43" s="1" t="s">
        <v>636</v>
      </c>
      <c r="B43" s="400">
        <v>1.0349999999999999</v>
      </c>
      <c r="C43" s="400">
        <v>1.04</v>
      </c>
      <c r="D43" s="400">
        <v>1.01</v>
      </c>
      <c r="E43" s="400">
        <v>1.0149999999999999</v>
      </c>
      <c r="F43" s="401">
        <v>10</v>
      </c>
      <c r="G43" s="402">
        <v>20</v>
      </c>
      <c r="H43" s="403">
        <v>3.2</v>
      </c>
      <c r="I43" s="403">
        <v>3.9</v>
      </c>
      <c r="J43" s="851">
        <v>13</v>
      </c>
      <c r="K43" s="851">
        <v>22</v>
      </c>
      <c r="L43"/>
    </row>
    <row r="44" spans="1:12" ht="15" x14ac:dyDescent="0.2">
      <c r="A44" s="1" t="s">
        <v>637</v>
      </c>
      <c r="B44" s="400">
        <v>1.04</v>
      </c>
      <c r="C44" s="400">
        <v>1.06</v>
      </c>
      <c r="D44" s="400">
        <v>1.01</v>
      </c>
      <c r="E44" s="400">
        <v>1.016</v>
      </c>
      <c r="F44" s="401">
        <v>15</v>
      </c>
      <c r="G44" s="402">
        <v>30</v>
      </c>
      <c r="H44" s="403">
        <v>3.9</v>
      </c>
      <c r="I44" s="403">
        <v>6</v>
      </c>
      <c r="J44" s="851">
        <v>13</v>
      </c>
      <c r="K44" s="851">
        <v>22</v>
      </c>
      <c r="L44"/>
    </row>
    <row r="45" spans="1:12" ht="15" x14ac:dyDescent="0.2">
      <c r="A45" s="1" t="s">
        <v>638</v>
      </c>
      <c r="B45" s="400">
        <v>1.036</v>
      </c>
      <c r="C45" s="400">
        <v>1.046</v>
      </c>
      <c r="D45" s="400">
        <v>1.01</v>
      </c>
      <c r="E45" s="400">
        <v>1.014</v>
      </c>
      <c r="F45" s="401">
        <v>18</v>
      </c>
      <c r="G45" s="402">
        <v>28</v>
      </c>
      <c r="H45" s="403">
        <v>3.8</v>
      </c>
      <c r="I45" s="403">
        <v>5</v>
      </c>
      <c r="J45" s="851">
        <v>9</v>
      </c>
      <c r="K45" s="851">
        <v>14</v>
      </c>
      <c r="L45"/>
    </row>
    <row r="46" spans="1:12" ht="15" x14ac:dyDescent="0.2">
      <c r="A46" s="1" t="s">
        <v>639</v>
      </c>
      <c r="B46" s="400">
        <v>1.036</v>
      </c>
      <c r="C46" s="400">
        <v>1.044</v>
      </c>
      <c r="D46" s="400">
        <v>1.0069999999999999</v>
      </c>
      <c r="E46" s="400">
        <v>1.0109999999999999</v>
      </c>
      <c r="F46" s="401">
        <v>25</v>
      </c>
      <c r="G46" s="402">
        <v>45</v>
      </c>
      <c r="H46" s="403">
        <v>4</v>
      </c>
      <c r="I46" s="403">
        <v>4.5</v>
      </c>
      <c r="J46" s="851">
        <v>25</v>
      </c>
      <c r="K46" s="851">
        <v>40</v>
      </c>
      <c r="L46"/>
    </row>
    <row r="47" spans="1:12" ht="15" x14ac:dyDescent="0.2">
      <c r="A47" s="1" t="s">
        <v>640</v>
      </c>
      <c r="B47" s="400">
        <v>1.052</v>
      </c>
      <c r="C47" s="400">
        <v>1.0620000000000001</v>
      </c>
      <c r="D47" s="400">
        <v>1.01</v>
      </c>
      <c r="E47" s="400">
        <v>1.014</v>
      </c>
      <c r="F47" s="401">
        <v>35</v>
      </c>
      <c r="G47" s="402">
        <v>50</v>
      </c>
      <c r="H47" s="403">
        <v>5.5</v>
      </c>
      <c r="I47" s="403">
        <v>6.5</v>
      </c>
      <c r="J47" s="851">
        <v>25</v>
      </c>
      <c r="K47" s="851">
        <v>40</v>
      </c>
      <c r="L47"/>
    </row>
    <row r="48" spans="1:12" ht="15" x14ac:dyDescent="0.2">
      <c r="A48" s="1" t="s">
        <v>641</v>
      </c>
      <c r="B48" s="400">
        <v>1.044</v>
      </c>
      <c r="C48" s="400">
        <v>1.06</v>
      </c>
      <c r="D48" s="400">
        <v>1.012</v>
      </c>
      <c r="E48" s="400">
        <v>1.024</v>
      </c>
      <c r="F48" s="401">
        <v>20</v>
      </c>
      <c r="G48" s="402">
        <v>40</v>
      </c>
      <c r="H48" s="403">
        <v>4</v>
      </c>
      <c r="I48" s="403">
        <v>6</v>
      </c>
      <c r="J48" s="851">
        <v>30</v>
      </c>
      <c r="K48" s="851">
        <v>40</v>
      </c>
      <c r="L48"/>
    </row>
    <row r="49" spans="1:12" ht="15" x14ac:dyDescent="0.2">
      <c r="A49" s="1" t="s">
        <v>642</v>
      </c>
      <c r="B49" s="400">
        <v>1.0449999999999999</v>
      </c>
      <c r="C49" s="400">
        <v>1.0649999999999999</v>
      </c>
      <c r="D49" s="400">
        <v>1.01</v>
      </c>
      <c r="E49" s="400">
        <v>1.018</v>
      </c>
      <c r="F49" s="401">
        <v>25</v>
      </c>
      <c r="G49" s="402">
        <v>40</v>
      </c>
      <c r="H49" s="403">
        <v>4.2</v>
      </c>
      <c r="I49" s="403">
        <v>5.9</v>
      </c>
      <c r="J49" s="851">
        <v>22</v>
      </c>
      <c r="K49" s="851">
        <v>40</v>
      </c>
      <c r="L49"/>
    </row>
    <row r="50" spans="1:12" ht="15" x14ac:dyDescent="0.2">
      <c r="A50" s="1" t="s">
        <v>643</v>
      </c>
      <c r="B50" s="400">
        <v>1.056</v>
      </c>
      <c r="C50" s="400">
        <v>1.075</v>
      </c>
      <c r="D50" s="400">
        <v>1.01</v>
      </c>
      <c r="E50" s="400">
        <v>1.018</v>
      </c>
      <c r="F50" s="401">
        <v>30</v>
      </c>
      <c r="G50" s="402">
        <v>50</v>
      </c>
      <c r="H50" s="403">
        <v>5.5</v>
      </c>
      <c r="I50" s="403">
        <v>8</v>
      </c>
      <c r="J50" s="851">
        <v>30</v>
      </c>
      <c r="K50" s="851">
        <v>40</v>
      </c>
      <c r="L50"/>
    </row>
    <row r="51" spans="1:12" ht="15" x14ac:dyDescent="0.2">
      <c r="A51" s="1" t="s">
        <v>644</v>
      </c>
      <c r="B51" s="400">
        <v>1.056</v>
      </c>
      <c r="C51" s="400">
        <v>1.075</v>
      </c>
      <c r="D51" s="400">
        <v>1.01</v>
      </c>
      <c r="E51" s="400">
        <v>1.018</v>
      </c>
      <c r="F51" s="401">
        <v>50</v>
      </c>
      <c r="G51" s="402">
        <v>70</v>
      </c>
      <c r="H51" s="403">
        <v>6.3</v>
      </c>
      <c r="I51" s="403">
        <v>8</v>
      </c>
      <c r="J51" s="851">
        <v>30</v>
      </c>
      <c r="K51" s="851">
        <v>40</v>
      </c>
      <c r="L51"/>
    </row>
    <row r="52" spans="1:12" ht="15" x14ac:dyDescent="0.2">
      <c r="A52" s="1" t="s">
        <v>645</v>
      </c>
      <c r="B52" s="400">
        <v>1.0549999999999999</v>
      </c>
      <c r="C52" s="400">
        <v>1.08</v>
      </c>
      <c r="D52" s="400">
        <v>1.0149999999999999</v>
      </c>
      <c r="E52" s="400">
        <v>1.022</v>
      </c>
      <c r="F52" s="401">
        <v>30</v>
      </c>
      <c r="G52" s="402">
        <v>60</v>
      </c>
      <c r="H52" s="403">
        <v>5.5</v>
      </c>
      <c r="I52" s="403">
        <v>8</v>
      </c>
      <c r="J52" s="851">
        <v>8</v>
      </c>
      <c r="K52" s="851">
        <v>22</v>
      </c>
      <c r="L52"/>
    </row>
    <row r="53" spans="1:12" ht="15" x14ac:dyDescent="0.2">
      <c r="A53" s="1" t="s">
        <v>646</v>
      </c>
      <c r="B53" s="400">
        <v>1.0549999999999999</v>
      </c>
      <c r="C53" s="400">
        <v>1.0880000000000001</v>
      </c>
      <c r="D53" s="400">
        <v>1.0149999999999999</v>
      </c>
      <c r="E53" s="400">
        <v>1.022</v>
      </c>
      <c r="F53" s="401">
        <v>30</v>
      </c>
      <c r="G53" s="402">
        <v>60</v>
      </c>
      <c r="H53" s="403">
        <v>5.5</v>
      </c>
      <c r="I53" s="403">
        <v>9</v>
      </c>
      <c r="J53" s="851">
        <v>10</v>
      </c>
      <c r="K53" s="851">
        <v>22</v>
      </c>
      <c r="L53"/>
    </row>
    <row r="54" spans="1:12" ht="15" x14ac:dyDescent="0.2">
      <c r="A54" s="1" t="s">
        <v>647</v>
      </c>
      <c r="B54" s="400">
        <v>1.07</v>
      </c>
      <c r="C54" s="400">
        <v>1.1299999999999999</v>
      </c>
      <c r="D54" s="400">
        <v>1.018</v>
      </c>
      <c r="E54" s="400">
        <v>1.04</v>
      </c>
      <c r="F54" s="401">
        <v>17</v>
      </c>
      <c r="G54" s="402">
        <v>35</v>
      </c>
      <c r="H54" s="403">
        <v>6.5</v>
      </c>
      <c r="I54" s="403">
        <v>10</v>
      </c>
      <c r="J54" s="851">
        <v>14</v>
      </c>
      <c r="K54" s="851">
        <v>25</v>
      </c>
      <c r="L54"/>
    </row>
    <row r="55" spans="1:12" ht="15" x14ac:dyDescent="0.2">
      <c r="A55" s="1" t="s">
        <v>648</v>
      </c>
      <c r="B55" s="400">
        <v>1.08</v>
      </c>
      <c r="C55" s="400">
        <v>1.1200000000000001</v>
      </c>
      <c r="D55" s="400">
        <v>1.018</v>
      </c>
      <c r="E55" s="400">
        <v>1.03</v>
      </c>
      <c r="F55" s="401">
        <v>35</v>
      </c>
      <c r="G55" s="402">
        <v>70</v>
      </c>
      <c r="H55" s="403">
        <v>8</v>
      </c>
      <c r="I55" s="403">
        <v>12</v>
      </c>
      <c r="J55" s="851">
        <v>8</v>
      </c>
      <c r="K55" s="851">
        <v>22</v>
      </c>
      <c r="L55"/>
    </row>
    <row r="56" spans="1:12" ht="15" x14ac:dyDescent="0.2">
      <c r="A56" s="1" t="s">
        <v>649</v>
      </c>
      <c r="B56" s="400">
        <v>1.038</v>
      </c>
      <c r="C56" s="400">
        <v>1.054</v>
      </c>
      <c r="D56" s="400">
        <v>1.008</v>
      </c>
      <c r="E56" s="400">
        <v>1.0129999999999999</v>
      </c>
      <c r="F56" s="401">
        <v>15</v>
      </c>
      <c r="G56" s="402">
        <v>28</v>
      </c>
      <c r="H56" s="403">
        <v>3.8</v>
      </c>
      <c r="I56" s="403">
        <v>5.5</v>
      </c>
      <c r="J56" s="851">
        <v>3</v>
      </c>
      <c r="K56" s="851">
        <v>6</v>
      </c>
      <c r="L56"/>
    </row>
    <row r="57" spans="1:12" ht="15" x14ac:dyDescent="0.2">
      <c r="A57" s="1" t="s">
        <v>650</v>
      </c>
      <c r="B57" s="400">
        <v>1.0449999999999999</v>
      </c>
      <c r="C57" s="400">
        <v>1.06</v>
      </c>
      <c r="D57" s="400">
        <v>1.01</v>
      </c>
      <c r="E57" s="400">
        <v>1.0149999999999999</v>
      </c>
      <c r="F57" s="401">
        <v>30</v>
      </c>
      <c r="G57" s="402">
        <v>50</v>
      </c>
      <c r="H57" s="403">
        <v>4.5</v>
      </c>
      <c r="I57" s="403">
        <v>6.2</v>
      </c>
      <c r="J57" s="851">
        <v>5</v>
      </c>
      <c r="K57" s="851">
        <v>10</v>
      </c>
      <c r="L57"/>
    </row>
    <row r="58" spans="1:12" ht="15" x14ac:dyDescent="0.2">
      <c r="A58" s="1" t="s">
        <v>651</v>
      </c>
      <c r="B58" s="400">
        <v>1.0449999999999999</v>
      </c>
      <c r="C58" s="400">
        <v>1.06</v>
      </c>
      <c r="D58" s="400">
        <v>1.01</v>
      </c>
      <c r="E58" s="400">
        <v>1.0149999999999999</v>
      </c>
      <c r="F58" s="401">
        <v>25</v>
      </c>
      <c r="G58" s="402">
        <v>40</v>
      </c>
      <c r="H58" s="403">
        <v>4.5</v>
      </c>
      <c r="I58" s="403">
        <v>6.2</v>
      </c>
      <c r="J58" s="851">
        <v>10</v>
      </c>
      <c r="K58" s="851">
        <v>17</v>
      </c>
      <c r="L58"/>
    </row>
    <row r="59" spans="1:12" ht="15" x14ac:dyDescent="0.2">
      <c r="A59" s="1" t="s">
        <v>652</v>
      </c>
      <c r="B59" s="400">
        <v>1.048</v>
      </c>
      <c r="C59" s="400">
        <v>1.054</v>
      </c>
      <c r="D59" s="400">
        <v>1.0109999999999999</v>
      </c>
      <c r="E59" s="400">
        <v>1.014</v>
      </c>
      <c r="F59" s="401">
        <v>30</v>
      </c>
      <c r="G59" s="402">
        <v>45</v>
      </c>
      <c r="H59" s="403">
        <v>4.5</v>
      </c>
      <c r="I59" s="403">
        <v>5.5</v>
      </c>
      <c r="J59" s="851">
        <v>10</v>
      </c>
      <c r="K59" s="851">
        <v>14</v>
      </c>
      <c r="L59"/>
    </row>
    <row r="60" spans="1:12" ht="15" x14ac:dyDescent="0.2">
      <c r="A60" s="1" t="s">
        <v>653</v>
      </c>
      <c r="B60" s="400">
        <v>1.0449999999999999</v>
      </c>
      <c r="C60" s="400">
        <v>1.06</v>
      </c>
      <c r="D60" s="400">
        <v>1.01</v>
      </c>
      <c r="E60" s="400">
        <v>1.016</v>
      </c>
      <c r="F60" s="401">
        <v>20</v>
      </c>
      <c r="G60" s="402">
        <v>30</v>
      </c>
      <c r="H60" s="403">
        <v>4.3</v>
      </c>
      <c r="I60" s="403">
        <v>6.2</v>
      </c>
      <c r="J60" s="851">
        <v>18</v>
      </c>
      <c r="K60" s="851">
        <v>35</v>
      </c>
      <c r="L60"/>
    </row>
    <row r="61" spans="1:12" ht="15" x14ac:dyDescent="0.2">
      <c r="A61" s="1" t="s">
        <v>654</v>
      </c>
      <c r="B61" s="400">
        <v>1.05</v>
      </c>
      <c r="C61" s="400">
        <v>1.07</v>
      </c>
      <c r="D61" s="400">
        <v>1.012</v>
      </c>
      <c r="E61" s="400">
        <v>1.018</v>
      </c>
      <c r="F61" s="401">
        <v>25</v>
      </c>
      <c r="G61" s="402">
        <v>50</v>
      </c>
      <c r="H61" s="403">
        <v>4.8</v>
      </c>
      <c r="I61" s="403">
        <v>6.5</v>
      </c>
      <c r="J61" s="851">
        <v>22</v>
      </c>
      <c r="K61" s="851">
        <v>40</v>
      </c>
      <c r="L61"/>
    </row>
    <row r="62" spans="1:12" ht="15" x14ac:dyDescent="0.2">
      <c r="A62" s="1" t="s">
        <v>655</v>
      </c>
      <c r="B62" s="400">
        <v>1.05</v>
      </c>
      <c r="C62" s="400">
        <v>1.075</v>
      </c>
      <c r="D62" s="400">
        <v>1.01</v>
      </c>
      <c r="E62" s="400">
        <v>1.022</v>
      </c>
      <c r="F62" s="401">
        <v>35</v>
      </c>
      <c r="G62" s="402">
        <v>75</v>
      </c>
      <c r="H62" s="403">
        <v>5</v>
      </c>
      <c r="I62" s="403">
        <v>7</v>
      </c>
      <c r="J62" s="851">
        <v>30</v>
      </c>
      <c r="K62" s="851">
        <v>40</v>
      </c>
      <c r="L62"/>
    </row>
    <row r="63" spans="1:12" ht="15" x14ac:dyDescent="0.2">
      <c r="A63" s="1" t="s">
        <v>656</v>
      </c>
      <c r="B63" s="400">
        <v>1.075</v>
      </c>
      <c r="C63" s="400">
        <v>1.115</v>
      </c>
      <c r="D63" s="400">
        <v>1.018</v>
      </c>
      <c r="E63" s="400">
        <v>1.03</v>
      </c>
      <c r="F63" s="401">
        <v>50</v>
      </c>
      <c r="G63" s="402">
        <v>90</v>
      </c>
      <c r="H63" s="403">
        <v>8</v>
      </c>
      <c r="I63" s="403">
        <v>12</v>
      </c>
      <c r="J63" s="851">
        <v>30</v>
      </c>
      <c r="K63" s="851">
        <v>40</v>
      </c>
      <c r="L63"/>
    </row>
    <row r="64" spans="1:12" ht="15" x14ac:dyDescent="0.2">
      <c r="A64" s="1" t="s">
        <v>657</v>
      </c>
      <c r="B64" s="400">
        <v>1.056</v>
      </c>
      <c r="C64" s="400">
        <v>1.07</v>
      </c>
      <c r="D64" s="400">
        <v>1.008</v>
      </c>
      <c r="E64" s="400">
        <v>1.014</v>
      </c>
      <c r="F64" s="401">
        <v>40</v>
      </c>
      <c r="G64" s="402">
        <v>70</v>
      </c>
      <c r="H64" s="403">
        <v>5.5</v>
      </c>
      <c r="I64" s="403">
        <v>7.5</v>
      </c>
      <c r="J64" s="851">
        <v>6</v>
      </c>
      <c r="K64" s="851">
        <v>14</v>
      </c>
      <c r="L64"/>
    </row>
    <row r="65" spans="1:12" ht="15" x14ac:dyDescent="0.2">
      <c r="A65" s="1" t="s">
        <v>658</v>
      </c>
      <c r="B65" s="400">
        <v>1.0580000000000001</v>
      </c>
      <c r="C65" s="400">
        <v>1.08</v>
      </c>
      <c r="D65" s="400">
        <v>1.008</v>
      </c>
      <c r="E65" s="400">
        <v>1.016</v>
      </c>
      <c r="F65" s="401">
        <v>50</v>
      </c>
      <c r="G65" s="402">
        <v>100</v>
      </c>
      <c r="H65" s="403">
        <v>6.2</v>
      </c>
      <c r="I65" s="403">
        <v>9.5</v>
      </c>
      <c r="J65" s="851">
        <v>5</v>
      </c>
      <c r="K65" s="851">
        <v>15</v>
      </c>
      <c r="L65"/>
    </row>
    <row r="66" spans="1:12" ht="15" x14ac:dyDescent="0.2">
      <c r="A66" s="1" t="s">
        <v>659</v>
      </c>
      <c r="B66" s="400">
        <v>1.05</v>
      </c>
      <c r="C66" s="400">
        <v>1.085</v>
      </c>
      <c r="D66" s="400">
        <v>1.01</v>
      </c>
      <c r="E66" s="400">
        <v>1.018</v>
      </c>
      <c r="F66" s="401">
        <v>50</v>
      </c>
      <c r="G66" s="402">
        <v>90</v>
      </c>
      <c r="H66" s="403">
        <v>5.5</v>
      </c>
      <c r="I66" s="403">
        <v>9</v>
      </c>
      <c r="J66" s="851">
        <v>25</v>
      </c>
      <c r="K66" s="851">
        <v>40</v>
      </c>
      <c r="L66"/>
    </row>
    <row r="67" spans="1:12" ht="15" x14ac:dyDescent="0.2">
      <c r="A67" s="1" t="s">
        <v>660</v>
      </c>
      <c r="B67" s="400">
        <v>1.056</v>
      </c>
      <c r="C67" s="400">
        <v>1.07</v>
      </c>
      <c r="D67" s="400">
        <v>1.008</v>
      </c>
      <c r="E67" s="400">
        <v>1.016</v>
      </c>
      <c r="F67" s="401">
        <v>40</v>
      </c>
      <c r="G67" s="402">
        <v>70</v>
      </c>
      <c r="H67" s="403">
        <v>5.5</v>
      </c>
      <c r="I67" s="403">
        <v>7.5</v>
      </c>
      <c r="J67" s="851">
        <v>11</v>
      </c>
      <c r="K67" s="851">
        <v>19</v>
      </c>
      <c r="L67"/>
    </row>
    <row r="68" spans="1:12" ht="15" x14ac:dyDescent="0.2">
      <c r="A68" s="1" t="s">
        <v>661</v>
      </c>
      <c r="B68" s="400">
        <v>1.056</v>
      </c>
      <c r="C68" s="400">
        <v>1.07</v>
      </c>
      <c r="D68" s="400">
        <v>1.008</v>
      </c>
      <c r="E68" s="400">
        <v>1.016</v>
      </c>
      <c r="F68" s="401">
        <v>40</v>
      </c>
      <c r="G68" s="402">
        <v>70</v>
      </c>
      <c r="H68" s="403">
        <v>5.5</v>
      </c>
      <c r="I68" s="403">
        <v>7.5</v>
      </c>
      <c r="J68" s="851">
        <v>11</v>
      </c>
      <c r="K68" s="851">
        <v>19</v>
      </c>
      <c r="L68"/>
    </row>
    <row r="69" spans="1:12" ht="15" x14ac:dyDescent="0.2">
      <c r="A69" s="1" t="s">
        <v>662</v>
      </c>
      <c r="B69" s="400">
        <v>1.056</v>
      </c>
      <c r="C69" s="400">
        <v>1.075</v>
      </c>
      <c r="D69" s="400">
        <v>1.008</v>
      </c>
      <c r="E69" s="400">
        <v>1.014</v>
      </c>
      <c r="F69" s="401">
        <v>50</v>
      </c>
      <c r="G69" s="402">
        <v>75</v>
      </c>
      <c r="H69" s="403">
        <v>5.5</v>
      </c>
      <c r="I69" s="403">
        <v>8</v>
      </c>
      <c r="J69" s="851">
        <v>6</v>
      </c>
      <c r="K69" s="851">
        <v>14</v>
      </c>
      <c r="L69"/>
    </row>
    <row r="70" spans="1:12" ht="15" x14ac:dyDescent="0.2">
      <c r="A70" s="1" t="s">
        <v>663</v>
      </c>
      <c r="B70" s="400">
        <v>1.056</v>
      </c>
      <c r="C70" s="400">
        <v>1.0649999999999999</v>
      </c>
      <c r="D70" s="400">
        <v>1.01</v>
      </c>
      <c r="E70" s="400">
        <v>1.016</v>
      </c>
      <c r="F70" s="401">
        <v>40</v>
      </c>
      <c r="G70" s="402">
        <v>70</v>
      </c>
      <c r="H70" s="403">
        <v>5.5</v>
      </c>
      <c r="I70" s="403">
        <v>7</v>
      </c>
      <c r="J70" s="851">
        <v>5</v>
      </c>
      <c r="K70" s="851">
        <v>8</v>
      </c>
      <c r="L70"/>
    </row>
    <row r="71" spans="1:12" ht="15" x14ac:dyDescent="0.2">
      <c r="A71" s="1" t="s">
        <v>2396</v>
      </c>
      <c r="B71" s="400">
        <v>1.046</v>
      </c>
      <c r="C71" s="400">
        <v>1.0569999999999999</v>
      </c>
      <c r="D71" s="400">
        <v>0.99</v>
      </c>
      <c r="E71" s="400">
        <v>1.004</v>
      </c>
      <c r="F71" s="401">
        <v>20</v>
      </c>
      <c r="G71" s="402">
        <v>30</v>
      </c>
      <c r="H71" s="403">
        <v>6</v>
      </c>
      <c r="I71" s="403">
        <v>7.5</v>
      </c>
      <c r="J71" s="851">
        <v>2</v>
      </c>
      <c r="K71" s="851">
        <v>4</v>
      </c>
      <c r="L71"/>
    </row>
    <row r="72" spans="1:12" ht="15" x14ac:dyDescent="0.2">
      <c r="A72" s="1" t="s">
        <v>2397</v>
      </c>
      <c r="B72" s="400">
        <v>1.06</v>
      </c>
      <c r="C72" s="400">
        <v>1.085</v>
      </c>
      <c r="D72" s="400">
        <v>1.01</v>
      </c>
      <c r="E72" s="400">
        <v>1.0149999999999999</v>
      </c>
      <c r="F72" s="401">
        <v>25</v>
      </c>
      <c r="G72" s="402">
        <v>60</v>
      </c>
      <c r="H72" s="403">
        <v>6</v>
      </c>
      <c r="I72" s="403">
        <v>9</v>
      </c>
      <c r="J72" s="851">
        <v>3</v>
      </c>
      <c r="K72" s="851">
        <v>7</v>
      </c>
      <c r="L72"/>
    </row>
    <row r="73" spans="1:12" ht="15" x14ac:dyDescent="0.2">
      <c r="A73" s="1" t="s">
        <v>664</v>
      </c>
      <c r="B73" s="400">
        <v>1.0649999999999999</v>
      </c>
      <c r="C73" s="400">
        <v>1.085</v>
      </c>
      <c r="D73" s="400">
        <v>1.008</v>
      </c>
      <c r="E73" s="400">
        <v>1.018</v>
      </c>
      <c r="F73" s="401">
        <v>60</v>
      </c>
      <c r="G73" s="402">
        <v>120</v>
      </c>
      <c r="H73" s="403">
        <v>7.5</v>
      </c>
      <c r="I73" s="403">
        <v>10</v>
      </c>
      <c r="J73" s="851">
        <v>6</v>
      </c>
      <c r="K73" s="851">
        <v>14</v>
      </c>
      <c r="L73"/>
    </row>
    <row r="74" spans="1:12" ht="15" x14ac:dyDescent="0.2">
      <c r="A74" s="1" t="s">
        <v>665</v>
      </c>
      <c r="B74" s="400">
        <v>1.0620000000000001</v>
      </c>
      <c r="C74" s="400">
        <v>1.0900000000000001</v>
      </c>
      <c r="D74" s="400">
        <v>1.014</v>
      </c>
      <c r="E74" s="400">
        <v>1.024</v>
      </c>
      <c r="F74" s="401">
        <v>50</v>
      </c>
      <c r="G74" s="402">
        <v>100</v>
      </c>
      <c r="H74" s="403">
        <v>6.3</v>
      </c>
      <c r="I74" s="403">
        <v>10</v>
      </c>
      <c r="J74" s="851">
        <v>7</v>
      </c>
      <c r="K74" s="851">
        <v>19</v>
      </c>
      <c r="L74"/>
    </row>
    <row r="75" spans="1:12" ht="15" x14ac:dyDescent="0.2">
      <c r="A75" s="1" t="s">
        <v>666</v>
      </c>
      <c r="B75" s="400">
        <v>1.08</v>
      </c>
      <c r="C75" s="400">
        <v>1.1200000000000001</v>
      </c>
      <c r="D75" s="400">
        <v>1.016</v>
      </c>
      <c r="E75" s="400">
        <v>1.03</v>
      </c>
      <c r="F75" s="401">
        <v>50</v>
      </c>
      <c r="G75" s="402">
        <v>100</v>
      </c>
      <c r="H75" s="403">
        <v>8</v>
      </c>
      <c r="I75" s="403">
        <v>12</v>
      </c>
      <c r="J75" s="851">
        <v>10</v>
      </c>
      <c r="K75" s="851">
        <v>19</v>
      </c>
      <c r="L75"/>
    </row>
    <row r="76" spans="1:12" ht="15" x14ac:dyDescent="0.2">
      <c r="A76" s="1" t="s">
        <v>667</v>
      </c>
      <c r="B76" s="400">
        <v>1.08</v>
      </c>
      <c r="C76" s="400">
        <v>1.1200000000000001</v>
      </c>
      <c r="D76" s="400">
        <v>1.016</v>
      </c>
      <c r="E76" s="400">
        <v>1.03</v>
      </c>
      <c r="F76" s="401">
        <v>30</v>
      </c>
      <c r="G76" s="402">
        <v>60</v>
      </c>
      <c r="H76" s="403">
        <v>8</v>
      </c>
      <c r="I76" s="403">
        <v>12</v>
      </c>
      <c r="J76" s="851">
        <v>8</v>
      </c>
      <c r="K76" s="851">
        <v>15</v>
      </c>
      <c r="L76"/>
    </row>
    <row r="77" spans="1:12" ht="15" x14ac:dyDescent="0.2">
      <c r="A77" s="1" t="s">
        <v>668</v>
      </c>
      <c r="B77" s="400">
        <v>1.028</v>
      </c>
      <c r="C77" s="400">
        <v>1.032</v>
      </c>
      <c r="D77" s="400">
        <v>1.0029999999999999</v>
      </c>
      <c r="E77" s="400">
        <v>1.006</v>
      </c>
      <c r="F77" s="401">
        <v>3</v>
      </c>
      <c r="G77" s="402">
        <v>8</v>
      </c>
      <c r="H77" s="403">
        <v>2.8</v>
      </c>
      <c r="I77" s="403">
        <v>3.8</v>
      </c>
      <c r="J77" s="851">
        <v>2</v>
      </c>
      <c r="K77" s="851">
        <v>3</v>
      </c>
      <c r="L77"/>
    </row>
    <row r="78" spans="1:12" ht="15" x14ac:dyDescent="0.2">
      <c r="A78" s="1" t="s">
        <v>669</v>
      </c>
      <c r="B78" s="400">
        <v>1.048</v>
      </c>
      <c r="C78" s="400">
        <v>1.0569999999999999</v>
      </c>
      <c r="D78" s="400">
        <v>1.002</v>
      </c>
      <c r="E78" s="400">
        <v>1.012</v>
      </c>
      <c r="F78" s="401">
        <v>10</v>
      </c>
      <c r="G78" s="402">
        <v>25</v>
      </c>
      <c r="H78" s="403">
        <v>4.5999999999999996</v>
      </c>
      <c r="I78" s="403">
        <v>6.5</v>
      </c>
      <c r="J78" s="851">
        <v>10</v>
      </c>
      <c r="K78" s="851">
        <v>16</v>
      </c>
      <c r="L78"/>
    </row>
    <row r="79" spans="1:12" ht="15" x14ac:dyDescent="0.2">
      <c r="A79" s="1" t="s">
        <v>670</v>
      </c>
      <c r="B79" s="400">
        <v>1.04</v>
      </c>
      <c r="C79" s="400">
        <v>1.0740000000000001</v>
      </c>
      <c r="D79" s="400">
        <v>1.008</v>
      </c>
      <c r="E79" s="400">
        <v>1.012</v>
      </c>
      <c r="F79" s="401">
        <v>20</v>
      </c>
      <c r="G79" s="402">
        <v>25</v>
      </c>
      <c r="H79" s="403">
        <v>4</v>
      </c>
      <c r="I79" s="403">
        <v>8</v>
      </c>
      <c r="J79" s="851">
        <v>15</v>
      </c>
      <c r="K79" s="851">
        <v>22</v>
      </c>
      <c r="L79"/>
    </row>
    <row r="80" spans="1:12" ht="15" x14ac:dyDescent="0.2">
      <c r="A80" s="1" t="s">
        <v>671</v>
      </c>
      <c r="B80" s="400">
        <v>1.04</v>
      </c>
      <c r="C80" s="400">
        <v>1.054</v>
      </c>
      <c r="D80" s="400">
        <v>1.0009999999999999</v>
      </c>
      <c r="E80" s="400">
        <v>1.01</v>
      </c>
      <c r="F80" s="401">
        <v>0</v>
      </c>
      <c r="G80" s="402">
        <v>10</v>
      </c>
      <c r="H80" s="403">
        <v>5</v>
      </c>
      <c r="I80" s="403">
        <v>6.5</v>
      </c>
      <c r="J80" s="851">
        <v>3</v>
      </c>
      <c r="K80" s="851">
        <v>7</v>
      </c>
      <c r="L80"/>
    </row>
    <row r="81" spans="1:12" ht="15" x14ac:dyDescent="0.2">
      <c r="A81" s="1" t="s">
        <v>672</v>
      </c>
      <c r="B81" s="400">
        <v>1.04</v>
      </c>
      <c r="C81" s="400">
        <v>1.06</v>
      </c>
      <c r="D81" s="400">
        <v>1</v>
      </c>
      <c r="E81" s="400">
        <v>1.006</v>
      </c>
      <c r="F81" s="401">
        <v>0</v>
      </c>
      <c r="G81" s="402">
        <v>10</v>
      </c>
      <c r="H81" s="403">
        <v>5</v>
      </c>
      <c r="I81" s="403">
        <v>8</v>
      </c>
      <c r="J81" s="851">
        <v>3</v>
      </c>
      <c r="K81" s="851">
        <v>7</v>
      </c>
      <c r="L81"/>
    </row>
    <row r="82" spans="1:12" ht="15" x14ac:dyDescent="0.2">
      <c r="A82" s="1" t="s">
        <v>673</v>
      </c>
      <c r="B82" s="400">
        <v>1.04</v>
      </c>
      <c r="C82" s="400">
        <v>1.06</v>
      </c>
      <c r="D82" s="400">
        <v>1</v>
      </c>
      <c r="E82" s="400">
        <v>1.01</v>
      </c>
      <c r="F82" s="401">
        <v>0</v>
      </c>
      <c r="G82" s="402">
        <v>10</v>
      </c>
      <c r="H82" s="403">
        <v>5</v>
      </c>
      <c r="I82" s="403">
        <v>7</v>
      </c>
      <c r="J82" s="851">
        <v>3</v>
      </c>
      <c r="K82" s="851">
        <v>7</v>
      </c>
      <c r="L82"/>
    </row>
    <row r="83" spans="1:12" ht="15" x14ac:dyDescent="0.2">
      <c r="A83" s="1" t="s">
        <v>2398</v>
      </c>
      <c r="B83" s="400">
        <v>1.036</v>
      </c>
      <c r="C83" s="400">
        <v>1.056</v>
      </c>
      <c r="D83" s="400">
        <v>1.006</v>
      </c>
      <c r="E83" s="400">
        <v>1.01</v>
      </c>
      <c r="F83" s="401">
        <v>5</v>
      </c>
      <c r="G83" s="402">
        <v>12</v>
      </c>
      <c r="H83" s="403">
        <v>4.2</v>
      </c>
      <c r="I83" s="403">
        <v>4.8</v>
      </c>
      <c r="J83" s="851">
        <v>3</v>
      </c>
      <c r="K83" s="851">
        <v>4</v>
      </c>
      <c r="L83"/>
    </row>
    <row r="84" spans="1:12" ht="15" x14ac:dyDescent="0.2">
      <c r="A84" s="1" t="s">
        <v>674</v>
      </c>
      <c r="B84" s="400">
        <v>1.044</v>
      </c>
      <c r="C84" s="400">
        <v>1.052</v>
      </c>
      <c r="D84" s="400">
        <v>1.008</v>
      </c>
      <c r="E84" s="400">
        <v>1.012</v>
      </c>
      <c r="F84" s="401">
        <v>8</v>
      </c>
      <c r="G84" s="402">
        <v>20</v>
      </c>
      <c r="H84" s="403">
        <v>4.5</v>
      </c>
      <c r="I84" s="403">
        <v>5.5</v>
      </c>
      <c r="J84" s="851">
        <v>2</v>
      </c>
      <c r="K84" s="851">
        <v>4</v>
      </c>
      <c r="L84"/>
    </row>
    <row r="85" spans="1:12" ht="15" x14ac:dyDescent="0.2">
      <c r="A85" s="1" t="s">
        <v>675</v>
      </c>
      <c r="B85" s="400">
        <v>1.048</v>
      </c>
      <c r="C85" s="400">
        <v>1.054</v>
      </c>
      <c r="D85" s="400">
        <v>1.01</v>
      </c>
      <c r="E85" s="400">
        <v>1.014</v>
      </c>
      <c r="F85" s="401">
        <v>20</v>
      </c>
      <c r="G85" s="402">
        <v>30</v>
      </c>
      <c r="H85" s="403">
        <v>4.8</v>
      </c>
      <c r="I85" s="403">
        <v>5.5</v>
      </c>
      <c r="J85" s="851">
        <v>8</v>
      </c>
      <c r="K85" s="851">
        <v>14</v>
      </c>
      <c r="L85"/>
    </row>
    <row r="86" spans="1:12" ht="15" x14ac:dyDescent="0.2">
      <c r="A86" s="1" t="s">
        <v>676</v>
      </c>
      <c r="B86" s="400">
        <v>1.06</v>
      </c>
      <c r="C86" s="400">
        <v>1.08</v>
      </c>
      <c r="D86" s="400">
        <v>1.008</v>
      </c>
      <c r="E86" s="400">
        <v>1.016</v>
      </c>
      <c r="F86" s="401">
        <v>18</v>
      </c>
      <c r="G86" s="402">
        <v>28</v>
      </c>
      <c r="H86" s="403">
        <v>6</v>
      </c>
      <c r="I86" s="403">
        <v>8.5</v>
      </c>
      <c r="J86" s="851">
        <v>6</v>
      </c>
      <c r="K86" s="851">
        <v>19</v>
      </c>
      <c r="L86"/>
    </row>
    <row r="87" spans="1:12" ht="15" x14ac:dyDescent="0.2">
      <c r="A87" s="1" t="s">
        <v>677</v>
      </c>
      <c r="B87" s="400">
        <v>1.0620000000000001</v>
      </c>
      <c r="C87" s="400">
        <v>1.075</v>
      </c>
      <c r="D87" s="400">
        <v>1.008</v>
      </c>
      <c r="E87" s="400">
        <v>1.018</v>
      </c>
      <c r="F87" s="401">
        <v>15</v>
      </c>
      <c r="G87" s="402">
        <v>30</v>
      </c>
      <c r="H87" s="403">
        <v>6</v>
      </c>
      <c r="I87" s="403">
        <v>7.5</v>
      </c>
      <c r="J87" s="851">
        <v>4</v>
      </c>
      <c r="K87" s="851">
        <v>7</v>
      </c>
      <c r="L87"/>
    </row>
    <row r="88" spans="1:12" ht="15" x14ac:dyDescent="0.2">
      <c r="A88" s="1" t="s">
        <v>678</v>
      </c>
      <c r="B88" s="400">
        <v>1.048</v>
      </c>
      <c r="C88" s="400">
        <v>1.0649999999999999</v>
      </c>
      <c r="D88" s="400">
        <v>1.002</v>
      </c>
      <c r="E88" s="400">
        <v>1.008</v>
      </c>
      <c r="F88" s="401">
        <v>20</v>
      </c>
      <c r="G88" s="402">
        <v>35</v>
      </c>
      <c r="H88" s="403">
        <v>3.5</v>
      </c>
      <c r="I88" s="403">
        <v>9.5</v>
      </c>
      <c r="J88" s="851">
        <v>5</v>
      </c>
      <c r="K88" s="851">
        <v>22</v>
      </c>
      <c r="L88"/>
    </row>
    <row r="89" spans="1:12" ht="15" x14ac:dyDescent="0.2">
      <c r="A89" s="1" t="s">
        <v>679</v>
      </c>
      <c r="B89" s="400">
        <v>1.07</v>
      </c>
      <c r="C89" s="400">
        <v>1.095</v>
      </c>
      <c r="D89" s="400">
        <v>1.0049999999999999</v>
      </c>
      <c r="E89" s="400">
        <v>1.016</v>
      </c>
      <c r="F89" s="401">
        <v>22</v>
      </c>
      <c r="G89" s="402">
        <v>35</v>
      </c>
      <c r="H89" s="403">
        <v>7.5</v>
      </c>
      <c r="I89" s="403">
        <v>10.5</v>
      </c>
      <c r="J89" s="851">
        <v>3</v>
      </c>
      <c r="K89" s="851">
        <v>6</v>
      </c>
      <c r="L89"/>
    </row>
    <row r="90" spans="1:12" ht="15" x14ac:dyDescent="0.2">
      <c r="A90" s="1" t="s">
        <v>680</v>
      </c>
      <c r="B90" s="400">
        <v>1.044</v>
      </c>
      <c r="C90" s="400">
        <v>1.054</v>
      </c>
      <c r="D90" s="400">
        <v>1.004</v>
      </c>
      <c r="E90" s="400">
        <v>1.01</v>
      </c>
      <c r="F90" s="401">
        <v>25</v>
      </c>
      <c r="G90" s="402">
        <v>45</v>
      </c>
      <c r="H90" s="403">
        <v>4.8</v>
      </c>
      <c r="I90" s="403">
        <v>6</v>
      </c>
      <c r="J90" s="851">
        <v>3</v>
      </c>
      <c r="K90" s="851">
        <v>5</v>
      </c>
      <c r="L90"/>
    </row>
    <row r="91" spans="1:12" ht="15" x14ac:dyDescent="0.2">
      <c r="A91" s="1" t="s">
        <v>681</v>
      </c>
      <c r="B91" s="400">
        <v>1.0620000000000001</v>
      </c>
      <c r="C91" s="400">
        <v>1.075</v>
      </c>
      <c r="D91" s="400">
        <v>1.008</v>
      </c>
      <c r="E91" s="400">
        <v>1.018</v>
      </c>
      <c r="F91" s="401">
        <v>15</v>
      </c>
      <c r="G91" s="402">
        <v>25</v>
      </c>
      <c r="H91" s="403">
        <v>6</v>
      </c>
      <c r="I91" s="403">
        <v>7.6</v>
      </c>
      <c r="J91" s="851">
        <v>10</v>
      </c>
      <c r="K91" s="851">
        <v>17</v>
      </c>
      <c r="L91"/>
    </row>
    <row r="92" spans="1:12" ht="15" x14ac:dyDescent="0.2">
      <c r="A92" s="1" t="s">
        <v>682</v>
      </c>
      <c r="B92" s="400">
        <v>1.075</v>
      </c>
      <c r="C92" s="400">
        <v>1.085</v>
      </c>
      <c r="D92" s="400">
        <v>1.008</v>
      </c>
      <c r="E92" s="400">
        <v>1.014</v>
      </c>
      <c r="F92" s="401">
        <v>20</v>
      </c>
      <c r="G92" s="402">
        <v>40</v>
      </c>
      <c r="H92" s="403">
        <v>7.5</v>
      </c>
      <c r="I92" s="403">
        <v>9.5</v>
      </c>
      <c r="J92" s="851">
        <v>4.5</v>
      </c>
      <c r="K92" s="851">
        <v>7</v>
      </c>
      <c r="L92"/>
    </row>
    <row r="93" spans="1:12" ht="15" x14ac:dyDescent="0.2">
      <c r="A93" s="1" t="s">
        <v>683</v>
      </c>
      <c r="B93" s="400">
        <v>1.075</v>
      </c>
      <c r="C93" s="400">
        <v>1.1100000000000001</v>
      </c>
      <c r="D93" s="400">
        <v>1.01</v>
      </c>
      <c r="E93" s="400">
        <v>1.024</v>
      </c>
      <c r="F93" s="401">
        <v>20</v>
      </c>
      <c r="G93" s="402">
        <v>35</v>
      </c>
      <c r="H93" s="403">
        <v>8</v>
      </c>
      <c r="I93" s="403">
        <v>12</v>
      </c>
      <c r="J93" s="851">
        <v>12</v>
      </c>
      <c r="K93" s="851">
        <v>22</v>
      </c>
      <c r="L93"/>
    </row>
    <row r="94" spans="1:12" ht="15" x14ac:dyDescent="0.2">
      <c r="A94" s="1" t="s">
        <v>2411</v>
      </c>
      <c r="B94" s="400">
        <v>1.044</v>
      </c>
      <c r="C94" s="400">
        <v>1.05</v>
      </c>
      <c r="D94" s="400">
        <v>1.008</v>
      </c>
      <c r="E94" s="400">
        <v>1.0129999999999999</v>
      </c>
      <c r="F94" s="401">
        <v>22</v>
      </c>
      <c r="G94" s="402">
        <v>40</v>
      </c>
      <c r="H94" s="403">
        <v>4.4000000000000004</v>
      </c>
      <c r="I94" s="403">
        <v>5.2</v>
      </c>
      <c r="J94" s="851">
        <v>2</v>
      </c>
      <c r="K94" s="851">
        <v>4</v>
      </c>
      <c r="L94"/>
    </row>
    <row r="95" spans="1:12" ht="15" x14ac:dyDescent="0.2">
      <c r="A95" s="1" t="s">
        <v>2412</v>
      </c>
      <c r="B95" s="400">
        <v>1.044</v>
      </c>
      <c r="C95" s="400">
        <v>1.048</v>
      </c>
      <c r="D95" s="400">
        <v>1.006</v>
      </c>
      <c r="E95" s="400">
        <v>1.012</v>
      </c>
      <c r="F95" s="401">
        <v>16</v>
      </c>
      <c r="G95" s="402">
        <v>22</v>
      </c>
      <c r="H95" s="403">
        <v>4.7</v>
      </c>
      <c r="I95" s="403">
        <v>5.4</v>
      </c>
      <c r="J95" s="851">
        <v>3</v>
      </c>
      <c r="K95" s="851">
        <v>5</v>
      </c>
      <c r="L95"/>
    </row>
    <row r="96" spans="1:12" ht="15" x14ac:dyDescent="0.2">
      <c r="A96" s="1" t="s">
        <v>2413</v>
      </c>
      <c r="B96" s="400">
        <v>1.054</v>
      </c>
      <c r="C96" s="400">
        <v>1.06</v>
      </c>
      <c r="D96" s="400">
        <v>1.01</v>
      </c>
      <c r="E96" s="400">
        <v>1.014</v>
      </c>
      <c r="F96" s="401">
        <v>18</v>
      </c>
      <c r="G96" s="402">
        <v>24</v>
      </c>
      <c r="H96" s="403">
        <v>5.6</v>
      </c>
      <c r="I96" s="403">
        <v>6.3</v>
      </c>
      <c r="J96" s="851">
        <v>8</v>
      </c>
      <c r="K96" s="851">
        <v>17</v>
      </c>
      <c r="L96"/>
    </row>
    <row r="97" spans="1:12" ht="15" x14ac:dyDescent="0.2">
      <c r="A97" s="1" t="s">
        <v>2414</v>
      </c>
      <c r="B97" s="400">
        <v>1.048</v>
      </c>
      <c r="C97" s="400">
        <v>1.056</v>
      </c>
      <c r="D97" s="400">
        <v>1.01</v>
      </c>
      <c r="E97" s="400">
        <v>1.016</v>
      </c>
      <c r="F97" s="401">
        <v>18</v>
      </c>
      <c r="G97" s="402">
        <v>28</v>
      </c>
      <c r="H97" s="403">
        <v>4.5</v>
      </c>
      <c r="I97" s="403">
        <v>5.6</v>
      </c>
      <c r="J97" s="851">
        <v>17</v>
      </c>
      <c r="K97" s="851">
        <v>28</v>
      </c>
      <c r="L97"/>
    </row>
    <row r="98" spans="1:12" ht="15" x14ac:dyDescent="0.2">
      <c r="A98" s="1" t="s">
        <v>2399</v>
      </c>
      <c r="B98" s="400">
        <v>1.044</v>
      </c>
      <c r="C98" s="400">
        <v>1.0549999999999999</v>
      </c>
      <c r="D98" s="400">
        <v>1.01</v>
      </c>
      <c r="E98" s="400">
        <v>1.018</v>
      </c>
      <c r="F98" s="401">
        <v>15</v>
      </c>
      <c r="G98" s="402">
        <v>30</v>
      </c>
      <c r="H98" s="403">
        <v>4</v>
      </c>
      <c r="I98" s="403">
        <v>5.5</v>
      </c>
      <c r="J98" s="851">
        <v>11</v>
      </c>
      <c r="K98" s="851">
        <v>20</v>
      </c>
      <c r="L98"/>
    </row>
    <row r="99" spans="1:12" ht="15" x14ac:dyDescent="0.2">
      <c r="A99" s="1" t="s">
        <v>2400</v>
      </c>
      <c r="B99" s="400">
        <v>1.032</v>
      </c>
      <c r="C99" s="400">
        <v>1.04</v>
      </c>
      <c r="D99" s="400">
        <v>1.004</v>
      </c>
      <c r="E99" s="400">
        <v>1.008</v>
      </c>
      <c r="F99" s="401">
        <v>5</v>
      </c>
      <c r="G99" s="402">
        <v>12</v>
      </c>
      <c r="H99" s="403">
        <v>3.5</v>
      </c>
      <c r="I99" s="403">
        <v>4.7</v>
      </c>
      <c r="J99" s="851">
        <v>3</v>
      </c>
      <c r="K99" s="851">
        <v>6</v>
      </c>
      <c r="L99"/>
    </row>
    <row r="100" spans="1:12" ht="15" x14ac:dyDescent="0.2">
      <c r="A100" s="1" t="s">
        <v>2401</v>
      </c>
      <c r="B100" s="400">
        <v>1.0329999999999999</v>
      </c>
      <c r="C100" s="400">
        <v>1.038</v>
      </c>
      <c r="D100" s="400">
        <v>1.012</v>
      </c>
      <c r="E100" s="400">
        <v>1.0149999999999999</v>
      </c>
      <c r="F100" s="401">
        <v>15</v>
      </c>
      <c r="G100" s="402">
        <v>20</v>
      </c>
      <c r="H100" s="403">
        <v>2.8</v>
      </c>
      <c r="I100" s="403">
        <v>3.6</v>
      </c>
      <c r="J100" s="851">
        <v>22</v>
      </c>
      <c r="K100" s="851">
        <v>35</v>
      </c>
      <c r="L100"/>
    </row>
    <row r="101" spans="1:12" ht="15" x14ac:dyDescent="0.2">
      <c r="A101" s="1" t="s">
        <v>2402</v>
      </c>
      <c r="B101" s="400">
        <v>1.028</v>
      </c>
      <c r="C101" s="400">
        <v>1.032</v>
      </c>
      <c r="D101" s="400">
        <v>1.006</v>
      </c>
      <c r="E101" s="400">
        <v>1.012</v>
      </c>
      <c r="F101" s="401">
        <v>20</v>
      </c>
      <c r="G101" s="402">
        <v>35</v>
      </c>
      <c r="H101" s="403">
        <v>2.5</v>
      </c>
      <c r="I101" s="403">
        <v>3.3</v>
      </c>
      <c r="J101" s="851">
        <v>3</v>
      </c>
      <c r="K101" s="851">
        <v>6</v>
      </c>
      <c r="L101"/>
    </row>
    <row r="102" spans="1:12" ht="15" x14ac:dyDescent="0.2">
      <c r="A102" s="1" t="s">
        <v>2403</v>
      </c>
      <c r="B102" s="400">
        <v>1.044</v>
      </c>
      <c r="C102" s="400">
        <v>1.06</v>
      </c>
      <c r="D102" s="400">
        <v>1.01</v>
      </c>
      <c r="E102" s="400">
        <v>1.0149999999999999</v>
      </c>
      <c r="F102" s="401">
        <v>25</v>
      </c>
      <c r="G102" s="402">
        <v>40</v>
      </c>
      <c r="H102" s="403">
        <v>4.5</v>
      </c>
      <c r="I102" s="403">
        <v>6</v>
      </c>
      <c r="J102" s="851">
        <v>3</v>
      </c>
      <c r="K102" s="851">
        <v>6</v>
      </c>
      <c r="L102"/>
    </row>
    <row r="103" spans="1:12" ht="15" x14ac:dyDescent="0.2">
      <c r="A103" s="1" t="s">
        <v>2404</v>
      </c>
      <c r="B103" s="400">
        <v>1.046</v>
      </c>
      <c r="C103" s="400">
        <v>1.06</v>
      </c>
      <c r="D103" s="400">
        <v>1.01</v>
      </c>
      <c r="E103" s="400">
        <v>1.016</v>
      </c>
      <c r="F103" s="401">
        <v>20</v>
      </c>
      <c r="G103" s="402">
        <v>30</v>
      </c>
      <c r="H103" s="403">
        <v>4.5</v>
      </c>
      <c r="I103" s="403">
        <v>6</v>
      </c>
      <c r="J103" s="851">
        <v>18</v>
      </c>
      <c r="K103" s="851">
        <v>30</v>
      </c>
      <c r="L103"/>
    </row>
    <row r="104" spans="1:12" ht="15" x14ac:dyDescent="0.2">
      <c r="A104" s="1" t="s">
        <v>2405</v>
      </c>
      <c r="B104" s="400">
        <v>1.046</v>
      </c>
      <c r="C104" s="400">
        <v>1.056</v>
      </c>
      <c r="D104" s="400">
        <v>1.01</v>
      </c>
      <c r="E104" s="400">
        <v>1.014</v>
      </c>
      <c r="F104" s="401">
        <v>10</v>
      </c>
      <c r="G104" s="402">
        <v>20</v>
      </c>
      <c r="H104" s="403">
        <v>4.5</v>
      </c>
      <c r="I104" s="403">
        <v>6</v>
      </c>
      <c r="J104" s="851">
        <v>14</v>
      </c>
      <c r="K104" s="851">
        <v>19</v>
      </c>
      <c r="L104"/>
    </row>
    <row r="105" spans="1:12" ht="15" x14ac:dyDescent="0.2">
      <c r="A105" s="1" t="s">
        <v>2406</v>
      </c>
      <c r="B105" s="400">
        <v>1.0760000000000001</v>
      </c>
      <c r="C105" s="400">
        <v>1.1200000000000001</v>
      </c>
      <c r="D105" s="400">
        <v>1.016</v>
      </c>
      <c r="E105" s="400">
        <v>1.02</v>
      </c>
      <c r="F105" s="401">
        <v>7</v>
      </c>
      <c r="G105" s="402">
        <v>15</v>
      </c>
      <c r="H105" s="403">
        <v>7</v>
      </c>
      <c r="I105" s="403">
        <v>11</v>
      </c>
      <c r="J105" s="851">
        <v>4</v>
      </c>
      <c r="K105" s="851">
        <v>22</v>
      </c>
      <c r="L105"/>
    </row>
    <row r="106" spans="1:12" x14ac:dyDescent="0.2">
      <c r="A106" s="404" t="s">
        <v>684</v>
      </c>
      <c r="B106" s="405" t="s">
        <v>125</v>
      </c>
      <c r="C106" s="405" t="s">
        <v>125</v>
      </c>
      <c r="D106" s="405" t="s">
        <v>125</v>
      </c>
      <c r="E106" s="405" t="s">
        <v>125</v>
      </c>
      <c r="F106" s="405" t="s">
        <v>125</v>
      </c>
      <c r="G106" s="405" t="s">
        <v>125</v>
      </c>
      <c r="H106" s="405" t="s">
        <v>125</v>
      </c>
      <c r="I106" s="405" t="s">
        <v>125</v>
      </c>
      <c r="J106" s="405" t="s">
        <v>125</v>
      </c>
      <c r="K106" s="405" t="s">
        <v>125</v>
      </c>
      <c r="L106"/>
    </row>
    <row r="107" spans="1:12" x14ac:dyDescent="0.2">
      <c r="A107" s="404" t="s">
        <v>685</v>
      </c>
      <c r="B107" s="405" t="s">
        <v>125</v>
      </c>
      <c r="C107" s="405" t="s">
        <v>125</v>
      </c>
      <c r="D107" s="405" t="s">
        <v>125</v>
      </c>
      <c r="E107" s="405" t="s">
        <v>125</v>
      </c>
      <c r="F107" s="405" t="s">
        <v>125</v>
      </c>
      <c r="G107" s="405" t="s">
        <v>125</v>
      </c>
      <c r="H107" s="405" t="s">
        <v>125</v>
      </c>
      <c r="I107" s="405" t="s">
        <v>125</v>
      </c>
      <c r="J107" s="405" t="s">
        <v>125</v>
      </c>
      <c r="K107" s="405" t="s">
        <v>125</v>
      </c>
    </row>
    <row r="108" spans="1:12" x14ac:dyDescent="0.2">
      <c r="A108" s="404" t="s">
        <v>686</v>
      </c>
      <c r="B108" s="405" t="s">
        <v>125</v>
      </c>
      <c r="C108" s="405" t="s">
        <v>125</v>
      </c>
      <c r="D108" s="405" t="s">
        <v>125</v>
      </c>
      <c r="E108" s="405" t="s">
        <v>125</v>
      </c>
      <c r="F108" s="405" t="s">
        <v>125</v>
      </c>
      <c r="G108" s="405" t="s">
        <v>125</v>
      </c>
      <c r="H108" s="405" t="s">
        <v>125</v>
      </c>
      <c r="I108" s="405" t="s">
        <v>125</v>
      </c>
      <c r="J108" s="405" t="s">
        <v>125</v>
      </c>
      <c r="K108" s="405" t="s">
        <v>125</v>
      </c>
    </row>
    <row r="109" spans="1:12" x14ac:dyDescent="0.2">
      <c r="A109" s="404" t="s">
        <v>2407</v>
      </c>
      <c r="B109" s="405">
        <v>1.048</v>
      </c>
      <c r="C109" s="405">
        <v>1.0649999999999999</v>
      </c>
      <c r="D109" s="405">
        <v>1.006</v>
      </c>
      <c r="E109" s="405">
        <v>1.0129999999999999</v>
      </c>
      <c r="F109" s="851">
        <v>3</v>
      </c>
      <c r="G109" s="851">
        <v>8</v>
      </c>
      <c r="H109" s="852">
        <v>4.5</v>
      </c>
      <c r="I109" s="852">
        <v>7</v>
      </c>
      <c r="J109" s="851">
        <v>2</v>
      </c>
      <c r="K109" s="851">
        <v>3</v>
      </c>
    </row>
    <row r="110" spans="1:12" x14ac:dyDescent="0.2">
      <c r="A110" s="404" t="s">
        <v>687</v>
      </c>
      <c r="B110" s="405" t="s">
        <v>125</v>
      </c>
      <c r="C110" s="405" t="s">
        <v>125</v>
      </c>
      <c r="D110" s="405" t="s">
        <v>125</v>
      </c>
      <c r="E110" s="405" t="s">
        <v>125</v>
      </c>
      <c r="F110" s="405" t="s">
        <v>125</v>
      </c>
      <c r="G110" s="405" t="s">
        <v>125</v>
      </c>
      <c r="H110" s="405" t="s">
        <v>125</v>
      </c>
      <c r="I110" s="405" t="s">
        <v>125</v>
      </c>
      <c r="J110" s="405" t="s">
        <v>125</v>
      </c>
      <c r="K110" s="405" t="s">
        <v>125</v>
      </c>
    </row>
    <row r="111" spans="1:12" x14ac:dyDescent="0.2">
      <c r="A111" s="404" t="s">
        <v>688</v>
      </c>
      <c r="B111" s="405" t="s">
        <v>125</v>
      </c>
      <c r="C111" s="405" t="s">
        <v>125</v>
      </c>
      <c r="D111" s="405" t="s">
        <v>125</v>
      </c>
      <c r="E111" s="405" t="s">
        <v>125</v>
      </c>
      <c r="F111" s="405" t="s">
        <v>125</v>
      </c>
      <c r="G111" s="405" t="s">
        <v>125</v>
      </c>
      <c r="H111" s="405" t="s">
        <v>125</v>
      </c>
      <c r="I111" s="405" t="s">
        <v>125</v>
      </c>
      <c r="J111" s="405" t="s">
        <v>125</v>
      </c>
      <c r="K111" s="405" t="s">
        <v>125</v>
      </c>
    </row>
    <row r="112" spans="1:12" x14ac:dyDescent="0.2">
      <c r="A112" s="404" t="s">
        <v>689</v>
      </c>
      <c r="B112" s="405" t="s">
        <v>125</v>
      </c>
      <c r="C112" s="405" t="s">
        <v>125</v>
      </c>
      <c r="D112" s="405" t="s">
        <v>125</v>
      </c>
      <c r="E112" s="405" t="s">
        <v>125</v>
      </c>
      <c r="F112" s="405" t="s">
        <v>125</v>
      </c>
      <c r="G112" s="405" t="s">
        <v>125</v>
      </c>
      <c r="H112" s="405" t="s">
        <v>125</v>
      </c>
      <c r="I112" s="405" t="s">
        <v>125</v>
      </c>
      <c r="J112" s="405" t="s">
        <v>125</v>
      </c>
      <c r="K112" s="405" t="s">
        <v>125</v>
      </c>
    </row>
    <row r="113" spans="1:11" x14ac:dyDescent="0.2">
      <c r="A113" s="404" t="s">
        <v>2408</v>
      </c>
      <c r="B113" s="405">
        <v>1.0589999999999999</v>
      </c>
      <c r="C113" s="405">
        <v>1.075</v>
      </c>
      <c r="D113" s="405">
        <v>1.004</v>
      </c>
      <c r="E113" s="405">
        <v>1.0129999999999999</v>
      </c>
      <c r="F113" s="851">
        <v>10</v>
      </c>
      <c r="G113" s="851">
        <v>30</v>
      </c>
      <c r="H113" s="852">
        <v>6</v>
      </c>
      <c r="I113" s="852">
        <v>8.5</v>
      </c>
      <c r="J113" s="851">
        <v>4</v>
      </c>
      <c r="K113" s="851">
        <v>8</v>
      </c>
    </row>
    <row r="114" spans="1:11" x14ac:dyDescent="0.2">
      <c r="A114" s="404" t="s">
        <v>690</v>
      </c>
      <c r="B114" s="405" t="s">
        <v>125</v>
      </c>
      <c r="C114" s="405" t="s">
        <v>125</v>
      </c>
      <c r="D114" s="405" t="s">
        <v>125</v>
      </c>
      <c r="E114" s="405" t="s">
        <v>125</v>
      </c>
      <c r="F114" s="405" t="s">
        <v>125</v>
      </c>
      <c r="G114" s="405" t="s">
        <v>125</v>
      </c>
      <c r="H114" s="405" t="s">
        <v>125</v>
      </c>
      <c r="I114" s="405" t="s">
        <v>125</v>
      </c>
      <c r="J114" s="405" t="s">
        <v>125</v>
      </c>
      <c r="K114" s="405" t="s">
        <v>125</v>
      </c>
    </row>
    <row r="115" spans="1:11" x14ac:dyDescent="0.2">
      <c r="A115" s="404" t="s">
        <v>691</v>
      </c>
      <c r="B115" s="405" t="s">
        <v>125</v>
      </c>
      <c r="C115" s="405" t="s">
        <v>125</v>
      </c>
      <c r="D115" s="405" t="s">
        <v>125</v>
      </c>
      <c r="E115" s="405" t="s">
        <v>125</v>
      </c>
      <c r="F115" s="405" t="s">
        <v>125</v>
      </c>
      <c r="G115" s="405" t="s">
        <v>125</v>
      </c>
      <c r="H115" s="405" t="s">
        <v>125</v>
      </c>
      <c r="I115" s="405" t="s">
        <v>125</v>
      </c>
      <c r="J115" s="405" t="s">
        <v>125</v>
      </c>
      <c r="K115" s="405" t="s">
        <v>125</v>
      </c>
    </row>
    <row r="116" spans="1:11" x14ac:dyDescent="0.2">
      <c r="A116" s="404" t="s">
        <v>692</v>
      </c>
      <c r="B116" s="405" t="s">
        <v>125</v>
      </c>
      <c r="C116" s="405" t="s">
        <v>125</v>
      </c>
      <c r="D116" s="405" t="s">
        <v>125</v>
      </c>
      <c r="E116" s="405" t="s">
        <v>125</v>
      </c>
      <c r="F116" s="405" t="s">
        <v>125</v>
      </c>
      <c r="G116" s="405" t="s">
        <v>125</v>
      </c>
      <c r="H116" s="405" t="s">
        <v>125</v>
      </c>
      <c r="I116" s="405" t="s">
        <v>125</v>
      </c>
      <c r="J116" s="405" t="s">
        <v>125</v>
      </c>
      <c r="K116" s="405" t="s">
        <v>125</v>
      </c>
    </row>
    <row r="117" spans="1:11" x14ac:dyDescent="0.2">
      <c r="A117" s="404" t="s">
        <v>2409</v>
      </c>
      <c r="B117" s="405" t="s">
        <v>125</v>
      </c>
      <c r="C117" s="405" t="s">
        <v>125</v>
      </c>
      <c r="D117" s="405" t="s">
        <v>125</v>
      </c>
      <c r="E117" s="405" t="s">
        <v>125</v>
      </c>
      <c r="F117" s="405" t="s">
        <v>125</v>
      </c>
      <c r="G117" s="405" t="s">
        <v>125</v>
      </c>
      <c r="H117" s="405" t="s">
        <v>125</v>
      </c>
      <c r="I117" s="405" t="s">
        <v>125</v>
      </c>
      <c r="J117" s="405" t="s">
        <v>125</v>
      </c>
      <c r="K117" s="405" t="s">
        <v>125</v>
      </c>
    </row>
    <row r="118" spans="1:11" x14ac:dyDescent="0.2">
      <c r="A118" s="404" t="s">
        <v>693</v>
      </c>
      <c r="B118" s="405" t="s">
        <v>125</v>
      </c>
      <c r="C118" s="405" t="s">
        <v>125</v>
      </c>
      <c r="D118" s="405" t="s">
        <v>125</v>
      </c>
      <c r="E118" s="405" t="s">
        <v>125</v>
      </c>
      <c r="F118" s="405" t="s">
        <v>125</v>
      </c>
      <c r="G118" s="405" t="s">
        <v>125</v>
      </c>
      <c r="H118" s="405" t="s">
        <v>125</v>
      </c>
      <c r="I118" s="405" t="s">
        <v>125</v>
      </c>
      <c r="J118" s="405" t="s">
        <v>125</v>
      </c>
      <c r="K118" s="405" t="s">
        <v>125</v>
      </c>
    </row>
    <row r="119" spans="1:11" x14ac:dyDescent="0.2">
      <c r="A119" s="404" t="s">
        <v>694</v>
      </c>
      <c r="B119" s="405" t="s">
        <v>125</v>
      </c>
      <c r="C119" s="405" t="s">
        <v>125</v>
      </c>
      <c r="D119" s="405" t="s">
        <v>125</v>
      </c>
      <c r="E119" s="405" t="s">
        <v>125</v>
      </c>
      <c r="F119" s="405" t="s">
        <v>125</v>
      </c>
      <c r="G119" s="405" t="s">
        <v>125</v>
      </c>
      <c r="H119" s="405" t="s">
        <v>125</v>
      </c>
      <c r="I119" s="405" t="s">
        <v>125</v>
      </c>
      <c r="J119" s="405" t="s">
        <v>125</v>
      </c>
      <c r="K119" s="405" t="s">
        <v>125</v>
      </c>
    </row>
    <row r="120" spans="1:11" x14ac:dyDescent="0.2">
      <c r="A120" s="404" t="s">
        <v>695</v>
      </c>
      <c r="B120" s="405" t="s">
        <v>125</v>
      </c>
      <c r="C120" s="405" t="s">
        <v>125</v>
      </c>
      <c r="D120" s="405" t="s">
        <v>125</v>
      </c>
      <c r="E120" s="405" t="s">
        <v>125</v>
      </c>
      <c r="F120" s="405" t="s">
        <v>125</v>
      </c>
      <c r="G120" s="405" t="s">
        <v>125</v>
      </c>
      <c r="H120" s="405" t="s">
        <v>125</v>
      </c>
      <c r="I120" s="405" t="s">
        <v>125</v>
      </c>
      <c r="J120" s="405" t="s">
        <v>125</v>
      </c>
      <c r="K120" s="405" t="s">
        <v>125</v>
      </c>
    </row>
    <row r="121" spans="1:11" x14ac:dyDescent="0.2">
      <c r="A121" s="404" t="s">
        <v>696</v>
      </c>
      <c r="B121" s="405" t="s">
        <v>125</v>
      </c>
      <c r="C121" s="405" t="s">
        <v>125</v>
      </c>
      <c r="D121" s="405" t="s">
        <v>125</v>
      </c>
      <c r="E121" s="405" t="s">
        <v>125</v>
      </c>
      <c r="F121" s="405" t="s">
        <v>125</v>
      </c>
      <c r="G121" s="405" t="s">
        <v>125</v>
      </c>
      <c r="H121" s="405" t="s">
        <v>125</v>
      </c>
      <c r="I121" s="405" t="s">
        <v>125</v>
      </c>
      <c r="J121" s="405" t="s">
        <v>125</v>
      </c>
      <c r="K121" s="405" t="s">
        <v>125</v>
      </c>
    </row>
    <row r="122" spans="1:11" x14ac:dyDescent="0.2">
      <c r="A122" s="404" t="s">
        <v>697</v>
      </c>
      <c r="B122" s="405" t="s">
        <v>125</v>
      </c>
      <c r="C122" s="405" t="s">
        <v>125</v>
      </c>
      <c r="D122" s="405" t="s">
        <v>125</v>
      </c>
      <c r="E122" s="405" t="s">
        <v>125</v>
      </c>
      <c r="F122" s="405" t="s">
        <v>125</v>
      </c>
      <c r="G122" s="405" t="s">
        <v>125</v>
      </c>
      <c r="H122" s="405" t="s">
        <v>125</v>
      </c>
      <c r="I122" s="405" t="s">
        <v>125</v>
      </c>
      <c r="J122" s="405" t="s">
        <v>125</v>
      </c>
      <c r="K122" s="405" t="s">
        <v>125</v>
      </c>
    </row>
    <row r="123" spans="1:11" x14ac:dyDescent="0.2">
      <c r="A123" s="404" t="s">
        <v>698</v>
      </c>
      <c r="B123" s="405" t="s">
        <v>125</v>
      </c>
      <c r="C123" s="405" t="s">
        <v>125</v>
      </c>
      <c r="D123" s="405" t="s">
        <v>125</v>
      </c>
      <c r="E123" s="405" t="s">
        <v>125</v>
      </c>
      <c r="F123" s="405" t="s">
        <v>125</v>
      </c>
      <c r="G123" s="405" t="s">
        <v>125</v>
      </c>
      <c r="H123" s="405" t="s">
        <v>125</v>
      </c>
      <c r="I123" s="405" t="s">
        <v>125</v>
      </c>
      <c r="J123" s="405" t="s">
        <v>125</v>
      </c>
      <c r="K123" s="405" t="s">
        <v>125</v>
      </c>
    </row>
    <row r="124" spans="1:11" x14ac:dyDescent="0.2">
      <c r="A124" s="404" t="s">
        <v>2410</v>
      </c>
      <c r="B124" s="405" t="s">
        <v>125</v>
      </c>
      <c r="C124" s="405" t="s">
        <v>125</v>
      </c>
      <c r="D124" s="405" t="s">
        <v>125</v>
      </c>
      <c r="E124" s="405" t="s">
        <v>125</v>
      </c>
      <c r="F124" s="405" t="s">
        <v>125</v>
      </c>
      <c r="G124" s="405" t="s">
        <v>125</v>
      </c>
      <c r="H124" s="405" t="s">
        <v>125</v>
      </c>
      <c r="I124" s="405" t="s">
        <v>125</v>
      </c>
      <c r="J124" s="405" t="s">
        <v>125</v>
      </c>
      <c r="K124" s="405" t="s">
        <v>125</v>
      </c>
    </row>
    <row r="125" spans="1:11" x14ac:dyDescent="0.2">
      <c r="A125" s="404" t="s">
        <v>699</v>
      </c>
      <c r="B125" s="405" t="s">
        <v>125</v>
      </c>
      <c r="C125" s="405" t="s">
        <v>125</v>
      </c>
      <c r="D125" s="405" t="s">
        <v>125</v>
      </c>
      <c r="E125" s="405" t="s">
        <v>125</v>
      </c>
      <c r="F125" s="405" t="s">
        <v>125</v>
      </c>
      <c r="G125" s="405" t="s">
        <v>125</v>
      </c>
      <c r="H125" s="405" t="s">
        <v>125</v>
      </c>
      <c r="I125" s="405" t="s">
        <v>125</v>
      </c>
      <c r="J125" s="405" t="s">
        <v>125</v>
      </c>
      <c r="K125" s="405" t="s">
        <v>125</v>
      </c>
    </row>
    <row r="126" spans="1:11" x14ac:dyDescent="0.2">
      <c r="A126" s="404" t="s">
        <v>700</v>
      </c>
      <c r="B126" s="405" t="s">
        <v>125</v>
      </c>
      <c r="C126" s="405" t="s">
        <v>125</v>
      </c>
      <c r="D126" s="405" t="s">
        <v>125</v>
      </c>
      <c r="E126" s="405" t="s">
        <v>125</v>
      </c>
      <c r="F126" s="405" t="s">
        <v>125</v>
      </c>
      <c r="G126" s="405" t="s">
        <v>125</v>
      </c>
      <c r="H126" s="405" t="s">
        <v>125</v>
      </c>
      <c r="I126" s="405" t="s">
        <v>125</v>
      </c>
      <c r="J126" s="405" t="s">
        <v>125</v>
      </c>
      <c r="K126" s="405" t="s">
        <v>125</v>
      </c>
    </row>
    <row r="127" spans="1:11" x14ac:dyDescent="0.2">
      <c r="B127" s="398"/>
      <c r="C127" s="398"/>
      <c r="D127" s="398"/>
      <c r="E127" s="398"/>
      <c r="H127"/>
      <c r="I127"/>
      <c r="J127"/>
      <c r="K127"/>
    </row>
    <row r="128" spans="1:11" x14ac:dyDescent="0.2">
      <c r="B128" s="398"/>
      <c r="C128" s="398"/>
      <c r="D128" s="398"/>
      <c r="E128" s="398"/>
      <c r="H128"/>
      <c r="I128"/>
      <c r="J128"/>
      <c r="K128"/>
    </row>
    <row r="129" spans="8:11" x14ac:dyDescent="0.2">
      <c r="H129"/>
      <c r="I129"/>
      <c r="J129"/>
      <c r="K129"/>
    </row>
    <row r="130" spans="8:11" x14ac:dyDescent="0.2">
      <c r="H130"/>
      <c r="I130"/>
      <c r="J130"/>
      <c r="K130"/>
    </row>
    <row r="131" spans="8:11" x14ac:dyDescent="0.2">
      <c r="H131"/>
      <c r="I131"/>
      <c r="J131"/>
      <c r="K131"/>
    </row>
    <row r="132" spans="8:11" x14ac:dyDescent="0.2">
      <c r="H132"/>
      <c r="I132"/>
      <c r="J132"/>
      <c r="K132"/>
    </row>
    <row r="133" spans="8:11" x14ac:dyDescent="0.2">
      <c r="H133"/>
      <c r="I133"/>
      <c r="J133"/>
      <c r="K133"/>
    </row>
    <row r="134" spans="8:11" x14ac:dyDescent="0.2">
      <c r="H134"/>
      <c r="I134"/>
      <c r="J134"/>
      <c r="K134"/>
    </row>
    <row r="135" spans="8:11" x14ac:dyDescent="0.2">
      <c r="H135"/>
      <c r="I135"/>
      <c r="J135"/>
      <c r="K135"/>
    </row>
    <row r="136" spans="8:11" x14ac:dyDescent="0.2">
      <c r="H136"/>
      <c r="I136"/>
      <c r="J136"/>
      <c r="K136"/>
    </row>
    <row r="137" spans="8:11" x14ac:dyDescent="0.2">
      <c r="H137"/>
      <c r="I137"/>
      <c r="J137"/>
      <c r="K137"/>
    </row>
    <row r="138" spans="8:11" x14ac:dyDescent="0.2">
      <c r="H138"/>
      <c r="I138"/>
      <c r="J138"/>
      <c r="K138"/>
    </row>
    <row r="139" spans="8:11" x14ac:dyDescent="0.2">
      <c r="H139"/>
      <c r="I139"/>
      <c r="J139"/>
      <c r="K139"/>
    </row>
    <row r="140" spans="8:11" x14ac:dyDescent="0.2">
      <c r="H140"/>
      <c r="I140"/>
      <c r="J140"/>
      <c r="K140"/>
    </row>
    <row r="141" spans="8:11" x14ac:dyDescent="0.2">
      <c r="H141"/>
      <c r="I141"/>
      <c r="J141"/>
      <c r="K141"/>
    </row>
    <row r="142" spans="8:11" x14ac:dyDescent="0.2">
      <c r="H142"/>
      <c r="I142"/>
      <c r="J142"/>
      <c r="K142"/>
    </row>
    <row r="143" spans="8:11" x14ac:dyDescent="0.2">
      <c r="H143"/>
      <c r="I143"/>
      <c r="J143"/>
      <c r="K143"/>
    </row>
    <row r="144" spans="8:11" x14ac:dyDescent="0.2">
      <c r="H144"/>
      <c r="I144"/>
      <c r="J144"/>
      <c r="K144"/>
    </row>
    <row r="145" spans="8:11" x14ac:dyDescent="0.2">
      <c r="H145"/>
      <c r="I145"/>
      <c r="J145"/>
      <c r="K145"/>
    </row>
    <row r="146" spans="8:11" x14ac:dyDescent="0.2">
      <c r="H146"/>
      <c r="I146"/>
      <c r="J146"/>
      <c r="K146"/>
    </row>
    <row r="147" spans="8:11" x14ac:dyDescent="0.2">
      <c r="H147"/>
      <c r="I147"/>
      <c r="J147"/>
      <c r="K147"/>
    </row>
    <row r="148" spans="8:11" x14ac:dyDescent="0.2">
      <c r="H148"/>
      <c r="I148"/>
      <c r="J148"/>
      <c r="K148"/>
    </row>
    <row r="149" spans="8:11" x14ac:dyDescent="0.2">
      <c r="H149"/>
      <c r="I149"/>
      <c r="J149"/>
      <c r="K149"/>
    </row>
    <row r="150" spans="8:11" x14ac:dyDescent="0.2">
      <c r="H150"/>
      <c r="I150"/>
      <c r="J150"/>
      <c r="K150"/>
    </row>
    <row r="151" spans="8:11" x14ac:dyDescent="0.2">
      <c r="H151"/>
      <c r="I151"/>
      <c r="J151"/>
      <c r="K151"/>
    </row>
    <row r="152" spans="8:11" x14ac:dyDescent="0.2">
      <c r="H152"/>
      <c r="I152"/>
      <c r="J152"/>
      <c r="K152"/>
    </row>
    <row r="153" spans="8:11" x14ac:dyDescent="0.2">
      <c r="H153"/>
      <c r="I153"/>
      <c r="J153"/>
      <c r="K153"/>
    </row>
    <row r="154" spans="8:11" x14ac:dyDescent="0.2">
      <c r="H154"/>
      <c r="I154"/>
      <c r="J154"/>
      <c r="K154"/>
    </row>
    <row r="155" spans="8:11" x14ac:dyDescent="0.2">
      <c r="H155"/>
      <c r="I155"/>
      <c r="J155"/>
      <c r="K155"/>
    </row>
    <row r="156" spans="8:11" x14ac:dyDescent="0.2">
      <c r="H156"/>
      <c r="I156"/>
      <c r="J156"/>
      <c r="K156"/>
    </row>
    <row r="157" spans="8:11" x14ac:dyDescent="0.2">
      <c r="H157"/>
      <c r="I157"/>
      <c r="J157"/>
      <c r="K157"/>
    </row>
    <row r="158" spans="8:11" x14ac:dyDescent="0.2">
      <c r="H158"/>
      <c r="I158"/>
      <c r="J158"/>
      <c r="K158"/>
    </row>
    <row r="159" spans="8:11" x14ac:dyDescent="0.2">
      <c r="H159"/>
      <c r="I159"/>
      <c r="J159"/>
      <c r="K159"/>
    </row>
    <row r="160" spans="8:11" x14ac:dyDescent="0.2">
      <c r="H160"/>
      <c r="I160"/>
      <c r="J160"/>
      <c r="K160"/>
    </row>
    <row r="161" spans="8:11" x14ac:dyDescent="0.2">
      <c r="H161"/>
      <c r="I161"/>
      <c r="J161"/>
      <c r="K161"/>
    </row>
    <row r="162" spans="8:11" x14ac:dyDescent="0.2">
      <c r="H162"/>
      <c r="I162"/>
      <c r="J162"/>
      <c r="K162"/>
    </row>
    <row r="163" spans="8:11" x14ac:dyDescent="0.2">
      <c r="H163"/>
      <c r="I163"/>
      <c r="J163"/>
      <c r="K163"/>
    </row>
    <row r="164" spans="8:11" x14ac:dyDescent="0.2">
      <c r="H164"/>
      <c r="I164"/>
      <c r="J164"/>
      <c r="K164"/>
    </row>
    <row r="165" spans="8:11" x14ac:dyDescent="0.2">
      <c r="H165"/>
      <c r="I165"/>
      <c r="J165"/>
      <c r="K165"/>
    </row>
    <row r="166" spans="8:11" x14ac:dyDescent="0.2">
      <c r="H166"/>
      <c r="I166"/>
      <c r="J166"/>
      <c r="K166"/>
    </row>
    <row r="167" spans="8:11" x14ac:dyDescent="0.2">
      <c r="H167"/>
      <c r="I167"/>
      <c r="J167"/>
      <c r="K167"/>
    </row>
    <row r="168" spans="8:11" x14ac:dyDescent="0.2">
      <c r="H168"/>
      <c r="I168"/>
      <c r="J168"/>
      <c r="K168"/>
    </row>
    <row r="169" spans="8:11" x14ac:dyDescent="0.2">
      <c r="H169"/>
      <c r="I169"/>
      <c r="J169"/>
      <c r="K169"/>
    </row>
    <row r="170" spans="8:11" x14ac:dyDescent="0.2">
      <c r="H170"/>
      <c r="I170"/>
      <c r="J170"/>
      <c r="K170"/>
    </row>
    <row r="171" spans="8:11" x14ac:dyDescent="0.2">
      <c r="H171"/>
      <c r="I171"/>
      <c r="J171"/>
      <c r="K171"/>
    </row>
    <row r="172" spans="8:11" x14ac:dyDescent="0.2">
      <c r="H172"/>
      <c r="I172"/>
      <c r="J172"/>
      <c r="K172"/>
    </row>
    <row r="173" spans="8:11" x14ac:dyDescent="0.2">
      <c r="H173" s="399"/>
      <c r="I173" s="399"/>
    </row>
    <row r="174" spans="8:11" x14ac:dyDescent="0.2">
      <c r="H174" s="399"/>
      <c r="I174" s="399"/>
    </row>
    <row r="175" spans="8:11" x14ac:dyDescent="0.2">
      <c r="H175" s="399"/>
      <c r="I175" s="399"/>
    </row>
    <row r="176" spans="8:11" x14ac:dyDescent="0.2">
      <c r="H176" s="399"/>
      <c r="I176" s="399"/>
    </row>
    <row r="177" spans="8:9" x14ac:dyDescent="0.2">
      <c r="H177" s="399"/>
      <c r="I177" s="399"/>
    </row>
    <row r="178" spans="8:9" x14ac:dyDescent="0.2">
      <c r="H178" s="399"/>
      <c r="I178" s="399"/>
    </row>
    <row r="179" spans="8:9" x14ac:dyDescent="0.2">
      <c r="H179" s="399"/>
      <c r="I179" s="399"/>
    </row>
    <row r="180" spans="8:9" x14ac:dyDescent="0.2">
      <c r="H180" s="399"/>
      <c r="I180" s="399"/>
    </row>
    <row r="181" spans="8:9" x14ac:dyDescent="0.2">
      <c r="H181" s="399"/>
      <c r="I181" s="399"/>
    </row>
    <row r="182" spans="8:9" x14ac:dyDescent="0.2">
      <c r="H182" s="399"/>
      <c r="I182" s="399"/>
    </row>
    <row r="183" spans="8:9" x14ac:dyDescent="0.2">
      <c r="H183" s="399"/>
      <c r="I183" s="399"/>
    </row>
    <row r="184" spans="8:9" x14ac:dyDescent="0.2">
      <c r="H184" s="399"/>
      <c r="I184" s="399"/>
    </row>
    <row r="185" spans="8:9" x14ac:dyDescent="0.2">
      <c r="H185" s="399"/>
      <c r="I185" s="399"/>
    </row>
    <row r="186" spans="8:9" x14ac:dyDescent="0.2">
      <c r="H186" s="399"/>
      <c r="I186" s="399"/>
    </row>
    <row r="187" spans="8:9" x14ac:dyDescent="0.2">
      <c r="H187" s="399"/>
      <c r="I187" s="399"/>
    </row>
    <row r="188" spans="8:9" x14ac:dyDescent="0.2">
      <c r="H188" s="399"/>
      <c r="I188" s="399"/>
    </row>
    <row r="189" spans="8:9" x14ac:dyDescent="0.2">
      <c r="H189" s="399"/>
      <c r="I189" s="399"/>
    </row>
    <row r="190" spans="8:9" x14ac:dyDescent="0.2">
      <c r="H190" s="399"/>
      <c r="I190" s="399"/>
    </row>
    <row r="191" spans="8:9" x14ac:dyDescent="0.2">
      <c r="H191" s="399"/>
      <c r="I191" s="399"/>
    </row>
    <row r="192" spans="8:9" x14ac:dyDescent="0.2">
      <c r="H192" s="399"/>
      <c r="I192" s="399"/>
    </row>
    <row r="193" spans="8:9" x14ac:dyDescent="0.2">
      <c r="H193" s="399"/>
      <c r="I193" s="399"/>
    </row>
    <row r="194" spans="8:9" x14ac:dyDescent="0.2">
      <c r="H194" s="399"/>
      <c r="I194" s="399"/>
    </row>
    <row r="195" spans="8:9" x14ac:dyDescent="0.2">
      <c r="H195" s="399"/>
      <c r="I195" s="399"/>
    </row>
    <row r="196" spans="8:9" x14ac:dyDescent="0.2">
      <c r="H196" s="399"/>
      <c r="I196" s="399"/>
    </row>
    <row r="197" spans="8:9" x14ac:dyDescent="0.2">
      <c r="H197" s="399"/>
      <c r="I197" s="399"/>
    </row>
    <row r="198" spans="8:9" x14ac:dyDescent="0.2">
      <c r="H198" s="399"/>
      <c r="I198" s="399"/>
    </row>
    <row r="199" spans="8:9" x14ac:dyDescent="0.2">
      <c r="H199" s="399"/>
      <c r="I199" s="399"/>
    </row>
    <row r="200" spans="8:9" x14ac:dyDescent="0.2">
      <c r="H200" s="399"/>
      <c r="I200" s="399"/>
    </row>
    <row r="201" spans="8:9" x14ac:dyDescent="0.2">
      <c r="H201" s="399"/>
      <c r="I201" s="399"/>
    </row>
    <row r="202" spans="8:9" x14ac:dyDescent="0.2">
      <c r="H202" s="399"/>
      <c r="I202" s="399"/>
    </row>
    <row r="203" spans="8:9" x14ac:dyDescent="0.2">
      <c r="H203" s="399"/>
      <c r="I203" s="399"/>
    </row>
    <row r="204" spans="8:9" x14ac:dyDescent="0.2">
      <c r="H204" s="399"/>
      <c r="I204" s="399"/>
    </row>
    <row r="205" spans="8:9" x14ac:dyDescent="0.2">
      <c r="H205" s="399"/>
      <c r="I205" s="399"/>
    </row>
    <row r="206" spans="8:9" x14ac:dyDescent="0.2">
      <c r="H206" s="399"/>
      <c r="I206" s="399"/>
    </row>
    <row r="207" spans="8:9" x14ac:dyDescent="0.2">
      <c r="H207" s="399"/>
      <c r="I207" s="399"/>
    </row>
    <row r="208" spans="8:9" x14ac:dyDescent="0.2">
      <c r="H208" s="399"/>
      <c r="I208" s="399"/>
    </row>
  </sheetData>
  <sheetProtection sheet="1" objects="1" scenarios="1"/>
  <autoFilter ref="A1:K126" xr:uid="{EDD28789-AA07-405A-95B8-29FDA9ADF1E2}"/>
  <phoneticPr fontId="21" type="noConversion"/>
  <pageMargins left="0.7" right="0.7" top="0.75" bottom="0.75" header="0.3" footer="0.3"/>
  <pageSetup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76D6A-4DF1-4865-994E-97C3E5E86FB3}">
  <dimension ref="B1:H45"/>
  <sheetViews>
    <sheetView workbookViewId="0">
      <selection activeCell="E29" sqref="E29:F29"/>
    </sheetView>
  </sheetViews>
  <sheetFormatPr defaultRowHeight="12.75" x14ac:dyDescent="0.2"/>
  <cols>
    <col min="1" max="1" width="5.42578125" customWidth="1"/>
    <col min="2" max="2" width="10.140625" customWidth="1"/>
    <col min="3" max="3" width="10.5703125" customWidth="1"/>
    <col min="4" max="4" width="15.5703125" style="461" customWidth="1"/>
    <col min="5" max="5" width="4.42578125" customWidth="1"/>
    <col min="6" max="6" width="8.5703125" customWidth="1"/>
    <col min="7" max="7" width="10.5703125" customWidth="1"/>
    <col min="8" max="8" width="10.7109375" customWidth="1"/>
    <col min="9" max="9" width="13.28515625" customWidth="1"/>
    <col min="10" max="10" width="17" customWidth="1"/>
  </cols>
  <sheetData>
    <row r="1" spans="2:8" x14ac:dyDescent="0.2">
      <c r="B1" s="497" t="s">
        <v>2251</v>
      </c>
      <c r="C1" s="1380" t="s">
        <v>2220</v>
      </c>
      <c r="D1" s="1380"/>
      <c r="E1" s="1380"/>
      <c r="F1" s="1380"/>
      <c r="G1" s="1380"/>
      <c r="H1" s="1380"/>
    </row>
    <row r="3" spans="2:8" ht="24" customHeight="1" x14ac:dyDescent="0.2">
      <c r="B3" s="464" t="s">
        <v>19</v>
      </c>
      <c r="C3" s="1377" t="s">
        <v>2250</v>
      </c>
      <c r="D3" s="1377"/>
      <c r="F3" s="464" t="s">
        <v>19</v>
      </c>
      <c r="G3" s="1378" t="s">
        <v>2250</v>
      </c>
      <c r="H3" s="1379"/>
    </row>
    <row r="4" spans="2:8" ht="15" x14ac:dyDescent="0.2">
      <c r="B4" s="464" t="s">
        <v>2217</v>
      </c>
      <c r="C4" s="464" t="s">
        <v>2218</v>
      </c>
      <c r="D4" s="464" t="s">
        <v>2222</v>
      </c>
      <c r="F4" s="464" t="s">
        <v>2219</v>
      </c>
      <c r="G4" s="464" t="s">
        <v>2218</v>
      </c>
      <c r="H4" s="464" t="s">
        <v>2223</v>
      </c>
    </row>
    <row r="5" spans="2:8" x14ac:dyDescent="0.2">
      <c r="B5" s="18">
        <v>50</v>
      </c>
      <c r="C5" s="18">
        <v>0.88</v>
      </c>
      <c r="D5" s="465">
        <v>4.8888888888890001E-5</v>
      </c>
      <c r="E5" s="460"/>
      <c r="F5" s="18">
        <v>15</v>
      </c>
      <c r="G5" s="18">
        <v>1.51</v>
      </c>
      <c r="H5" s="1">
        <v>1.5100000000000001E-4</v>
      </c>
    </row>
    <row r="6" spans="2:8" x14ac:dyDescent="0.2">
      <c r="B6" s="18">
        <v>60</v>
      </c>
      <c r="C6" s="18">
        <v>1.59</v>
      </c>
      <c r="D6" s="465">
        <v>8.8333333333329996E-5</v>
      </c>
      <c r="E6" s="460"/>
      <c r="F6" s="18">
        <v>20</v>
      </c>
      <c r="G6" s="18">
        <v>2.0699999999999998</v>
      </c>
      <c r="H6" s="1">
        <v>2.0699999999999999E-4</v>
      </c>
    </row>
    <row r="7" spans="2:8" x14ac:dyDescent="0.2">
      <c r="B7" s="18">
        <v>70</v>
      </c>
      <c r="C7" s="18">
        <v>2.1800000000000002</v>
      </c>
      <c r="D7" s="465">
        <v>1.211111111111E-4</v>
      </c>
      <c r="E7" s="460"/>
      <c r="F7" s="18">
        <v>25</v>
      </c>
      <c r="G7" s="18">
        <v>2.57</v>
      </c>
      <c r="H7" s="1">
        <v>2.5700000000000001E-4</v>
      </c>
    </row>
    <row r="8" spans="2:8" x14ac:dyDescent="0.2">
      <c r="B8" s="18">
        <v>80</v>
      </c>
      <c r="C8" s="18">
        <v>2.72</v>
      </c>
      <c r="D8" s="465">
        <v>1.511111111111E-4</v>
      </c>
      <c r="E8" s="460"/>
      <c r="F8" s="18">
        <v>30</v>
      </c>
      <c r="G8" s="18">
        <v>3.03</v>
      </c>
      <c r="H8" s="1">
        <v>3.0299999999999999E-4</v>
      </c>
    </row>
    <row r="9" spans="2:8" x14ac:dyDescent="0.2">
      <c r="B9" s="18">
        <v>90</v>
      </c>
      <c r="C9" s="18">
        <v>3.21</v>
      </c>
      <c r="D9" s="465">
        <v>1.7833333333330001E-4</v>
      </c>
      <c r="E9" s="460"/>
      <c r="F9" s="18">
        <v>35</v>
      </c>
      <c r="G9" s="18">
        <v>3.45</v>
      </c>
      <c r="H9" s="1">
        <v>3.4500000000000004E-4</v>
      </c>
    </row>
    <row r="10" spans="2:8" x14ac:dyDescent="0.2">
      <c r="B10" s="18">
        <v>100</v>
      </c>
      <c r="C10" s="18">
        <v>3.66</v>
      </c>
      <c r="D10" s="465">
        <v>2.0333333333329999E-4</v>
      </c>
      <c r="E10" s="460"/>
      <c r="F10" s="18">
        <v>40</v>
      </c>
      <c r="G10" s="18">
        <v>3.84</v>
      </c>
      <c r="H10" s="1">
        <v>3.8400000000000001E-4</v>
      </c>
    </row>
    <row r="11" spans="2:8" x14ac:dyDescent="0.2">
      <c r="B11" s="18">
        <v>110</v>
      </c>
      <c r="C11" s="18">
        <v>4.08</v>
      </c>
      <c r="D11" s="465">
        <v>2.266666666667E-4</v>
      </c>
      <c r="E11" s="460"/>
      <c r="F11" s="18">
        <v>45</v>
      </c>
      <c r="G11" s="18">
        <v>4.2</v>
      </c>
      <c r="H11" s="1">
        <v>4.2000000000000002E-4</v>
      </c>
    </row>
    <row r="12" spans="2:8" x14ac:dyDescent="0.2">
      <c r="B12" s="18">
        <v>120</v>
      </c>
      <c r="C12" s="18">
        <v>4.46</v>
      </c>
      <c r="D12" s="465">
        <v>2.4777777777779998E-4</v>
      </c>
      <c r="E12" s="460"/>
      <c r="F12" s="18">
        <v>50</v>
      </c>
      <c r="G12" s="18">
        <v>4.54</v>
      </c>
      <c r="H12" s="1">
        <v>4.5400000000000003E-4</v>
      </c>
    </row>
    <row r="13" spans="2:8" x14ac:dyDescent="0.2">
      <c r="B13" s="18">
        <v>130</v>
      </c>
      <c r="C13" s="18">
        <v>4.8099999999999996</v>
      </c>
      <c r="D13" s="465">
        <v>2.6722222222220002E-4</v>
      </c>
      <c r="E13" s="460"/>
      <c r="F13" s="18">
        <v>55</v>
      </c>
      <c r="G13" s="18">
        <v>4.8600000000000003</v>
      </c>
      <c r="H13" s="1">
        <v>4.8600000000000005E-4</v>
      </c>
    </row>
    <row r="14" spans="2:8" x14ac:dyDescent="0.2">
      <c r="B14" s="18">
        <v>140</v>
      </c>
      <c r="C14" s="18">
        <v>5.16</v>
      </c>
      <c r="D14" s="465">
        <v>2.8666666666670002E-4</v>
      </c>
      <c r="E14" s="460"/>
      <c r="F14" s="18">
        <v>60</v>
      </c>
      <c r="G14" s="18">
        <v>5.16</v>
      </c>
      <c r="H14" s="1">
        <v>5.1600000000000007E-4</v>
      </c>
    </row>
    <row r="15" spans="2:8" x14ac:dyDescent="0.2">
      <c r="B15" s="18">
        <v>150</v>
      </c>
      <c r="C15" s="18">
        <v>5.47</v>
      </c>
      <c r="D15" s="465">
        <v>3.0388888888889997E-4</v>
      </c>
      <c r="E15" s="463"/>
      <c r="F15" s="18">
        <v>65</v>
      </c>
      <c r="G15" s="18">
        <v>5.44</v>
      </c>
      <c r="H15" s="1">
        <v>5.440000000000001E-4</v>
      </c>
    </row>
    <row r="16" spans="2:8" x14ac:dyDescent="0.2">
      <c r="B16" s="18">
        <v>160</v>
      </c>
      <c r="C16" s="18">
        <v>5.71</v>
      </c>
      <c r="D16" s="465">
        <v>3.1722222222219998E-4</v>
      </c>
      <c r="E16" s="460"/>
      <c r="F16" s="18">
        <v>70</v>
      </c>
      <c r="G16" s="18">
        <v>5.71</v>
      </c>
      <c r="H16" s="1">
        <v>5.71E-4</v>
      </c>
    </row>
    <row r="17" spans="2:8" x14ac:dyDescent="0.2">
      <c r="B17" s="18">
        <v>170</v>
      </c>
      <c r="C17" s="18">
        <v>6.05</v>
      </c>
      <c r="D17" s="465">
        <v>3.3611111111110002E-4</v>
      </c>
      <c r="E17" s="460"/>
      <c r="F17" s="18">
        <v>75</v>
      </c>
      <c r="G17" s="18">
        <v>5.97</v>
      </c>
      <c r="H17" s="1">
        <v>5.9699999999999998E-4</v>
      </c>
    </row>
    <row r="18" spans="2:8" x14ac:dyDescent="0.2">
      <c r="B18" s="18">
        <v>180</v>
      </c>
      <c r="C18" s="18">
        <v>6.31</v>
      </c>
      <c r="D18" s="465">
        <v>3.5055555555560001E-4</v>
      </c>
      <c r="E18" s="460"/>
      <c r="F18" s="18">
        <v>80</v>
      </c>
      <c r="G18" s="18">
        <v>6.21</v>
      </c>
      <c r="H18" s="1">
        <v>6.2100000000000002E-4</v>
      </c>
    </row>
    <row r="19" spans="2:8" x14ac:dyDescent="0.2">
      <c r="B19" s="18">
        <v>190</v>
      </c>
      <c r="C19" s="18">
        <v>6.57</v>
      </c>
      <c r="D19" s="465">
        <v>3.6499999999999998E-4</v>
      </c>
      <c r="E19" s="460"/>
      <c r="F19" s="18">
        <v>85</v>
      </c>
      <c r="G19" s="18">
        <v>6.44</v>
      </c>
      <c r="H19" s="1">
        <v>6.4400000000000004E-4</v>
      </c>
    </row>
    <row r="20" spans="2:8" x14ac:dyDescent="0.2">
      <c r="B20" s="18">
        <v>200</v>
      </c>
      <c r="C20" s="18">
        <v>6.79</v>
      </c>
      <c r="D20" s="465">
        <v>3.7722222222219998E-4</v>
      </c>
      <c r="E20" s="460"/>
      <c r="F20" s="18">
        <v>90</v>
      </c>
      <c r="G20" s="18">
        <v>6.66</v>
      </c>
      <c r="H20" s="1">
        <v>6.6600000000000003E-4</v>
      </c>
    </row>
    <row r="21" spans="2:8" x14ac:dyDescent="0.2">
      <c r="B21" s="18">
        <v>212</v>
      </c>
      <c r="C21" s="18">
        <v>7.07</v>
      </c>
      <c r="D21" s="465">
        <v>3.9277777777779998E-4</v>
      </c>
      <c r="E21" s="460"/>
      <c r="F21" s="18">
        <v>95</v>
      </c>
      <c r="G21" s="18">
        <v>6.87</v>
      </c>
      <c r="H21" s="1">
        <v>6.87E-4</v>
      </c>
    </row>
    <row r="22" spans="2:8" x14ac:dyDescent="0.2">
      <c r="B22" s="39"/>
      <c r="C22" s="22"/>
      <c r="D22" s="462"/>
      <c r="F22" s="18">
        <v>100</v>
      </c>
      <c r="G22" s="18">
        <v>7.03</v>
      </c>
      <c r="H22" s="1">
        <v>7.0300000000000007E-4</v>
      </c>
    </row>
    <row r="23" spans="2:8" x14ac:dyDescent="0.2">
      <c r="B23" s="459"/>
      <c r="C23" s="458"/>
      <c r="E23" s="459"/>
      <c r="F23" s="459"/>
    </row>
    <row r="24" spans="2:8" x14ac:dyDescent="0.2">
      <c r="B24" s="1354" t="s">
        <v>2256</v>
      </c>
      <c r="C24" s="1354"/>
      <c r="D24" s="1354"/>
      <c r="E24" s="1354"/>
      <c r="F24" s="459"/>
    </row>
    <row r="25" spans="2:8" x14ac:dyDescent="0.2">
      <c r="B25" s="26" t="s">
        <v>2253</v>
      </c>
      <c r="C25" s="1386" t="s">
        <v>2252</v>
      </c>
      <c r="D25" s="1387"/>
      <c r="E25" s="1388"/>
      <c r="F25" s="459"/>
    </row>
    <row r="26" spans="2:8" x14ac:dyDescent="0.2">
      <c r="B26" s="26" t="s">
        <v>2254</v>
      </c>
      <c r="C26" s="1386" t="s">
        <v>2255</v>
      </c>
      <c r="D26" s="1387"/>
      <c r="E26" s="1388"/>
      <c r="F26" s="459"/>
    </row>
    <row r="27" spans="2:8" ht="13.5" thickBot="1" x14ac:dyDescent="0.25">
      <c r="E27" s="459"/>
      <c r="F27" s="459"/>
    </row>
    <row r="28" spans="2:8" ht="13.5" customHeight="1" thickTop="1" x14ac:dyDescent="0.2">
      <c r="B28" s="1381" t="s">
        <v>2257</v>
      </c>
      <c r="C28" s="1382"/>
      <c r="D28" s="498" t="s">
        <v>2259</v>
      </c>
      <c r="E28" s="1183" t="s">
        <v>2258</v>
      </c>
      <c r="F28" s="1183"/>
      <c r="G28" s="1183" t="s">
        <v>2193</v>
      </c>
      <c r="H28" s="1184"/>
    </row>
    <row r="29" spans="2:8" x14ac:dyDescent="0.2">
      <c r="B29" s="1383"/>
      <c r="C29" s="987"/>
      <c r="D29" s="489" t="s">
        <v>1859</v>
      </c>
      <c r="E29" s="1389">
        <v>2.0499999999999999E-6</v>
      </c>
      <c r="F29" s="1389"/>
      <c r="G29" s="1389">
        <v>-1.596E-5</v>
      </c>
      <c r="H29" s="1390"/>
    </row>
    <row r="30" spans="2:8" ht="13.5" thickBot="1" x14ac:dyDescent="0.25">
      <c r="B30" s="1384"/>
      <c r="C30" s="1385"/>
      <c r="D30" s="499" t="s">
        <v>2260</v>
      </c>
      <c r="E30" s="1391">
        <v>6.3300000000000004E-6</v>
      </c>
      <c r="F30" s="1391"/>
      <c r="G30" s="1391">
        <v>1.1120000000000001E-4</v>
      </c>
      <c r="H30" s="1392"/>
    </row>
    <row r="31" spans="2:8" ht="13.5" thickTop="1" x14ac:dyDescent="0.2">
      <c r="E31" s="459"/>
      <c r="F31" s="459"/>
    </row>
    <row r="32" spans="2:8" x14ac:dyDescent="0.2">
      <c r="E32" s="459"/>
      <c r="F32" s="458"/>
    </row>
    <row r="33" spans="3:6" x14ac:dyDescent="0.2">
      <c r="E33" s="459"/>
      <c r="F33" s="458"/>
    </row>
    <row r="34" spans="3:6" x14ac:dyDescent="0.2">
      <c r="E34" s="459"/>
      <c r="F34" s="458"/>
    </row>
    <row r="35" spans="3:6" x14ac:dyDescent="0.2">
      <c r="E35" s="459"/>
      <c r="F35" s="458"/>
    </row>
    <row r="36" spans="3:6" x14ac:dyDescent="0.2">
      <c r="E36" s="459"/>
      <c r="F36" s="458"/>
    </row>
    <row r="37" spans="3:6" x14ac:dyDescent="0.2">
      <c r="E37" s="459"/>
      <c r="F37" s="458"/>
    </row>
    <row r="41" spans="3:6" x14ac:dyDescent="0.2">
      <c r="C41" s="458"/>
    </row>
    <row r="42" spans="3:6" x14ac:dyDescent="0.2">
      <c r="C42" s="458"/>
    </row>
    <row r="43" spans="3:6" x14ac:dyDescent="0.2">
      <c r="C43" s="458"/>
    </row>
    <row r="44" spans="3:6" x14ac:dyDescent="0.2">
      <c r="C44" s="458"/>
    </row>
    <row r="45" spans="3:6" x14ac:dyDescent="0.2">
      <c r="C45" s="458"/>
    </row>
  </sheetData>
  <sheetProtection sheet="1" objects="1" scenarios="1"/>
  <mergeCells count="13">
    <mergeCell ref="C3:D3"/>
    <mergeCell ref="G3:H3"/>
    <mergeCell ref="C1:H1"/>
    <mergeCell ref="B24:E24"/>
    <mergeCell ref="B28:C30"/>
    <mergeCell ref="C25:E25"/>
    <mergeCell ref="C26:E26"/>
    <mergeCell ref="E28:F28"/>
    <mergeCell ref="G28:H28"/>
    <mergeCell ref="E29:F29"/>
    <mergeCell ref="G29:H29"/>
    <mergeCell ref="E30:F30"/>
    <mergeCell ref="G30:H30"/>
  </mergeCells>
  <hyperlinks>
    <hyperlink ref="C1" r:id="rId1" xr:uid="{76A176C6-9A51-43CB-850E-A3650C916DE3}"/>
  </hyperlinks>
  <pageMargins left="0.7" right="0.7" top="0.75" bottom="0.75" header="0.3" footer="0.3"/>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78B0-2592-4AF7-AF9F-B3CD5A9F1E74}">
  <dimension ref="A2:D17"/>
  <sheetViews>
    <sheetView zoomScale="180" zoomScaleNormal="180" workbookViewId="0">
      <selection activeCell="C3" sqref="C3"/>
    </sheetView>
  </sheetViews>
  <sheetFormatPr defaultRowHeight="12.75" x14ac:dyDescent="0.2"/>
  <cols>
    <col min="1" max="1" width="11.28515625" bestFit="1" customWidth="1"/>
    <col min="2" max="2" width="5.7109375" bestFit="1" customWidth="1"/>
    <col min="4" max="4" width="7" bestFit="1" customWidth="1"/>
  </cols>
  <sheetData>
    <row r="2" spans="1:4" x14ac:dyDescent="0.2">
      <c r="A2" s="1248" t="s">
        <v>2337</v>
      </c>
      <c r="B2" s="1248"/>
      <c r="C2" s="1248"/>
      <c r="D2" s="1248"/>
    </row>
    <row r="3" spans="1:4" x14ac:dyDescent="0.2">
      <c r="A3" s="672">
        <v>1</v>
      </c>
      <c r="B3" s="688" t="s">
        <v>2341</v>
      </c>
      <c r="C3" s="568">
        <f>CONVERT(A3,B3,D3)</f>
        <v>0.45359237000000002</v>
      </c>
      <c r="D3" s="688" t="s">
        <v>2336</v>
      </c>
    </row>
    <row r="4" spans="1:4" x14ac:dyDescent="0.2">
      <c r="A4" s="672">
        <v>1</v>
      </c>
      <c r="B4" s="688" t="s">
        <v>2342</v>
      </c>
      <c r="C4" s="568">
        <f>CONVERT(A4,B4,D4)</f>
        <v>28.349523125000001</v>
      </c>
      <c r="D4" s="688" t="s">
        <v>1650</v>
      </c>
    </row>
    <row r="5" spans="1:4" x14ac:dyDescent="0.2">
      <c r="A5" s="1248" t="s">
        <v>1097</v>
      </c>
      <c r="B5" s="1248"/>
      <c r="C5" s="1248"/>
      <c r="D5" s="1248"/>
    </row>
    <row r="6" spans="1:4" x14ac:dyDescent="0.2">
      <c r="A6" s="672">
        <v>1</v>
      </c>
      <c r="B6" s="688" t="s">
        <v>2338</v>
      </c>
      <c r="C6" s="568">
        <f>CONVERT(A6,B6,D6)</f>
        <v>0.25</v>
      </c>
      <c r="D6" s="688" t="s">
        <v>2343</v>
      </c>
    </row>
    <row r="7" spans="1:4" x14ac:dyDescent="0.2">
      <c r="A7" s="672">
        <v>1</v>
      </c>
      <c r="B7" s="688" t="s">
        <v>2338</v>
      </c>
      <c r="C7" s="568">
        <f>CONVERT(A7,B7,D7)</f>
        <v>0.94635294599999997</v>
      </c>
      <c r="D7" s="688" t="s">
        <v>412</v>
      </c>
    </row>
    <row r="8" spans="1:4" x14ac:dyDescent="0.2">
      <c r="A8" s="1248" t="s">
        <v>1096</v>
      </c>
      <c r="B8" s="1248"/>
      <c r="C8" s="1248"/>
      <c r="D8" s="1248"/>
    </row>
    <row r="9" spans="1:4" x14ac:dyDescent="0.2">
      <c r="A9" s="672">
        <v>1</v>
      </c>
      <c r="B9" s="688" t="s">
        <v>2339</v>
      </c>
      <c r="C9" s="568">
        <f>CONVERT(A9,B9,D9)</f>
        <v>-17.222222222222221</v>
      </c>
      <c r="D9" s="688" t="s">
        <v>2340</v>
      </c>
    </row>
    <row r="10" spans="1:4" x14ac:dyDescent="0.2">
      <c r="A10" s="4"/>
      <c r="B10" s="4"/>
      <c r="C10" s="4"/>
      <c r="D10" s="4"/>
    </row>
    <row r="11" spans="1:4" x14ac:dyDescent="0.2">
      <c r="A11" s="4"/>
      <c r="B11" s="4"/>
      <c r="C11" s="4"/>
      <c r="D11" s="4"/>
    </row>
    <row r="12" spans="1:4" x14ac:dyDescent="0.2">
      <c r="A12" s="4"/>
      <c r="B12" s="4"/>
      <c r="C12" s="4"/>
      <c r="D12" s="4"/>
    </row>
    <row r="13" spans="1:4" x14ac:dyDescent="0.2">
      <c r="A13" s="4"/>
      <c r="B13" s="4"/>
      <c r="C13" s="4"/>
      <c r="D13" s="4"/>
    </row>
    <row r="14" spans="1:4" x14ac:dyDescent="0.2">
      <c r="A14" s="4"/>
      <c r="B14" s="4"/>
      <c r="C14" s="4"/>
      <c r="D14" s="4"/>
    </row>
    <row r="15" spans="1:4" x14ac:dyDescent="0.2">
      <c r="A15" s="4"/>
      <c r="B15" s="4"/>
      <c r="C15" s="4"/>
      <c r="D15" s="4"/>
    </row>
    <row r="16" spans="1:4" x14ac:dyDescent="0.2">
      <c r="A16" s="4"/>
      <c r="B16" s="4"/>
      <c r="C16" s="4"/>
      <c r="D16" s="4"/>
    </row>
    <row r="17" spans="1:4" x14ac:dyDescent="0.2">
      <c r="A17" s="4"/>
      <c r="B17" s="4"/>
      <c r="C17" s="4"/>
      <c r="D17" s="4"/>
    </row>
  </sheetData>
  <sheetProtection sheet="1" objects="1" scenarios="1"/>
  <mergeCells count="3">
    <mergeCell ref="A2:D2"/>
    <mergeCell ref="A5:D5"/>
    <mergeCell ref="A8:D8"/>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Y65"/>
  <sheetViews>
    <sheetView tabSelected="1" topLeftCell="L5" zoomScale="175" zoomScaleNormal="175" workbookViewId="0">
      <selection activeCell="AA37" sqref="AA37"/>
    </sheetView>
  </sheetViews>
  <sheetFormatPr defaultRowHeight="12.75" x14ac:dyDescent="0.2"/>
  <cols>
    <col min="1" max="1" width="8.5703125" customWidth="1"/>
    <col min="2" max="2" width="9.42578125" customWidth="1"/>
    <col min="3" max="3" width="5" customWidth="1"/>
    <col min="4" max="4" width="11.140625" customWidth="1"/>
    <col min="5" max="6" width="6" customWidth="1"/>
    <col min="7" max="7" width="0.85546875" customWidth="1"/>
    <col min="8" max="8" width="5.42578125" customWidth="1"/>
    <col min="9" max="9" width="5" customWidth="1"/>
    <col min="10" max="13" width="6" customWidth="1"/>
    <col min="14" max="14" width="1.28515625" customWidth="1"/>
    <col min="15" max="18" width="5.85546875" customWidth="1"/>
    <col min="19" max="19" width="0.85546875" customWidth="1"/>
    <col min="20" max="26" width="6.7109375" customWidth="1"/>
    <col min="27" max="27" width="6.5703125" customWidth="1"/>
    <col min="28" max="29" width="7.5703125" customWidth="1"/>
    <col min="30" max="30" width="5" customWidth="1"/>
    <col min="31" max="31" width="6.7109375" customWidth="1"/>
    <col min="32" max="32" width="9.140625" customWidth="1"/>
    <col min="33" max="35" width="8.28515625" customWidth="1"/>
    <col min="36" max="36" width="7.42578125" customWidth="1"/>
    <col min="37" max="37" width="7.140625" bestFit="1" customWidth="1"/>
    <col min="38" max="38" width="3.7109375" customWidth="1"/>
    <col min="39" max="39" width="5.7109375" customWidth="1"/>
    <col min="40" max="40" width="1.7109375" bestFit="1" customWidth="1"/>
    <col min="41" max="42" width="5.7109375" customWidth="1"/>
    <col min="43" max="43" width="1.7109375" bestFit="1" customWidth="1"/>
    <col min="44" max="44" width="5.7109375" customWidth="1"/>
    <col min="45" max="45" width="6.5703125" customWidth="1"/>
    <col min="46" max="46" width="4.85546875" customWidth="1"/>
    <col min="47" max="47" width="4.42578125" customWidth="1"/>
  </cols>
  <sheetData>
    <row r="1" spans="1:51" x14ac:dyDescent="0.2">
      <c r="A1" s="527" t="s">
        <v>2283</v>
      </c>
      <c r="B1" s="952" t="s">
        <v>596</v>
      </c>
      <c r="C1" s="953"/>
      <c r="D1" s="953"/>
      <c r="E1" s="953"/>
      <c r="F1" s="954"/>
      <c r="G1" s="55"/>
      <c r="I1" s="528" t="s">
        <v>109</v>
      </c>
      <c r="J1" s="934" t="s">
        <v>2389</v>
      </c>
      <c r="K1" s="935"/>
      <c r="L1" s="935"/>
      <c r="M1" s="935"/>
      <c r="N1" s="935"/>
      <c r="O1" s="936"/>
      <c r="Q1" s="946" t="s">
        <v>2226</v>
      </c>
      <c r="R1" s="947"/>
      <c r="S1" s="947"/>
      <c r="T1" s="861" t="str">
        <f>'Brewhouse Setup &amp; Calcs'!C11</f>
        <v>18G Anvil Foundry, Sparge, 75% PWR</v>
      </c>
      <c r="U1" s="862"/>
      <c r="V1" s="862"/>
      <c r="W1" s="862"/>
      <c r="X1" s="862"/>
      <c r="Y1" s="862"/>
      <c r="Z1" s="862"/>
      <c r="AA1" s="862"/>
      <c r="AB1" s="862"/>
      <c r="AC1" s="863"/>
    </row>
    <row r="2" spans="1:51" ht="13.15" customHeight="1" x14ac:dyDescent="0.2">
      <c r="A2" s="518"/>
      <c r="F2" s="55"/>
      <c r="G2" s="55"/>
      <c r="I2" s="528" t="s">
        <v>110</v>
      </c>
      <c r="J2" s="937">
        <v>45703</v>
      </c>
      <c r="K2" s="938"/>
      <c r="L2" s="938"/>
      <c r="M2" s="938"/>
      <c r="N2" s="938"/>
      <c r="O2" s="939"/>
      <c r="Q2" s="946" t="s">
        <v>2227</v>
      </c>
      <c r="R2" s="947"/>
      <c r="S2" s="947"/>
      <c r="T2" s="861" t="str">
        <f>'Brewhouse Setup &amp; Calcs'!C12</f>
        <v>JaDeD Scylla</v>
      </c>
      <c r="U2" s="862"/>
      <c r="V2" s="862"/>
      <c r="W2" s="863"/>
      <c r="X2" s="1002" t="s">
        <v>2354</v>
      </c>
      <c r="Y2" s="1003"/>
      <c r="Z2" s="861" t="str">
        <f>'Brewhouse Setup &amp; Calcs'!$C$13</f>
        <v>Kegmenter</v>
      </c>
      <c r="AA2" s="862"/>
      <c r="AB2" s="862"/>
      <c r="AC2" s="863"/>
    </row>
    <row r="3" spans="1:51" ht="6.6" customHeight="1" x14ac:dyDescent="0.2">
      <c r="A3" s="55"/>
      <c r="B3" s="55"/>
      <c r="C3" s="55"/>
      <c r="D3" s="55"/>
      <c r="E3" s="55"/>
      <c r="F3" s="55"/>
      <c r="G3" s="55"/>
      <c r="H3" s="55"/>
      <c r="I3" s="55"/>
      <c r="J3" s="55"/>
      <c r="K3" s="55"/>
      <c r="L3" s="55"/>
      <c r="M3" s="55"/>
      <c r="N3" s="55"/>
      <c r="O3" s="55"/>
      <c r="P3" s="55"/>
      <c r="Q3" s="55"/>
      <c r="R3" s="55"/>
      <c r="S3" s="55"/>
      <c r="T3" s="55"/>
      <c r="U3" s="55"/>
      <c r="V3" s="55"/>
      <c r="W3" s="55"/>
      <c r="X3" s="55"/>
    </row>
    <row r="4" spans="1:51" ht="12.75" customHeight="1" x14ac:dyDescent="0.2">
      <c r="A4" s="944" t="s">
        <v>1094</v>
      </c>
      <c r="B4" s="916"/>
      <c r="C4" s="916"/>
      <c r="D4" s="916"/>
      <c r="E4" s="916"/>
      <c r="F4" s="917"/>
      <c r="G4" s="342"/>
      <c r="H4" s="918" t="s">
        <v>1670</v>
      </c>
      <c r="I4" s="918"/>
      <c r="J4" s="918"/>
      <c r="K4" s="918"/>
      <c r="L4" s="944" t="s">
        <v>2146</v>
      </c>
      <c r="M4" s="917"/>
      <c r="N4" s="510"/>
      <c r="O4" s="918" t="s">
        <v>1852</v>
      </c>
      <c r="P4" s="918"/>
      <c r="Q4" s="918"/>
      <c r="R4" s="918"/>
      <c r="S4" s="342"/>
      <c r="T4" s="977" t="s">
        <v>2330</v>
      </c>
      <c r="U4" s="978"/>
      <c r="V4" s="978"/>
      <c r="W4" s="978"/>
      <c r="X4" s="978"/>
      <c r="Y4" s="978"/>
      <c r="Z4" s="978"/>
      <c r="AA4" s="978"/>
      <c r="AB4" s="978"/>
      <c r="AC4" s="979"/>
    </row>
    <row r="5" spans="1:51" ht="13.15" customHeight="1" x14ac:dyDescent="0.2">
      <c r="A5" s="925" t="s">
        <v>66</v>
      </c>
      <c r="B5" s="983"/>
      <c r="C5" s="983"/>
      <c r="D5" s="987"/>
      <c r="E5" s="509" t="s">
        <v>124</v>
      </c>
      <c r="F5" s="980" t="s">
        <v>1104</v>
      </c>
      <c r="G5" s="342"/>
      <c r="H5" s="511"/>
      <c r="I5" s="512"/>
      <c r="J5" s="508" t="s">
        <v>1661</v>
      </c>
      <c r="K5" s="508" t="s">
        <v>119</v>
      </c>
      <c r="L5" s="508" t="s">
        <v>2145</v>
      </c>
      <c r="M5" s="508" t="s">
        <v>1117</v>
      </c>
      <c r="N5" s="354"/>
      <c r="O5" s="945" t="s">
        <v>2393</v>
      </c>
      <c r="P5" s="945"/>
      <c r="Q5" s="945"/>
      <c r="R5" s="945"/>
      <c r="S5" s="342"/>
      <c r="T5" s="576" t="s">
        <v>1661</v>
      </c>
      <c r="U5" s="703">
        <f>'Brewhouse Setup &amp; Calcs'!C89</f>
        <v>59.38916758052617</v>
      </c>
      <c r="V5" s="704" t="str">
        <f>'Brewhouse Setup &amp; Calcs'!$C$5</f>
        <v>qt</v>
      </c>
      <c r="W5" s="703">
        <f>'Brewhouse Setup &amp; Calcs'!$C$20</f>
        <v>51</v>
      </c>
      <c r="X5" s="704" t="str">
        <f>'Brewhouse Setup &amp; Calcs'!$C$4</f>
        <v>°F</v>
      </c>
      <c r="Y5" s="576" t="s">
        <v>119</v>
      </c>
      <c r="Z5" s="587">
        <v>60</v>
      </c>
      <c r="AA5" s="704" t="str">
        <f>'Brewhouse Setup &amp; Calcs'!$C$5</f>
        <v>qt</v>
      </c>
      <c r="AB5" s="587">
        <v>51</v>
      </c>
      <c r="AC5" s="704" t="str">
        <f>'Brewhouse Setup &amp; Calcs'!$C$4</f>
        <v>°F</v>
      </c>
    </row>
    <row r="6" spans="1:51" ht="13.15" customHeight="1" x14ac:dyDescent="0.2">
      <c r="A6" s="984"/>
      <c r="B6" s="985"/>
      <c r="C6" s="985"/>
      <c r="D6" s="986"/>
      <c r="E6" s="692" t="str">
        <f>'Brewhouse Setup &amp; Calcs'!$C$6</f>
        <v>lb</v>
      </c>
      <c r="F6" s="981"/>
      <c r="G6" s="342"/>
      <c r="H6" s="1025" t="s">
        <v>1669</v>
      </c>
      <c r="I6" s="1026"/>
      <c r="J6" s="695">
        <f>'Brewhouse Setup &amp; Calcs'!C46</f>
        <v>0.7</v>
      </c>
      <c r="K6" s="695" t="str">
        <f>IF(Z26&lt;&gt;"",Z26,IF(Z27&lt;&gt;"",Z27,""))</f>
        <v/>
      </c>
      <c r="L6" s="940"/>
      <c r="M6" s="941"/>
      <c r="N6" s="470"/>
      <c r="O6" s="948" t="s">
        <v>1853</v>
      </c>
      <c r="P6" s="949"/>
      <c r="Q6" s="919" t="s">
        <v>1850</v>
      </c>
      <c r="R6" s="919" t="s">
        <v>1851</v>
      </c>
      <c r="S6" s="342"/>
      <c r="T6" s="1019" t="s">
        <v>2296</v>
      </c>
      <c r="U6" s="1020"/>
      <c r="V6" s="1020"/>
      <c r="W6" s="1020"/>
      <c r="X6" s="1020"/>
      <c r="Y6" s="1020"/>
      <c r="Z6" s="1020"/>
      <c r="AA6" s="1020"/>
      <c r="AB6" s="1020"/>
      <c r="AC6" s="1021"/>
      <c r="AE6" s="884"/>
      <c r="AF6" s="884"/>
      <c r="AG6" s="884"/>
      <c r="AH6" s="884"/>
    </row>
    <row r="7" spans="1:51" ht="13.15" customHeight="1" x14ac:dyDescent="0.2">
      <c r="A7" s="861" t="str">
        <f>IF(ISBLANK('Grain &amp; Sugar Calcs'!B5),"",'Grain &amp; Sugar Calcs'!B5)</f>
        <v>Pale Malt: Brewers Malt, 2-row (Briess)</v>
      </c>
      <c r="B7" s="862"/>
      <c r="C7" s="862"/>
      <c r="D7" s="863"/>
      <c r="E7" s="689">
        <f>IF(ISBLANK('Grain &amp; Sugar Calcs'!C5),"",'Grain &amp; Sugar Calcs'!C5)</f>
        <v>14</v>
      </c>
      <c r="F7" s="690">
        <f>IF('Grain &amp; Sugar Calcs'!D5=0,"",'Grain &amp; Sugar Calcs'!D5)</f>
        <v>0.7</v>
      </c>
      <c r="G7" s="342"/>
      <c r="H7" s="1031" t="s">
        <v>1865</v>
      </c>
      <c r="I7" s="1031"/>
      <c r="J7" s="695">
        <f>IF(OR(NOT(ISNUMBER($J$8)),NOT(ISNUMBER($J$10)),'Grain &amp; Sugar Calcs'!$I$17=0),"",(($J$8-1)*1000)/IF('Brewhouse Setup &amp; Calcs'!$C$2="Metric",('Grain &amp; Sugar Calcs'!$I$17/$J$10*4*1.056688),('Grain &amp; Sugar Calcs'!$I$17/$J$10*4)))</f>
        <v>0.66141429864574108</v>
      </c>
      <c r="K7" s="696" t="e">
        <f>IF(NOT(ISNUMBER($K$8)),"",(($K$8-1)*1000*$K$10)/IF('Brewhouse Setup &amp; Calcs'!$C$2="Metric",('Grain &amp; Sugar Calcs'!$I$17/$J$10*4*1.056688)*$J$10,('Grain &amp; Sugar Calcs'!$I$17/$J$10*4)*$J$10))</f>
        <v>#VALUE!</v>
      </c>
      <c r="L7" s="942"/>
      <c r="M7" s="943"/>
      <c r="N7" s="470"/>
      <c r="O7" s="950"/>
      <c r="P7" s="951"/>
      <c r="Q7" s="920"/>
      <c r="R7" s="920"/>
      <c r="S7" s="342"/>
      <c r="T7" s="1016" t="s">
        <v>2331</v>
      </c>
      <c r="U7" s="1017"/>
      <c r="V7" s="1018"/>
      <c r="W7" s="1011" t="s">
        <v>2377</v>
      </c>
      <c r="X7" s="1012"/>
      <c r="Y7" s="1012"/>
      <c r="Z7" s="1013"/>
      <c r="AA7" s="569" t="s">
        <v>1792</v>
      </c>
      <c r="AB7" s="1016" t="s">
        <v>1659</v>
      </c>
      <c r="AC7" s="1018"/>
      <c r="AE7" s="881" t="s">
        <v>2198</v>
      </c>
      <c r="AF7" s="882"/>
      <c r="AG7" s="882"/>
      <c r="AH7" s="883"/>
      <c r="AL7" s="567"/>
    </row>
    <row r="8" spans="1:51" ht="13.15" customHeight="1" x14ac:dyDescent="0.2">
      <c r="A8" s="927" t="str">
        <f>IF(ISBLANK('Grain &amp; Sugar Calcs'!B6),"",'Grain &amp; Sugar Calcs'!B6)</f>
        <v>Flaked Yellow Corn (Briess)</v>
      </c>
      <c r="B8" s="927"/>
      <c r="C8" s="927"/>
      <c r="D8" s="927"/>
      <c r="E8" s="691">
        <f>IF(ISBLANK('Grain &amp; Sugar Calcs'!C6),"",'Grain &amp; Sugar Calcs'!C6)</f>
        <v>5</v>
      </c>
      <c r="F8" s="690">
        <f>IF('Grain &amp; Sugar Calcs'!D6=0,"",'Grain &amp; Sugar Calcs'!D6)</f>
        <v>0.25</v>
      </c>
      <c r="G8" s="342"/>
      <c r="H8" s="1025" t="s">
        <v>1665</v>
      </c>
      <c r="I8" s="1026"/>
      <c r="J8" s="697">
        <f>ROUND('Grain &amp; Sugar Calcs'!L21,3)</f>
        <v>1.0409999999999999</v>
      </c>
      <c r="K8" s="697">
        <f>IF(AC36="",AC37,AC36)</f>
        <v>1.051822409469569</v>
      </c>
      <c r="L8" s="698">
        <f>VLOOKUP('Recipe Sheet'!$B$1,'BJCP Guidelines'!$A$2:$K$126,2,FALSE)</f>
        <v>1.04</v>
      </c>
      <c r="M8" s="698">
        <f>VLOOKUP('Recipe Sheet'!$B$1,'BJCP Guidelines'!$A$2:$K$126,3,FALSE)</f>
        <v>1.05</v>
      </c>
      <c r="N8" s="470"/>
      <c r="O8" s="890" t="s">
        <v>1675</v>
      </c>
      <c r="P8" s="892"/>
      <c r="Q8" s="586">
        <v>37</v>
      </c>
      <c r="R8" s="705">
        <f>IFERROR(IF('Brewhouse Setup &amp; Calcs'!$C$2="US Customary",'Water-English'!D52,'Water-Metric'!D53),"")</f>
        <v>41.746492958969043</v>
      </c>
      <c r="S8" s="342"/>
      <c r="T8" s="969" t="s">
        <v>2295</v>
      </c>
      <c r="U8" s="541" t="s">
        <v>19</v>
      </c>
      <c r="V8" s="541" t="s">
        <v>2177</v>
      </c>
      <c r="W8" s="1014" t="s">
        <v>1661</v>
      </c>
      <c r="X8" s="1015"/>
      <c r="Y8" s="1014" t="s">
        <v>119</v>
      </c>
      <c r="Z8" s="1015"/>
      <c r="AA8" s="566" t="s">
        <v>119</v>
      </c>
      <c r="AB8" s="1016"/>
      <c r="AC8" s="1018"/>
      <c r="AE8" s="885" t="s">
        <v>2332</v>
      </c>
      <c r="AF8" s="886"/>
      <c r="AG8" s="885" t="s">
        <v>2362</v>
      </c>
      <c r="AH8" s="886"/>
      <c r="AT8" s="353"/>
      <c r="AU8" s="353"/>
    </row>
    <row r="9" spans="1:51" x14ac:dyDescent="0.2">
      <c r="A9" s="927" t="str">
        <f>IF(ISBLANK('Grain &amp; Sugar Calcs'!B7),"",'Grain &amp; Sugar Calcs'!B7)</f>
        <v>Rice Hulls</v>
      </c>
      <c r="B9" s="927"/>
      <c r="C9" s="927"/>
      <c r="D9" s="927"/>
      <c r="E9" s="691">
        <f>IF(ISBLANK('Grain &amp; Sugar Calcs'!C7),"",'Grain &amp; Sugar Calcs'!C7)</f>
        <v>1</v>
      </c>
      <c r="F9" s="690">
        <f>IF('Grain &amp; Sugar Calcs'!D7=0,"",'Grain &amp; Sugar Calcs'!D7)</f>
        <v>0.05</v>
      </c>
      <c r="G9" s="342"/>
      <c r="H9" s="1025" t="s">
        <v>1666</v>
      </c>
      <c r="I9" s="1026"/>
      <c r="J9" s="697">
        <f>ROUND(IF(NOT(ISNUMBER(J12)),"",1+('Grain &amp; Sugar Calcs'!L17*(1-J12)/1000)),3)</f>
        <v>1.008</v>
      </c>
      <c r="K9" s="697" t="str">
        <f>IF(AC43="",AC44,AC43)</f>
        <v/>
      </c>
      <c r="L9" s="698">
        <f>VLOOKUP('Recipe Sheet'!$B$1,'BJCP Guidelines'!$A$2:$K$126,4,FALSE)</f>
        <v>1.004</v>
      </c>
      <c r="M9" s="698">
        <f>VLOOKUP('Recipe Sheet'!$B$1,'BJCP Guidelines'!$A$2:$K$126,5,FALSE)</f>
        <v>1.01</v>
      </c>
      <c r="N9" s="470"/>
      <c r="O9" s="890" t="s">
        <v>1676</v>
      </c>
      <c r="P9" s="892"/>
      <c r="Q9" s="586">
        <v>12</v>
      </c>
      <c r="R9" s="705">
        <f>IFERROR(IF('Brewhouse Setup &amp; Calcs'!$C$2="US Customary",'Water-English'!E52,'Water-Metric'!E53),"")</f>
        <v>12</v>
      </c>
      <c r="S9" s="342"/>
      <c r="T9" s="970"/>
      <c r="U9" s="710" t="str">
        <f>'Brewhouse Setup &amp; Calcs'!$C$4</f>
        <v>°F</v>
      </c>
      <c r="V9" s="508" t="s">
        <v>1110</v>
      </c>
      <c r="W9" s="710" t="str">
        <f>'Brewhouse Setup &amp; Calcs'!$C$5</f>
        <v>qt</v>
      </c>
      <c r="X9" s="710" t="str">
        <f>'Brewhouse Setup &amp; Calcs'!$C$4</f>
        <v>°F</v>
      </c>
      <c r="Y9" s="710" t="str">
        <f>'Brewhouse Setup &amp; Calcs'!$C$5</f>
        <v>qt</v>
      </c>
      <c r="Z9" s="710" t="str">
        <f>'Brewhouse Setup &amp; Calcs'!$C$4</f>
        <v>°F</v>
      </c>
      <c r="AA9" s="716" t="str">
        <f>'Brewhouse Setup &amp; Calcs'!$C$4</f>
        <v>°F</v>
      </c>
      <c r="AB9" s="508" t="s">
        <v>1661</v>
      </c>
      <c r="AC9" s="508" t="s">
        <v>119</v>
      </c>
      <c r="AE9" s="710" t="str">
        <f>'Brewhouse Setup &amp; Calcs'!$C$5</f>
        <v>qt</v>
      </c>
      <c r="AF9" s="710" t="str">
        <f>'Brewhouse Setup &amp; Calcs'!$C$4</f>
        <v>°F</v>
      </c>
      <c r="AG9" s="710" t="str">
        <f>'Brewhouse Setup &amp; Calcs'!$C$5</f>
        <v>qt</v>
      </c>
      <c r="AH9" s="710" t="str">
        <f>'Brewhouse Setup &amp; Calcs'!$C$4</f>
        <v>°F</v>
      </c>
      <c r="AS9" s="70"/>
    </row>
    <row r="10" spans="1:51" s="22" customFormat="1" ht="12.75" customHeight="1" x14ac:dyDescent="0.2">
      <c r="A10" s="927" t="str">
        <f>IF(ISBLANK('Grain &amp; Sugar Calcs'!B8),"",'Grain &amp; Sugar Calcs'!B8)</f>
        <v/>
      </c>
      <c r="B10" s="927"/>
      <c r="C10" s="927"/>
      <c r="D10" s="927"/>
      <c r="E10" s="691" t="str">
        <f>IF(ISBLANK('Grain &amp; Sugar Calcs'!C8),"",'Grain &amp; Sugar Calcs'!C8)</f>
        <v/>
      </c>
      <c r="F10" s="690" t="str">
        <f>IF('Grain &amp; Sugar Calcs'!D8=0,"",'Grain &amp; Sugar Calcs'!D8)</f>
        <v/>
      </c>
      <c r="G10" s="342"/>
      <c r="H10" s="1025" t="s">
        <v>1668</v>
      </c>
      <c r="I10" s="1026"/>
      <c r="J10" s="699">
        <f>J11+'Brewhouse Setup &amp; Calcs'!C55</f>
        <v>45</v>
      </c>
      <c r="K10" s="699" t="str">
        <f>IF(ISBLANK(Z41),"",Z41)</f>
        <v/>
      </c>
      <c r="L10" s="906"/>
      <c r="M10" s="907"/>
      <c r="N10" s="470"/>
      <c r="O10" s="890" t="s">
        <v>1677</v>
      </c>
      <c r="P10" s="892"/>
      <c r="Q10" s="586">
        <v>9</v>
      </c>
      <c r="R10" s="705">
        <f>IFERROR(IF('Brewhouse Setup &amp; Calcs'!$C$2="US Customary",'Water-English'!F52,'Water-Metric'!F53),"")</f>
        <v>9</v>
      </c>
      <c r="S10" s="56"/>
      <c r="T10" s="572">
        <v>1</v>
      </c>
      <c r="U10" s="711">
        <f>'Brewhouse Setup &amp; Calcs'!$I26</f>
        <v>145</v>
      </c>
      <c r="V10" s="713">
        <f>'Brewhouse Setup &amp; Calcs'!$J26</f>
        <v>45</v>
      </c>
      <c r="W10" s="714">
        <f>'Brewhouse Setup &amp; Calcs'!$L26</f>
        <v>29.973467827499999</v>
      </c>
      <c r="X10" s="711">
        <f>'Brewhouse Setup &amp; Calcs'!$K26</f>
        <v>155.1</v>
      </c>
      <c r="Y10" s="585">
        <v>33</v>
      </c>
      <c r="Z10" s="585">
        <v>150</v>
      </c>
      <c r="AA10" s="585">
        <v>145</v>
      </c>
      <c r="AB10" s="694">
        <f>IFERROR(IF('Brewhouse Setup &amp; Calcs'!$C$2="Metric",'Water-Metric'!$F$33,'Water-English'!$F$32),"")</f>
        <v>5.499967528521009</v>
      </c>
      <c r="AC10" s="589"/>
      <c r="AE10" s="714">
        <f>IF(ISBLANK(Y10),,Y10+Y10*(U10-Z10)*('Brewhouse Setup &amp; Calcs'!$C$59*AVERAGE(U10,Z10)+'Brewhouse Setup &amp; Calcs'!$E$59))</f>
        <v>32.952741525</v>
      </c>
      <c r="AF10" s="711">
        <f>IF(ISBLANK(Z10),,U10)</f>
        <v>145</v>
      </c>
      <c r="AG10" s="714">
        <f>IF(AF10=0,"",AE10+AE10*(AH10-AF10)*('Brewhouse Setup &amp; Calcs'!$C$59*AVERAGE(AH10,AF10)+'Brewhouse Setup &amp; Calcs'!$E$59))</f>
        <v>33.078950360277041</v>
      </c>
      <c r="AH10" s="711">
        <f>$Y$18</f>
        <v>158</v>
      </c>
      <c r="AS10" s="70"/>
    </row>
    <row r="11" spans="1:51" x14ac:dyDescent="0.2">
      <c r="A11" s="927" t="str">
        <f>IF(ISBLANK('Grain &amp; Sugar Calcs'!B9),"",'Grain &amp; Sugar Calcs'!B9)</f>
        <v/>
      </c>
      <c r="B11" s="927"/>
      <c r="C11" s="927"/>
      <c r="D11" s="927"/>
      <c r="E11" s="691" t="str">
        <f>IF(ISBLANK('Grain &amp; Sugar Calcs'!C9),"",'Grain &amp; Sugar Calcs'!C9)</f>
        <v/>
      </c>
      <c r="F11" s="690" t="str">
        <f>IF('Grain &amp; Sugar Calcs'!D9=0,"",'Grain &amp; Sugar Calcs'!D9)</f>
        <v/>
      </c>
      <c r="G11" s="342"/>
      <c r="H11" s="988" t="s">
        <v>1667</v>
      </c>
      <c r="I11" s="988"/>
      <c r="J11" s="699">
        <f>'Brewhouse Setup &amp; Calcs'!$C$18</f>
        <v>42</v>
      </c>
      <c r="K11" s="699" t="str">
        <f>IF(ISBLANK(Z45),"",Z45)</f>
        <v/>
      </c>
      <c r="L11" s="908"/>
      <c r="M11" s="909"/>
      <c r="N11" s="470"/>
      <c r="O11" s="890" t="s">
        <v>1849</v>
      </c>
      <c r="P11" s="892"/>
      <c r="Q11" s="586">
        <v>16</v>
      </c>
      <c r="R11" s="705">
        <f>IFERROR(IF('Brewhouse Setup &amp; Calcs'!$C$2="US Customary",'Water-English'!G52,'Water-Metric'!G53),"")</f>
        <v>24.403270242774777</v>
      </c>
      <c r="S11" s="342"/>
      <c r="T11" s="572">
        <v>2</v>
      </c>
      <c r="U11" s="705">
        <f>IF(ISBLANK('Brewhouse Setup &amp; Calcs'!$I27),"",'Brewhouse Setup &amp; Calcs'!$I27)</f>
        <v>158</v>
      </c>
      <c r="V11" s="715">
        <f>IF(ISBLANK('Brewhouse Setup &amp; Calcs'!$J27),"",'Brewhouse Setup &amp; Calcs'!$J27)</f>
        <v>15</v>
      </c>
      <c r="W11" s="694" t="str">
        <f>IF('Brewhouse Setup &amp; Calcs'!$L27=0,"",'Brewhouse Setup &amp; Calcs'!$L27)</f>
        <v/>
      </c>
      <c r="X11" s="705" t="str">
        <f>IF(ISBLANK('Brewhouse Setup &amp; Calcs'!$K27),"",'Brewhouse Setup &amp; Calcs'!$K27)</f>
        <v/>
      </c>
      <c r="Y11" s="585"/>
      <c r="Z11" s="585"/>
      <c r="AA11" s="585"/>
      <c r="AB11" s="875"/>
      <c r="AC11" s="876"/>
      <c r="AE11" s="714">
        <f>IF(ISBLANK(Y11),,Y11+Y11*(U11-Z11)*('Brewhouse Setup &amp; Calcs'!$C$59*AVERAGE(U11,Z11)+'Brewhouse Setup &amp; Calcs'!$E$59))</f>
        <v>0</v>
      </c>
      <c r="AF11" s="711">
        <f>IF(ISBLANK(Z11),,U11)</f>
        <v>0</v>
      </c>
      <c r="AG11" s="714" t="str">
        <f>IF(AF11=0,"",AE11+AE11*(AH11-AF11)*('Brewhouse Setup &amp; Calcs'!$C$59*AVERAGE(AH11,AF11)+'Brewhouse Setup &amp; Calcs'!$E$59))</f>
        <v/>
      </c>
      <c r="AH11" s="711">
        <f t="shared" ref="AH11:AH14" si="0">$Y$18</f>
        <v>158</v>
      </c>
      <c r="AY11" s="70"/>
    </row>
    <row r="12" spans="1:51" ht="12.75" customHeight="1" x14ac:dyDescent="0.2">
      <c r="A12" s="927" t="str">
        <f>IF(ISBLANK('Grain &amp; Sugar Calcs'!B10),"",'Grain &amp; Sugar Calcs'!B10)</f>
        <v/>
      </c>
      <c r="B12" s="927"/>
      <c r="C12" s="927"/>
      <c r="D12" s="927"/>
      <c r="E12" s="691" t="str">
        <f>IF(ISBLANK('Grain &amp; Sugar Calcs'!C10),"",'Grain &amp; Sugar Calcs'!C10)</f>
        <v/>
      </c>
      <c r="F12" s="690" t="str">
        <f>IF('Grain &amp; Sugar Calcs'!D10=0,"",'Grain &amp; Sugar Calcs'!D10)</f>
        <v/>
      </c>
      <c r="G12" s="342"/>
      <c r="H12" s="988" t="s">
        <v>1128</v>
      </c>
      <c r="I12" s="988"/>
      <c r="J12" s="696">
        <f>IF(ISBLANK(O28),"",VLOOKUP(O28,yeast_table[[Name &amp; Number]:[Temp. High F]],6,FALSE))</f>
        <v>0.81</v>
      </c>
      <c r="K12" s="696" t="str">
        <f>IF(NOT(ISNUMBER(K9)),"",(K8-K9)/(K8-1))</f>
        <v/>
      </c>
      <c r="L12" s="910"/>
      <c r="M12" s="911"/>
      <c r="N12" s="470"/>
      <c r="O12" s="890" t="s">
        <v>1679</v>
      </c>
      <c r="P12" s="892"/>
      <c r="Q12" s="586">
        <v>25</v>
      </c>
      <c r="R12" s="705">
        <f>IFERROR(IF('Brewhouse Setup &amp; Calcs'!$C$2="US Customary",'Water-English'!H52,'Water-Metric'!H53),"")</f>
        <v>25</v>
      </c>
      <c r="S12" s="342"/>
      <c r="T12" s="572">
        <v>3</v>
      </c>
      <c r="U12" s="705" t="str">
        <f>IF(ISBLANK('Brewhouse Setup &amp; Calcs'!$I28),"",'Brewhouse Setup &amp; Calcs'!$I28)</f>
        <v/>
      </c>
      <c r="V12" s="715" t="str">
        <f>IF(ISBLANK('Brewhouse Setup &amp; Calcs'!$J28),"",'Brewhouse Setup &amp; Calcs'!$J28)</f>
        <v/>
      </c>
      <c r="W12" s="694" t="str">
        <f>IF('Brewhouse Setup &amp; Calcs'!$L28=0,"",'Brewhouse Setup &amp; Calcs'!$L28)</f>
        <v/>
      </c>
      <c r="X12" s="705" t="str">
        <f>IF(ISBLANK('Brewhouse Setup &amp; Calcs'!$K28),"",'Brewhouse Setup &amp; Calcs'!$K28)</f>
        <v/>
      </c>
      <c r="Y12" s="585"/>
      <c r="Z12" s="585"/>
      <c r="AA12" s="585"/>
      <c r="AB12" s="877"/>
      <c r="AC12" s="878"/>
      <c r="AE12" s="714">
        <f>IF(ISBLANK(Y12),,Y12+Y12*(U12-Z12)*('Brewhouse Setup &amp; Calcs'!$C$59*AVERAGE(U12,Z12)+'Brewhouse Setup &amp; Calcs'!$E$59))</f>
        <v>0</v>
      </c>
      <c r="AF12" s="711">
        <f t="shared" ref="AF12:AF14" si="1">IF(ISBLANK(Z12),,U12)</f>
        <v>0</v>
      </c>
      <c r="AG12" s="714" t="str">
        <f>IF(AF12=0,"",AE12+AE12*(AH12-AF12)*('Brewhouse Setup &amp; Calcs'!$C$59*AVERAGE(AH12,AF12)+'Brewhouse Setup &amp; Calcs'!$E$59))</f>
        <v/>
      </c>
      <c r="AH12" s="711">
        <f t="shared" si="0"/>
        <v>158</v>
      </c>
      <c r="AY12" s="70"/>
    </row>
    <row r="13" spans="1:51" ht="13.15" customHeight="1" x14ac:dyDescent="0.2">
      <c r="A13" s="927" t="str">
        <f>IF(ISBLANK('Grain &amp; Sugar Calcs'!B11),"",'Grain &amp; Sugar Calcs'!B11)</f>
        <v/>
      </c>
      <c r="B13" s="927"/>
      <c r="C13" s="927"/>
      <c r="D13" s="927"/>
      <c r="E13" s="691" t="str">
        <f>IF(ISBLANK('Grain &amp; Sugar Calcs'!C11),"",'Grain &amp; Sugar Calcs'!C11)</f>
        <v/>
      </c>
      <c r="F13" s="690" t="str">
        <f>IF('Grain &amp; Sugar Calcs'!D11=0,"",'Grain &amp; Sugar Calcs'!D11)</f>
        <v/>
      </c>
      <c r="G13" s="342"/>
      <c r="H13" s="988" t="s">
        <v>1103</v>
      </c>
      <c r="I13" s="988"/>
      <c r="J13" s="700">
        <f>ROUND('Hop Calcs'!K19,0)</f>
        <v>16</v>
      </c>
      <c r="K13" s="700" t="e">
        <f>ROUND(IF(ISBLANK(Z32),"",'Hop Calcs'!K19*(X32-'Brewhouse Setup &amp; Calcs'!C52)/(Z32-'Brewhouse Setup &amp; Calcs'!C52)),0)</f>
        <v>#VALUE!</v>
      </c>
      <c r="L13" s="700">
        <f>VLOOKUP('Recipe Sheet'!$B$1,'BJCP Guidelines'!$A$2:$K$126,6,FALSE)</f>
        <v>8</v>
      </c>
      <c r="M13" s="700">
        <f>VLOOKUP('Recipe Sheet'!$B$1,'BJCP Guidelines'!$A$2:$K$126,7,FALSE)</f>
        <v>18</v>
      </c>
      <c r="N13" s="470"/>
      <c r="O13" s="890" t="s">
        <v>1854</v>
      </c>
      <c r="P13" s="892"/>
      <c r="Q13" s="586">
        <v>102</v>
      </c>
      <c r="R13" s="355"/>
      <c r="S13" s="342"/>
      <c r="T13" s="572">
        <v>4</v>
      </c>
      <c r="U13" s="705" t="str">
        <f>IF(ISBLANK('Brewhouse Setup &amp; Calcs'!$I29),"",'Brewhouse Setup &amp; Calcs'!$I29)</f>
        <v/>
      </c>
      <c r="V13" s="715" t="str">
        <f>IF(ISBLANK('Brewhouse Setup &amp; Calcs'!$J29),"",'Brewhouse Setup &amp; Calcs'!$J29)</f>
        <v/>
      </c>
      <c r="W13" s="694" t="str">
        <f>IF('Brewhouse Setup &amp; Calcs'!$L29=0,"",'Brewhouse Setup &amp; Calcs'!$L29)</f>
        <v/>
      </c>
      <c r="X13" s="705" t="str">
        <f>IF(ISBLANK('Brewhouse Setup &amp; Calcs'!$K29),"",'Brewhouse Setup &amp; Calcs'!$K29)</f>
        <v/>
      </c>
      <c r="Y13" s="585"/>
      <c r="Z13" s="585"/>
      <c r="AA13" s="585"/>
      <c r="AB13" s="877"/>
      <c r="AC13" s="878"/>
      <c r="AE13" s="714">
        <f>IF(ISBLANK(Y13),,Y13+Y13*(U13-Z13)*('Brewhouse Setup &amp; Calcs'!$C$59*AVERAGE(U13,Z13)+'Brewhouse Setup &amp; Calcs'!$E$59))</f>
        <v>0</v>
      </c>
      <c r="AF13" s="711">
        <f t="shared" si="1"/>
        <v>0</v>
      </c>
      <c r="AG13" s="714" t="str">
        <f>IF(AF13=0,"",AE13+AE13*(AH13-AF13)*('Brewhouse Setup &amp; Calcs'!$C$59*AVERAGE(AH13,AF13)+'Brewhouse Setup &amp; Calcs'!$E$59))</f>
        <v/>
      </c>
      <c r="AH13" s="711">
        <f t="shared" si="0"/>
        <v>158</v>
      </c>
      <c r="AY13" s="70"/>
    </row>
    <row r="14" spans="1:51" ht="12.75" customHeight="1" x14ac:dyDescent="0.2">
      <c r="A14" s="927" t="str">
        <f>IF(ISBLANK('Grain &amp; Sugar Calcs'!B12),"",'Grain &amp; Sugar Calcs'!B12)</f>
        <v/>
      </c>
      <c r="B14" s="927"/>
      <c r="C14" s="927"/>
      <c r="D14" s="927"/>
      <c r="E14" s="691" t="str">
        <f>IF(ISBLANK('Grain &amp; Sugar Calcs'!C12),"",'Grain &amp; Sugar Calcs'!C12)</f>
        <v/>
      </c>
      <c r="F14" s="690" t="str">
        <f>IF('Grain &amp; Sugar Calcs'!D12=0,"",'Grain &amp; Sugar Calcs'!D12)</f>
        <v/>
      </c>
      <c r="G14" s="342"/>
      <c r="H14" s="988" t="s">
        <v>115</v>
      </c>
      <c r="I14" s="988"/>
      <c r="J14" s="695">
        <f>ROUND(IF(NOT(ISNUMBER(J9)),"",(J8-J9)*(46.0688/44.0098)/J9/0.794),3)</f>
        <v>4.2999999999999997E-2</v>
      </c>
      <c r="K14" s="695" t="str">
        <f>IF(NOT(ISNUMBER(K9)),"",(K8-K9)*(46.0688/44.0098)/K9/0.794)</f>
        <v/>
      </c>
      <c r="L14" s="701">
        <f>IFERROR(VLOOKUP('Recipe Sheet'!$B$1,'BJCP Guidelines'!$A$2:$K$126,8,FALSE)/100,"NA")</f>
        <v>4.2000000000000003E-2</v>
      </c>
      <c r="M14" s="701">
        <f>IFERROR(VLOOKUP('Recipe Sheet'!$B$1,'BJCP Guidelines'!$A$2:$K$126,9,FALSE)/100,"NA")</f>
        <v>5.2999999999999999E-2</v>
      </c>
      <c r="N14" s="470"/>
      <c r="O14" s="890" t="s">
        <v>1858</v>
      </c>
      <c r="P14" s="892"/>
      <c r="Q14" s="691">
        <f>IFERROR(Q11/Q12,"")</f>
        <v>0.64</v>
      </c>
      <c r="R14" s="691">
        <f>IFERROR(IF('Brewhouse Setup &amp; Calcs'!$C$2="US Customary",'Water-English'!I52,'Water-Metric'!I53),"")</f>
        <v>0.97613080971099109</v>
      </c>
      <c r="S14" s="342"/>
      <c r="T14" s="575">
        <v>5</v>
      </c>
      <c r="U14" s="712" t="str">
        <f>IF(ISBLANK('Brewhouse Setup &amp; Calcs'!$I30),"",'Brewhouse Setup &amp; Calcs'!$I30)</f>
        <v/>
      </c>
      <c r="V14" s="712" t="str">
        <f>IF(ISBLANK('Brewhouse Setup &amp; Calcs'!$J30),"",'Brewhouse Setup &amp; Calcs'!$J30)</f>
        <v/>
      </c>
      <c r="W14" s="706" t="str">
        <f>IF('Brewhouse Setup &amp; Calcs'!$L30=0,"",'Brewhouse Setup &amp; Calcs'!$L30)</f>
        <v/>
      </c>
      <c r="X14" s="712" t="str">
        <f>IF(ISBLANK('Brewhouse Setup &amp; Calcs'!$K30),"",'Brewhouse Setup &amp; Calcs'!$K30)</f>
        <v/>
      </c>
      <c r="Y14" s="588"/>
      <c r="Z14" s="588"/>
      <c r="AA14" s="588"/>
      <c r="AB14" s="879"/>
      <c r="AC14" s="880"/>
      <c r="AE14" s="714">
        <f>IF(ISBLANK(Y14),,Y14+Y14*(U14-Z14)*('Brewhouse Setup &amp; Calcs'!$C$59*AVERAGE(U14,Z14)+'Brewhouse Setup &amp; Calcs'!$E$59))</f>
        <v>0</v>
      </c>
      <c r="AF14" s="711">
        <f t="shared" si="1"/>
        <v>0</v>
      </c>
      <c r="AG14" s="714" t="str">
        <f>IF(AF14=0,"",AE14+AE14*(AH14-AF14)*('Brewhouse Setup &amp; Calcs'!$C$59*AVERAGE(AH14,AF14)+'Brewhouse Setup &amp; Calcs'!$E$59))</f>
        <v/>
      </c>
      <c r="AH14" s="711">
        <f t="shared" si="0"/>
        <v>158</v>
      </c>
    </row>
    <row r="15" spans="1:51" ht="12.75" customHeight="1" x14ac:dyDescent="0.2">
      <c r="A15" s="927" t="str">
        <f>IF(ISBLANK('Grain &amp; Sugar Calcs'!B13),"",'Grain &amp; Sugar Calcs'!B13)</f>
        <v/>
      </c>
      <c r="B15" s="927"/>
      <c r="C15" s="927"/>
      <c r="D15" s="927"/>
      <c r="E15" s="691" t="str">
        <f>IF(ISBLANK('Grain &amp; Sugar Calcs'!C13),"",'Grain &amp; Sugar Calcs'!C13)</f>
        <v/>
      </c>
      <c r="F15" s="690" t="str">
        <f>IF('Grain &amp; Sugar Calcs'!D13=0,"",'Grain &amp; Sugar Calcs'!D13)</f>
        <v/>
      </c>
      <c r="G15" s="342"/>
      <c r="H15" s="988" t="s">
        <v>1236</v>
      </c>
      <c r="I15" s="988"/>
      <c r="J15" s="854">
        <f>ROUND('Grain &amp; Sugar Calcs'!M19,0)</f>
        <v>3</v>
      </c>
      <c r="K15" s="700" t="e">
        <f>ROUND(IF(ISBLANK(Z32),"",'Grain &amp; Sugar Calcs'!M19*(X32-'Brewhouse Setup &amp; Calcs'!C52)/(Z32-'Brewhouse Setup &amp; Calcs'!C52)),0)</f>
        <v>#VALUE!</v>
      </c>
      <c r="L15" s="702">
        <f>VLOOKUP('Recipe Sheet'!$B$1,'BJCP Guidelines'!$A$2:$K$126,10,FALSE)</f>
        <v>2</v>
      </c>
      <c r="M15" s="702">
        <f>VLOOKUP('Recipe Sheet'!$B$1,'BJCP Guidelines'!$A$2:$K$126,11,FALSE)</f>
        <v>4</v>
      </c>
      <c r="N15" s="555"/>
      <c r="O15" s="342"/>
      <c r="P15" s="342"/>
      <c r="Q15" s="354"/>
      <c r="R15" s="354"/>
      <c r="S15" s="342"/>
      <c r="T15" s="966" t="s">
        <v>2345</v>
      </c>
      <c r="U15" s="967"/>
      <c r="V15" s="967"/>
      <c r="W15" s="967"/>
      <c r="X15" s="967"/>
      <c r="Y15" s="967"/>
      <c r="Z15" s="967"/>
      <c r="AA15" s="967"/>
      <c r="AB15" s="967"/>
      <c r="AC15" s="968"/>
      <c r="AD15" s="29"/>
      <c r="AE15" s="859" t="s">
        <v>2379</v>
      </c>
      <c r="AF15" s="860"/>
      <c r="AG15" s="714">
        <f>ROUND(SUM(AG10:AG14),1)</f>
        <v>33.1</v>
      </c>
    </row>
    <row r="16" spans="1:51" ht="12.75" customHeight="1" x14ac:dyDescent="0.2">
      <c r="A16" s="927" t="str">
        <f>IF(ISBLANK('Grain &amp; Sugar Calcs'!B14),"",'Grain &amp; Sugar Calcs'!B14)</f>
        <v/>
      </c>
      <c r="B16" s="927"/>
      <c r="C16" s="927"/>
      <c r="D16" s="927"/>
      <c r="E16" s="691" t="str">
        <f>IF(ISBLANK('Grain &amp; Sugar Calcs'!C14),"",'Grain &amp; Sugar Calcs'!C14)</f>
        <v/>
      </c>
      <c r="F16" s="690" t="str">
        <f>IF('Grain &amp; Sugar Calcs'!D14=0,"",'Grain &amp; Sugar Calcs'!D14)</f>
        <v/>
      </c>
      <c r="G16" s="342"/>
      <c r="H16" s="988" t="s">
        <v>2427</v>
      </c>
      <c r="I16" s="988"/>
      <c r="J16" s="853">
        <f>J13/(J8*1000-1000)</f>
        <v>0.3902439024390244</v>
      </c>
      <c r="K16" s="853" t="e">
        <f>K13/(K8*1000-1000)</f>
        <v>#VALUE!</v>
      </c>
      <c r="L16" s="553"/>
      <c r="M16" s="554"/>
      <c r="N16" s="556"/>
      <c r="O16" s="917" t="s">
        <v>1848</v>
      </c>
      <c r="P16" s="918"/>
      <c r="Q16" s="918"/>
      <c r="R16" s="918"/>
      <c r="S16" s="342"/>
      <c r="T16" s="901"/>
      <c r="U16" s="902"/>
      <c r="V16" s="902"/>
      <c r="W16" s="902"/>
      <c r="X16" s="958" t="s">
        <v>1661</v>
      </c>
      <c r="Y16" s="959"/>
      <c r="Z16" s="958" t="s">
        <v>119</v>
      </c>
      <c r="AA16" s="959"/>
      <c r="AB16" s="958" t="s">
        <v>2329</v>
      </c>
      <c r="AC16" s="959"/>
    </row>
    <row r="17" spans="1:47" x14ac:dyDescent="0.2">
      <c r="A17" s="470"/>
      <c r="B17" s="470"/>
      <c r="C17" s="470"/>
      <c r="D17" s="470"/>
      <c r="E17" s="470"/>
      <c r="F17" s="470"/>
      <c r="G17" s="470"/>
      <c r="H17" s="1022" t="s">
        <v>2285</v>
      </c>
      <c r="I17" s="1023"/>
      <c r="J17" s="1024"/>
      <c r="K17" s="700">
        <f>4828*J9*(((0.8114*J9)+(0.1886*J8)-1)+(0.53*((J8-J9)/(1.775-J8))))</f>
        <v>185.18544743212564</v>
      </c>
      <c r="L17" s="470"/>
      <c r="M17" s="470"/>
      <c r="N17" s="556"/>
      <c r="O17" s="923"/>
      <c r="P17" s="924"/>
      <c r="Q17" s="508" t="s">
        <v>1792</v>
      </c>
      <c r="R17" s="508" t="s">
        <v>1793</v>
      </c>
      <c r="S17" s="342"/>
      <c r="T17" s="903"/>
      <c r="U17" s="884"/>
      <c r="V17" s="884"/>
      <c r="W17" s="884"/>
      <c r="X17" s="694" t="str">
        <f>'Brewhouse Setup &amp; Calcs'!$C$5</f>
        <v>qt</v>
      </c>
      <c r="Y17" s="694" t="str">
        <f>'Brewhouse Setup &amp; Calcs'!$C$4</f>
        <v>°F</v>
      </c>
      <c r="Z17" s="694" t="str">
        <f>'Brewhouse Setup &amp; Calcs'!$C$5</f>
        <v>qt</v>
      </c>
      <c r="AA17" s="719" t="str">
        <f>'Brewhouse Setup &amp; Calcs'!$C$4</f>
        <v>°F</v>
      </c>
      <c r="AB17" s="694" t="str">
        <f>'Brewhouse Setup &amp; Calcs'!$C$5</f>
        <v>qt</v>
      </c>
      <c r="AC17" s="694" t="str">
        <f>'Brewhouse Setup &amp; Calcs'!$C$4</f>
        <v>°F</v>
      </c>
    </row>
    <row r="18" spans="1:47" ht="13.15" customHeight="1" x14ac:dyDescent="0.2">
      <c r="A18" s="944" t="s">
        <v>111</v>
      </c>
      <c r="B18" s="916"/>
      <c r="C18" s="916"/>
      <c r="D18" s="916"/>
      <c r="E18" s="916"/>
      <c r="F18" s="916"/>
      <c r="G18" s="916"/>
      <c r="H18" s="916"/>
      <c r="I18" s="916"/>
      <c r="J18" s="916"/>
      <c r="K18" s="916"/>
      <c r="L18" s="546"/>
      <c r="M18" s="547"/>
      <c r="N18" s="556"/>
      <c r="O18" s="891" t="s">
        <v>1731</v>
      </c>
      <c r="P18" s="892"/>
      <c r="Q18" s="694">
        <f>IF('Brewhouse Setup &amp; Calcs'!$C$2="US Customary",'Water-English'!$D$37,'Water-Metric'!$D$38)</f>
        <v>0</v>
      </c>
      <c r="R18" s="694">
        <f>IFERROR(IF('Brewhouse Setup &amp; Calcs'!$C$2="US Customary",'Water-English'!$D$39,'Water-Metric'!$D$40),"")</f>
        <v>0</v>
      </c>
      <c r="S18" s="342"/>
      <c r="T18" s="972" t="str">
        <f>'Brewhouse Setup &amp; Calcs'!$C$44</f>
        <v>Fly Sparge</v>
      </c>
      <c r="U18" s="898" t="s">
        <v>2333</v>
      </c>
      <c r="V18" s="898"/>
      <c r="W18" s="898"/>
      <c r="X18" s="694">
        <f>'Brewhouse Setup &amp; Calcs'!$N$34</f>
        <v>30.676377799274086</v>
      </c>
      <c r="Y18" s="694">
        <f>IF(AND($T$18="No Sparge",'Brewhouse Setup &amp; Calcs'!$N$38="1 Vessel"),"NA",'Brewhouse Setup &amp; Calcs'!$C$24)</f>
        <v>158</v>
      </c>
      <c r="Z18" s="585">
        <v>27</v>
      </c>
      <c r="AA18" s="590">
        <v>145</v>
      </c>
      <c r="AB18" s="694">
        <f>IF(OR(ISBLANK(Z18),ISBLANK(AA18)),"",Z18+Z18*(Y18-AA18)*('Brewhouse Setup &amp; Calcs'!$C$59*AVERAGE(Y18,AA18)+'Brewhouse Setup &amp; Calcs'!$E$59))</f>
        <v>27.103409865</v>
      </c>
      <c r="AC18" s="694">
        <f>Y18</f>
        <v>158</v>
      </c>
    </row>
    <row r="19" spans="1:47" ht="13.15" customHeight="1" x14ac:dyDescent="0.2">
      <c r="A19" s="925" t="str">
        <f>'Hop Calcs'!E5</f>
        <v>Species</v>
      </c>
      <c r="B19" s="983"/>
      <c r="C19" s="983"/>
      <c r="D19" s="926"/>
      <c r="E19" s="981" t="str">
        <f>'Hop Calcs'!D5</f>
        <v>Type</v>
      </c>
      <c r="F19" s="981" t="str">
        <f>'Hop Calcs'!F5</f>
        <v>Alpha (%)</v>
      </c>
      <c r="G19" s="925" t="str">
        <f>'Hop Calcs'!G5</f>
        <v>Qty</v>
      </c>
      <c r="H19" s="926"/>
      <c r="I19" s="1029" t="s">
        <v>1107</v>
      </c>
      <c r="J19" s="983" t="str">
        <f>'Hop Calcs'!C5</f>
        <v>Time (min)</v>
      </c>
      <c r="K19" s="983"/>
      <c r="L19" s="557"/>
      <c r="M19" s="561"/>
      <c r="N19" s="556"/>
      <c r="O19" s="891" t="s">
        <v>1794</v>
      </c>
      <c r="P19" s="892"/>
      <c r="Q19" s="694">
        <f>IF('Brewhouse Setup &amp; Calcs'!$C$2="US Customary",'Water-English'!$E$37,'Water-Metric'!$E$38)</f>
        <v>1</v>
      </c>
      <c r="R19" s="694">
        <f>IFERROR(IF('Brewhouse Setup &amp; Calcs'!$C$2="US Customary",'Water-English'!$E$39,'Water-Metric'!$E$40),"")</f>
        <v>0</v>
      </c>
      <c r="S19" s="342"/>
      <c r="T19" s="973"/>
      <c r="U19" s="904" t="str">
        <f>IF('Brewhouse Setup &amp; Calcs'!$C$44="Batch Sparge","Add (1st Step)","-")</f>
        <v>-</v>
      </c>
      <c r="V19" s="904"/>
      <c r="W19" s="904"/>
      <c r="X19" s="694" t="str">
        <f>IF('Brewhouse Setup &amp; Calcs'!$C$44="Batch Sparge",'Brewhouse Setup &amp; Calcs'!$C$100,"-")</f>
        <v>-</v>
      </c>
      <c r="Y19" s="694" t="str">
        <f>IF('Brewhouse Setup &amp; Calcs'!$C$44="Batch Sparge",'Brewhouse Setup &amp; Calcs'!$C$24,"-")</f>
        <v>-</v>
      </c>
      <c r="Z19" s="585"/>
      <c r="AA19" s="590"/>
      <c r="AB19" s="694" t="str">
        <f>IF(OR(ISBLANK(Z19),ISBLANK(AA19)),"",Z19+Z19*(Y19-AA19)*('Brewhouse Setup &amp; Calcs'!$C$59*AVERAGE(Y19,AA19)+'Brewhouse Setup &amp; Calcs'!$E$59))</f>
        <v/>
      </c>
      <c r="AC19" s="694" t="str">
        <f>IF(Y19="-","",Y19)</f>
        <v/>
      </c>
    </row>
    <row r="20" spans="1:47" ht="13.15" customHeight="1" x14ac:dyDescent="0.2">
      <c r="A20" s="984"/>
      <c r="B20" s="985"/>
      <c r="C20" s="985"/>
      <c r="D20" s="986"/>
      <c r="E20" s="982"/>
      <c r="F20" s="982"/>
      <c r="G20" s="1027" t="str">
        <f>'Brewhouse Setup &amp; Calcs'!C7</f>
        <v>oz</v>
      </c>
      <c r="H20" s="1028"/>
      <c r="I20" s="1030"/>
      <c r="J20" s="985"/>
      <c r="K20" s="985"/>
      <c r="L20" s="557"/>
      <c r="M20" s="561"/>
      <c r="N20" s="556"/>
      <c r="O20" s="891" t="s">
        <v>1795</v>
      </c>
      <c r="P20" s="892"/>
      <c r="Q20" s="694">
        <f>IF('Brewhouse Setup &amp; Calcs'!$C$2="US Customary",'Water-English'!$F$37,'Water-Metric'!$F$38)</f>
        <v>0</v>
      </c>
      <c r="R20" s="694">
        <f>IFERROR(IF('Brewhouse Setup &amp; Calcs'!$C$2="US Customary",'Water-English'!$F$39,'Water-Metric'!$F$40),"")</f>
        <v>0</v>
      </c>
      <c r="S20" s="342"/>
      <c r="T20" s="973"/>
      <c r="U20" s="904" t="str">
        <f>IF('Brewhouse Setup &amp; Calcs'!$C$44="Batch Sparge","Drain (1st Step)","-")</f>
        <v>-</v>
      </c>
      <c r="V20" s="904"/>
      <c r="W20" s="904"/>
      <c r="X20" s="694" t="str">
        <f>IF('Brewhouse Setup &amp; Calcs'!$C$44="Batch Sparge",'Brewhouse Setup &amp; Calcs'!$C$101,"-")</f>
        <v>-</v>
      </c>
      <c r="Y20" s="694" t="str">
        <f>IF('Brewhouse Setup &amp; Calcs'!$C$44="Batch Sparge",'Brewhouse Setup &amp; Calcs'!$C$24,"-")</f>
        <v>-</v>
      </c>
      <c r="Z20" s="585"/>
      <c r="AA20" s="590"/>
      <c r="AB20" s="694" t="str">
        <f>IF(OR(ISBLANK(Z20),ISBLANK(AA20)),"",Z20+Z20*(Y20-AA20)*('Brewhouse Setup &amp; Calcs'!$C$59*AVERAGE(Y20,AA20)+'Brewhouse Setup &amp; Calcs'!$E$59))</f>
        <v/>
      </c>
      <c r="AC20" s="694" t="str">
        <f t="shared" ref="AC20:AC21" si="2">IF(Y20="-","",Y20)</f>
        <v/>
      </c>
    </row>
    <row r="21" spans="1:47" ht="13.15" customHeight="1" x14ac:dyDescent="0.2">
      <c r="A21" s="927" t="str">
        <f>IF('Hop Calcs'!E7=0,"",'Hop Calcs'!E7)</f>
        <v>Northern Brewer (U.S.)</v>
      </c>
      <c r="B21" s="927"/>
      <c r="C21" s="927"/>
      <c r="D21" s="927"/>
      <c r="E21" s="693" t="str">
        <f>IF('Hop Calcs'!D7=0,"",'Hop Calcs'!D7)</f>
        <v>Pellet</v>
      </c>
      <c r="F21" s="694">
        <f>IF('Hop Calcs'!F7=0,"",'Hop Calcs'!F7)</f>
        <v>7.5</v>
      </c>
      <c r="G21" s="928">
        <f>IF('Hop Calcs'!G7=0,"",'Hop Calcs'!G7)</f>
        <v>0.5</v>
      </c>
      <c r="H21" s="929"/>
      <c r="I21" s="694">
        <f>'Hop Calcs'!H7</f>
        <v>3.75</v>
      </c>
      <c r="J21" s="861">
        <f>IF(ISBLANK('Hop Calcs'!C7),"",IF('Hop Calcs'!C7="Hop Stand",CONCATENATE('Hop Calcs'!C7," (",'Hop Calcs'!B7,")"),'Hop Calcs'!C7))</f>
        <v>60</v>
      </c>
      <c r="K21" s="862"/>
      <c r="L21" s="557"/>
      <c r="M21" s="561"/>
      <c r="N21" s="556"/>
      <c r="O21" s="891" t="s">
        <v>1751</v>
      </c>
      <c r="P21" s="892"/>
      <c r="Q21" s="694">
        <f>IF('Brewhouse Setup &amp; Calcs'!$C$2="US Customary",'Water-English'!$D$44,'Water-Metric'!$D$45)</f>
        <v>0</v>
      </c>
      <c r="R21" s="694">
        <f>IFERROR(IF('Brewhouse Setup &amp; Calcs'!$C$2="US Customary",'Water-English'!$D$46,'Water-Metric'!$D$47),"")</f>
        <v>0</v>
      </c>
      <c r="S21" s="342"/>
      <c r="T21" s="973"/>
      <c r="U21" s="905" t="str">
        <f>IF('Brewhouse Setup &amp; Calcs'!$C$44="Batch Sparge","Add &amp; Drain (2nd Step)",IF('Brewhouse Setup &amp; Calcs'!$C$44="Fly Sparge",CONCATENATE("Time Req (min) @ ",'Brewhouse Setup &amp; Calcs'!C45,'Brewhouse Setup &amp; Calcs'!D45),"-"))</f>
        <v>Time Req (min) @ 0qt/min</v>
      </c>
      <c r="V21" s="905"/>
      <c r="W21" s="905"/>
      <c r="X21" s="694" t="e">
        <f>IF('Brewhouse Setup &amp; Calcs'!$C$44="Batch Sparge",'Brewhouse Setup &amp; Calcs'!$C$102,IF('Brewhouse Setup &amp; Calcs'!$C$44="Fly Sparge",('Brewhouse Setup &amp; Calcs'!N31+'Brewhouse Setup &amp; Calcs'!N34)/'Brewhouse Setup &amp; Calcs'!$C$45,"-"))</f>
        <v>#DIV/0!</v>
      </c>
      <c r="Y21" s="694" t="str">
        <f>IF('Brewhouse Setup &amp; Calcs'!$C$44="Batch Sparge",'Brewhouse Setup &amp; Calcs'!$C$24,"-")</f>
        <v>-</v>
      </c>
      <c r="Z21" s="585"/>
      <c r="AA21" s="590"/>
      <c r="AB21" s="694" t="str">
        <f>IF(OR(ISBLANK(Z21),ISBLANK(AA21)),"",Z21+Z21*(Y21-AA21)*('Brewhouse Setup &amp; Calcs'!$C$59*AVERAGE(Y21,AA21)+'Brewhouse Setup &amp; Calcs'!$E$59))</f>
        <v/>
      </c>
      <c r="AC21" s="694" t="str">
        <f t="shared" si="2"/>
        <v/>
      </c>
    </row>
    <row r="22" spans="1:47" ht="13.15" customHeight="1" x14ac:dyDescent="0.2">
      <c r="A22" s="927" t="str">
        <f>IF('Hop Calcs'!E8=0,"",'Hop Calcs'!E8)</f>
        <v>Northern Brewer (U.S.)</v>
      </c>
      <c r="B22" s="927"/>
      <c r="C22" s="927"/>
      <c r="D22" s="927"/>
      <c r="E22" s="693" t="str">
        <f>IF('Hop Calcs'!D8=0,"",'Hop Calcs'!D8)</f>
        <v>Pellet</v>
      </c>
      <c r="F22" s="694">
        <f>IF('Hop Calcs'!F8=0,"",'Hop Calcs'!F8)</f>
        <v>7.5</v>
      </c>
      <c r="G22" s="928">
        <f>IF('Hop Calcs'!G8=0,"",'Hop Calcs'!G8)</f>
        <v>0.75</v>
      </c>
      <c r="H22" s="929"/>
      <c r="I22" s="694">
        <f>'Hop Calcs'!H8</f>
        <v>5.625</v>
      </c>
      <c r="J22" s="861">
        <f>IF(ISBLANK('Hop Calcs'!C8),"",IF('Hop Calcs'!C8="Hop Stand",CONCATENATE('Hop Calcs'!C8," (",'Hop Calcs'!B8,")"),'Hop Calcs'!C8))</f>
        <v>30</v>
      </c>
      <c r="K22" s="862"/>
      <c r="L22" s="557"/>
      <c r="M22" s="561"/>
      <c r="N22" s="556"/>
      <c r="O22" s="891" t="s">
        <v>1752</v>
      </c>
      <c r="P22" s="892"/>
      <c r="Q22" s="694">
        <f>IF('Brewhouse Setup &amp; Calcs'!$C$2="US Customary",'Water-English'!$E$44,'Water-Metric'!$E$45)</f>
        <v>0</v>
      </c>
      <c r="R22" s="694">
        <f>IFERROR(IF('Brewhouse Setup &amp; Calcs'!$C$2="US Customary",'Water-English'!$E$46,'Water-Metric'!$E$47),"")</f>
        <v>0</v>
      </c>
      <c r="S22" s="342"/>
      <c r="T22" s="973"/>
      <c r="U22" s="891" t="s">
        <v>2334</v>
      </c>
      <c r="V22" s="891"/>
      <c r="W22" s="891"/>
      <c r="X22" s="694">
        <f>'Brewhouse Setup &amp; Calcs'!$C$80</f>
        <v>52.301377799274086</v>
      </c>
      <c r="Y22" s="694">
        <f>'Brewhouse Setup &amp; Calcs'!$C$24</f>
        <v>158</v>
      </c>
      <c r="Z22" s="591">
        <v>53.2</v>
      </c>
      <c r="AA22" s="592">
        <v>210.5</v>
      </c>
      <c r="AB22" s="694">
        <f>IF(OR(ISBLANK(Z22),ISBLANK(AA22)),"",Z22+Z22*(Y22-AA22)*('Brewhouse Setup &amp; Calcs'!$C$59*AVERAGE(Y22,AA22)+'Brewhouse Setup &amp; Calcs'!$E$59))</f>
        <v>52.189625267500006</v>
      </c>
      <c r="AC22" s="694">
        <f>Y22</f>
        <v>158</v>
      </c>
      <c r="AE22" s="858" t="s">
        <v>2376</v>
      </c>
      <c r="AF22" s="858"/>
      <c r="AG22" s="858"/>
    </row>
    <row r="23" spans="1:47" ht="13.15" customHeight="1" thickBot="1" x14ac:dyDescent="0.25">
      <c r="A23" s="927" t="str">
        <f>IF('Hop Calcs'!E9=0,"",'Hop Calcs'!E9)</f>
        <v>Northern Brewer (U.S.)</v>
      </c>
      <c r="B23" s="927"/>
      <c r="C23" s="927"/>
      <c r="D23" s="927"/>
      <c r="E23" s="693" t="str">
        <f>IF('Hop Calcs'!D9=0,"",'Hop Calcs'!D9)</f>
        <v>Pellet</v>
      </c>
      <c r="F23" s="694">
        <f>IF('Hop Calcs'!F9=0,"",'Hop Calcs'!F9)</f>
        <v>7.5</v>
      </c>
      <c r="G23" s="928">
        <f>IF('Hop Calcs'!G9=0,"",'Hop Calcs'!G9)</f>
        <v>0.75</v>
      </c>
      <c r="H23" s="929"/>
      <c r="I23" s="694">
        <f>'Hop Calcs'!H9</f>
        <v>5.625</v>
      </c>
      <c r="J23" s="861">
        <f>IF(ISBLANK('Hop Calcs'!C9),"",IF('Hop Calcs'!C9="Hop Stand",CONCATENATE('Hop Calcs'!C9," (",'Hop Calcs'!B9,")"),'Hop Calcs'!C9))</f>
        <v>5</v>
      </c>
      <c r="K23" s="862"/>
      <c r="L23" s="921" t="s">
        <v>2287</v>
      </c>
      <c r="M23" s="922"/>
      <c r="N23" s="560"/>
      <c r="O23" s="882" t="s">
        <v>1753</v>
      </c>
      <c r="P23" s="883"/>
      <c r="Q23" s="706">
        <f>IF('Brewhouse Setup &amp; Calcs'!$C$2="US Customary",'Water-English'!$F$44,'Water-Metric'!$F$45)</f>
        <v>0</v>
      </c>
      <c r="R23" s="706">
        <f>IFERROR(IF('Brewhouse Setup &amp; Calcs'!$C$2="US Customary",'Water-English'!$F$46,'Water-Metric'!$F$47),"")</f>
        <v>0</v>
      </c>
      <c r="S23" s="342"/>
      <c r="T23" s="974"/>
      <c r="U23" s="893" t="s">
        <v>2363</v>
      </c>
      <c r="V23" s="893"/>
      <c r="W23" s="886"/>
      <c r="X23" s="717">
        <f>'Brewhouse Setup &amp; Calcs'!C43</f>
        <v>0.4</v>
      </c>
      <c r="Y23" s="718" t="str">
        <f>IF('Brewhouse Setup &amp; Calcs'!$C$2="US Customary","qt/lb","L/kg")</f>
        <v>qt/lb</v>
      </c>
      <c r="Z23" s="717">
        <f>IF(OR(ISBLANK(Z22),ISBLANK(AA22),ISBLANK(Y10),ISBLANK(Z10)),"",(AG15+IF(NOT(ISBLANK(Z18)),AB18,IF(AB19="",0,AB19+AB21))-'Brewhouse Setup &amp; Calcs'!C42-'Brewhouse Setup &amp; Calcs'!C86-'Brewhouse Setup &amp; Calcs'!C87-AB22)/'Grain &amp; Sugar Calcs'!C15)</f>
        <v>0.38193922987499962</v>
      </c>
      <c r="AA23" s="718" t="str">
        <f>IF('Brewhouse Setup &amp; Calcs'!$C$2="US Customary","qt/lb","L/kg")</f>
        <v>qt/lb</v>
      </c>
      <c r="AB23" s="879"/>
      <c r="AC23" s="880"/>
    </row>
    <row r="24" spans="1:47" ht="13.15" customHeight="1" thickTop="1" x14ac:dyDescent="0.2">
      <c r="A24" s="927" t="str">
        <f>IF('Hop Calcs'!E10=0,"",'Hop Calcs'!E10)</f>
        <v/>
      </c>
      <c r="B24" s="927"/>
      <c r="C24" s="927"/>
      <c r="D24" s="927"/>
      <c r="E24" s="693" t="str">
        <f>IF('Hop Calcs'!D10=0,"",'Hop Calcs'!D10)</f>
        <v/>
      </c>
      <c r="F24" s="694" t="str">
        <f>IF('Hop Calcs'!F10=0,"",'Hop Calcs'!F10)</f>
        <v/>
      </c>
      <c r="G24" s="928" t="str">
        <f>IF('Hop Calcs'!G10=0,"",'Hop Calcs'!G10)</f>
        <v/>
      </c>
      <c r="H24" s="929"/>
      <c r="I24" s="694" t="str">
        <f>'Hop Calcs'!H10</f>
        <v/>
      </c>
      <c r="J24" s="861" t="str">
        <f>IF(ISBLANK('Hop Calcs'!C10),"",IF('Hop Calcs'!C10="Hop Stand",CONCATENATE('Hop Calcs'!C10," (",'Hop Calcs'!B10,")"),'Hop Calcs'!C10))</f>
        <v/>
      </c>
      <c r="K24" s="862"/>
      <c r="L24" s="921"/>
      <c r="M24" s="922"/>
      <c r="N24" s="560"/>
      <c r="O24" s="912" t="s">
        <v>1735</v>
      </c>
      <c r="P24" s="913"/>
      <c r="Q24" s="707">
        <f>IF('Brewhouse Setup &amp; Calcs'!$C$2="US Customary",'Water-English'!$J$37,'Water-Metric'!$J$38)</f>
        <v>6</v>
      </c>
      <c r="R24" s="549" t="s">
        <v>2297</v>
      </c>
      <c r="S24" s="354"/>
      <c r="T24" s="991" t="s">
        <v>2344</v>
      </c>
      <c r="U24" s="1001" t="s">
        <v>2358</v>
      </c>
      <c r="V24" s="993" t="s">
        <v>2294</v>
      </c>
      <c r="W24" s="994"/>
      <c r="X24" s="721">
        <f>'Grain &amp; Sugar Calcs'!$K$19</f>
        <v>1.0373342732096649</v>
      </c>
      <c r="Y24" s="574"/>
      <c r="Z24" s="593"/>
      <c r="AA24" s="591"/>
      <c r="AB24" s="694" t="str">
        <f>'Brewhouse Setup &amp; Calcs'!$C$4</f>
        <v>°F</v>
      </c>
      <c r="AC24" s="720" t="str">
        <f>IF(ISBLANK($Z$24),"",(IF(ISBLANK($AA$24),"",'Brewhouse Setup &amp; Calcs'!$C$35+IF('Brewhouse Setup &amp; Calcs'!$C$2="US Customary",($Z$24*((1.00130346-0.000134722124*$AA$24+0.00000204052596*$AA$24^2-0.00000000232820948*$AA$24^3)/(1.00130346-0.000134722124*'Brewhouse Setup &amp; Calcs'!$C$34+0.00000204052596*'Brewhouse Setup &amp; Calcs'!$C$34^2-0.00000000232820948*'Brewhouse Setup &amp; Calcs'!$C$34^3))),($Z$24*((1.00130346-0.000134722124*(($AA$24*9/5)+32)+0.00000204052596*(($AA$24*9/5)+32)^2-0.00000000232820948*(($AA$24*9/5)+32)^3)/(1.00130346-0.000134722124*(('Brewhouse Setup &amp; Calcs'!$C$34*9/5)+32)+0.00000204052596*(('Brewhouse Setup &amp; Calcs'!$C$34*9/5)+32)^2-0.00000000232820948*(('Brewhouse Setup &amp; Calcs'!$C$34*9/5)+32)^3)))))))</f>
        <v/>
      </c>
      <c r="AE24" s="887" t="s">
        <v>2368</v>
      </c>
      <c r="AF24" s="888"/>
      <c r="AG24" s="888"/>
      <c r="AH24" s="888"/>
      <c r="AI24" s="888"/>
      <c r="AJ24" s="889"/>
      <c r="AU24" s="55"/>
    </row>
    <row r="25" spans="1:47" ht="13.15" customHeight="1" x14ac:dyDescent="0.2">
      <c r="A25" s="927" t="str">
        <f>IF('Hop Calcs'!E11=0,"",'Hop Calcs'!E11)</f>
        <v/>
      </c>
      <c r="B25" s="927"/>
      <c r="C25" s="927"/>
      <c r="D25" s="927"/>
      <c r="E25" s="693" t="str">
        <f>IF('Hop Calcs'!D11=0,"",'Hop Calcs'!D11)</f>
        <v/>
      </c>
      <c r="F25" s="694" t="str">
        <f>IF('Hop Calcs'!F11=0,"",'Hop Calcs'!F11)</f>
        <v/>
      </c>
      <c r="G25" s="928" t="str">
        <f>IF('Hop Calcs'!G11=0,"",'Hop Calcs'!G11)</f>
        <v/>
      </c>
      <c r="H25" s="929"/>
      <c r="I25" s="694" t="str">
        <f>'Hop Calcs'!H11</f>
        <v/>
      </c>
      <c r="J25" s="861" t="str">
        <f>IF(ISBLANK('Hop Calcs'!C11),"",IF('Hop Calcs'!C11="Hop Stand",CONCATENATE('Hop Calcs'!C11," (",'Hop Calcs'!B11,")"),'Hop Calcs'!C11))</f>
        <v/>
      </c>
      <c r="K25" s="862"/>
      <c r="L25" s="921"/>
      <c r="M25" s="922"/>
      <c r="N25" s="551"/>
      <c r="O25" s="383"/>
      <c r="S25" s="342"/>
      <c r="T25" s="1034"/>
      <c r="U25" s="950"/>
      <c r="V25" s="993" t="s">
        <v>2281</v>
      </c>
      <c r="W25" s="994"/>
      <c r="X25" s="706">
        <f>(((182.4601*$X$24-775.6821)*$X$24+1262.7794)*$X$24-669.5622)</f>
        <v>9.3484188186250776</v>
      </c>
      <c r="Y25" s="570" t="s">
        <v>121</v>
      </c>
      <c r="Z25" s="588"/>
      <c r="AA25" s="571" t="s">
        <v>121</v>
      </c>
      <c r="AB25" s="577"/>
      <c r="AC25" s="720" t="str">
        <f>IF($Z$25="","",($Z$25/(258.6-(($Z$25/258.2)*227.1)))+1)</f>
        <v/>
      </c>
      <c r="AE25" s="885" t="s">
        <v>2356</v>
      </c>
      <c r="AF25" s="893"/>
      <c r="AG25" s="893"/>
      <c r="AH25" s="886"/>
      <c r="AI25" s="722">
        <f>ROUND(IF(AC24&lt;&gt;"",AC24,IF(AC25&lt;&gt;"",AC25,X24))-X24,3)</f>
        <v>0</v>
      </c>
      <c r="AJ25" s="577"/>
      <c r="AU25" s="55"/>
    </row>
    <row r="26" spans="1:47" ht="13.15" customHeight="1" x14ac:dyDescent="0.2">
      <c r="A26" s="927" t="str">
        <f>IF('Hop Calcs'!E12=0,"",'Hop Calcs'!E12)</f>
        <v/>
      </c>
      <c r="B26" s="927"/>
      <c r="C26" s="927"/>
      <c r="D26" s="927"/>
      <c r="E26" s="693" t="str">
        <f>IF('Hop Calcs'!D12=0,"",'Hop Calcs'!D12)</f>
        <v/>
      </c>
      <c r="F26" s="694" t="str">
        <f>IF('Hop Calcs'!F12=0,"",'Hop Calcs'!F12)</f>
        <v/>
      </c>
      <c r="G26" s="928" t="str">
        <f>IF('Hop Calcs'!G12=0,"",'Hop Calcs'!G12)</f>
        <v/>
      </c>
      <c r="H26" s="929"/>
      <c r="I26" s="694" t="str">
        <f>'Hop Calcs'!H12</f>
        <v/>
      </c>
      <c r="J26" s="861" t="str">
        <f>IF(ISBLANK('Hop Calcs'!C12),"",IF('Hop Calcs'!C12="Hop Stand",CONCATENATE('Hop Calcs'!C12," (",'Hop Calcs'!B12,")"),'Hop Calcs'!C12))</f>
        <v/>
      </c>
      <c r="K26" s="862"/>
      <c r="L26" s="921"/>
      <c r="M26" s="922"/>
      <c r="N26" s="560"/>
      <c r="O26" s="916" t="s">
        <v>1109</v>
      </c>
      <c r="P26" s="916"/>
      <c r="Q26" s="916"/>
      <c r="R26" s="917"/>
      <c r="S26" s="342"/>
      <c r="T26" s="1034"/>
      <c r="U26" s="960" t="s">
        <v>2346</v>
      </c>
      <c r="V26" s="961"/>
      <c r="W26" s="962"/>
      <c r="X26" s="1032">
        <f>'Brewhouse Setup &amp; Calcs'!$C$46</f>
        <v>0.7</v>
      </c>
      <c r="Y26" s="971"/>
      <c r="Z26" s="690" t="str">
        <f>IF(OR('Grain &amp; Sugar Calcs'!$K$15=0,NOT(ISNUMBER($AC$24)),NOT(ISNUMBER($Z$22))),"",((($AC$24-1)*1000))/('Grain &amp; Sugar Calcs'!$I$15/IF('Brewhouse Setup &amp; Calcs'!$C$5="Liters",(1.056688*$Z$22/4),($Z$22/4))))</f>
        <v/>
      </c>
      <c r="AA26" s="975" t="s">
        <v>2294</v>
      </c>
      <c r="AB26" s="975"/>
      <c r="AC26" s="873"/>
      <c r="AE26" s="580" t="s">
        <v>2348</v>
      </c>
      <c r="AF26" s="956" t="s">
        <v>1478</v>
      </c>
      <c r="AG26" s="956"/>
      <c r="AH26" s="957"/>
      <c r="AI26" s="720">
        <f>IF(ISBLANK(AF26),"",VLOOKUP(AF26,'Grain &amp; Sugar List'!$A$2:$H$307,6,FALSE))</f>
        <v>1.0383439999999999</v>
      </c>
      <c r="AJ26" s="573" t="s">
        <v>2355</v>
      </c>
      <c r="AU26" s="55"/>
    </row>
    <row r="27" spans="1:47" ht="13.15" customHeight="1" x14ac:dyDescent="0.2">
      <c r="A27" s="927" t="str">
        <f>IF('Hop Calcs'!E13=0,"",'Hop Calcs'!E13)</f>
        <v/>
      </c>
      <c r="B27" s="927"/>
      <c r="C27" s="927"/>
      <c r="D27" s="927"/>
      <c r="E27" s="693" t="str">
        <f>IF('Hop Calcs'!D13=0,"",'Hop Calcs'!D13)</f>
        <v/>
      </c>
      <c r="F27" s="694" t="str">
        <f>IF('Hop Calcs'!F13=0,"",'Hop Calcs'!F13)</f>
        <v/>
      </c>
      <c r="G27" s="928" t="str">
        <f>IF('Hop Calcs'!G13=0,"",'Hop Calcs'!G13)</f>
        <v/>
      </c>
      <c r="H27" s="929"/>
      <c r="I27" s="694" t="str">
        <f>'Hop Calcs'!H13</f>
        <v/>
      </c>
      <c r="J27" s="861" t="str">
        <f>IF(ISBLANK('Hop Calcs'!C13),"",IF('Hop Calcs'!C13="Hop Stand",CONCATENATE('Hop Calcs'!C13," (",'Hop Calcs'!B13,")"),'Hop Calcs'!C13))</f>
        <v/>
      </c>
      <c r="K27" s="863"/>
      <c r="L27" s="1006" t="s">
        <v>2306</v>
      </c>
      <c r="M27" s="1007"/>
      <c r="N27" s="559"/>
      <c r="O27" s="914" t="str">
        <f>IF(ISBLANK(O28),"",VLOOKUP(O28,'Yeast List'!A2:H315,3,FALSE))</f>
        <v>Lallemand</v>
      </c>
      <c r="P27" s="914"/>
      <c r="Q27" s="914"/>
      <c r="R27" s="915"/>
      <c r="S27" s="342"/>
      <c r="T27" s="1034"/>
      <c r="U27" s="963"/>
      <c r="V27" s="964"/>
      <c r="W27" s="965"/>
      <c r="X27" s="1033"/>
      <c r="Y27" s="873"/>
      <c r="Z27" s="850" t="str">
        <f>IF(OR('Grain &amp; Sugar Calcs'!$K$15=0,NOT(ISNUMBER($AC$25)),NOT(ISNUMBER($Z$22))),"",((($AC$25-1)*1000))/('Grain &amp; Sugar Calcs'!$I$15/IF('Brewhouse Setup &amp; Calcs'!$C$5="Liters",(1.056688*$Z$22/4),($Z$22/4))))</f>
        <v/>
      </c>
      <c r="AA27" s="976" t="s">
        <v>2281</v>
      </c>
      <c r="AB27" s="976"/>
      <c r="AC27" s="874"/>
      <c r="AE27" s="890" t="s">
        <v>2349</v>
      </c>
      <c r="AF27" s="891"/>
      <c r="AG27" s="891"/>
      <c r="AH27" s="892"/>
      <c r="AI27" s="691">
        <f>IF('Brewhouse Setup &amp; Calcs'!C2="US Customary",IF(AI25&lt;0,ABS((AI25*1000)/(((AI26-1)*1000)/(Z22/4))),0),CONVERT(IF(AI25&lt;=0,ABS((AI25*1000)/(((AI26-1)*1000)/(Z22/4))),0),"lbm","kg"))</f>
        <v>0</v>
      </c>
      <c r="AJ27" s="694" t="str">
        <f>'Brewhouse Setup &amp; Calcs'!C6</f>
        <v>lb</v>
      </c>
    </row>
    <row r="28" spans="1:47" ht="13.15" customHeight="1" x14ac:dyDescent="0.2">
      <c r="A28" s="927" t="str">
        <f>IF('Hop Calcs'!E14=0,"",'Hop Calcs'!E14)</f>
        <v/>
      </c>
      <c r="B28" s="927"/>
      <c r="C28" s="927"/>
      <c r="D28" s="927"/>
      <c r="E28" s="693" t="str">
        <f>IF('Hop Calcs'!D14=0,"",'Hop Calcs'!D14)</f>
        <v/>
      </c>
      <c r="F28" s="694" t="str">
        <f>IF('Hop Calcs'!F14=0,"",'Hop Calcs'!F14)</f>
        <v/>
      </c>
      <c r="G28" s="928" t="str">
        <f>IF('Hop Calcs'!G14=0,"",'Hop Calcs'!G14)</f>
        <v/>
      </c>
      <c r="H28" s="929"/>
      <c r="I28" s="694" t="str">
        <f>'Hop Calcs'!H14</f>
        <v/>
      </c>
      <c r="J28" s="861" t="str">
        <f>IF(ISBLANK('Hop Calcs'!C14),"",IF('Hop Calcs'!C14="Hop Stand",CONCATENATE('Hop Calcs'!C14," (",'Hop Calcs'!B14,")"),'Hop Calcs'!C14))</f>
        <v/>
      </c>
      <c r="K28" s="863"/>
      <c r="L28" s="1006"/>
      <c r="M28" s="1007"/>
      <c r="N28" s="559"/>
      <c r="O28" s="930" t="s">
        <v>2452</v>
      </c>
      <c r="P28" s="930"/>
      <c r="Q28" s="930"/>
      <c r="R28" s="931"/>
      <c r="S28" s="342"/>
      <c r="T28" s="977" t="s">
        <v>2347</v>
      </c>
      <c r="U28" s="978"/>
      <c r="V28" s="978"/>
      <c r="W28" s="978"/>
      <c r="X28" s="978"/>
      <c r="Y28" s="978"/>
      <c r="Z28" s="978"/>
      <c r="AA28" s="978"/>
      <c r="AB28" s="978"/>
      <c r="AC28" s="979"/>
      <c r="AE28" s="890" t="s">
        <v>2357</v>
      </c>
      <c r="AF28" s="891"/>
      <c r="AG28" s="891"/>
      <c r="AH28" s="892"/>
      <c r="AI28" s="691">
        <f>IF('Brewhouse Setup &amp; Calcs'!C2="US Customary",IF(AI25&gt;0,AB22-((X24-1)/(AC24-1))*X22,0),CONVERT(IF(AI25&gt;0,AB22-((X24-1)/(AC24-1))*X22,0),"qt","L"))</f>
        <v>0</v>
      </c>
      <c r="AJ28" s="694" t="str">
        <f>'Brewhouse Setup &amp; Calcs'!$C$5</f>
        <v>qt</v>
      </c>
    </row>
    <row r="29" spans="1:47" ht="13.15" customHeight="1" x14ac:dyDescent="0.2">
      <c r="A29" s="927" t="str">
        <f>IF('Hop Calcs'!E15=0,"",'Hop Calcs'!E15)</f>
        <v/>
      </c>
      <c r="B29" s="927"/>
      <c r="C29" s="927"/>
      <c r="D29" s="927"/>
      <c r="E29" s="693" t="str">
        <f>IF('Hop Calcs'!D15=0,"",'Hop Calcs'!D15)</f>
        <v/>
      </c>
      <c r="F29" s="694" t="str">
        <f>IF('Hop Calcs'!F15=0,"",'Hop Calcs'!F15)</f>
        <v/>
      </c>
      <c r="G29" s="928" t="str">
        <f>IF('Hop Calcs'!G15=0,"",'Hop Calcs'!G15)</f>
        <v/>
      </c>
      <c r="H29" s="929"/>
      <c r="I29" s="694" t="str">
        <f>'Hop Calcs'!H15</f>
        <v/>
      </c>
      <c r="J29" s="861" t="str">
        <f>IF(ISBLANK('Hop Calcs'!C15),"",IF('Hop Calcs'!C15="Hop Stand",CONCATENATE('Hop Calcs'!C15," (",'Hop Calcs'!B15,")"),'Hop Calcs'!C15))</f>
        <v/>
      </c>
      <c r="K29" s="863"/>
      <c r="L29" s="1006"/>
      <c r="M29" s="1007"/>
      <c r="N29" s="559"/>
      <c r="O29" s="891" t="s">
        <v>1663</v>
      </c>
      <c r="P29" s="891"/>
      <c r="Q29" s="708" t="str">
        <f>CONCATENATE(IF(ISBLANK(O28),"",(IF('Brewhouse Setup &amp; Calcs'!$C$4="°C",ROUND(5/9*(VLOOKUP(O28,'Yeast List'!A2:H315,7,FALSE)-32),0),VLOOKUP(O28,'Yeast List'!A2:H315,7,FALSE)))),"-",IF(ISBLANK(O28),"",(IF('Brewhouse Setup &amp; Calcs'!$C$4="°C",ROUND(5/9*(VLOOKUP(O28,'Yeast List'!A2:H315,8,FALSE)-32),0),VLOOKUP(O28,'Yeast List'!A2:H315,8,FALSE)))))</f>
        <v>50-68</v>
      </c>
      <c r="R29" s="709" t="str">
        <f>'Brewhouse Setup &amp; Calcs'!$C$4</f>
        <v>°F</v>
      </c>
      <c r="S29" s="342"/>
      <c r="T29" s="903"/>
      <c r="U29" s="884"/>
      <c r="V29" s="884"/>
      <c r="W29" s="999"/>
      <c r="X29" s="885" t="s">
        <v>1661</v>
      </c>
      <c r="Y29" s="886"/>
      <c r="Z29" s="885" t="s">
        <v>119</v>
      </c>
      <c r="AA29" s="886"/>
      <c r="AB29" s="885" t="s">
        <v>2329</v>
      </c>
      <c r="AC29" s="886"/>
      <c r="AE29" s="579"/>
    </row>
    <row r="30" spans="1:47" ht="13.15" customHeight="1" x14ac:dyDescent="0.2">
      <c r="A30" s="927" t="str">
        <f>IF('Hop Calcs'!E16=0,"",'Hop Calcs'!E16)</f>
        <v/>
      </c>
      <c r="B30" s="927"/>
      <c r="C30" s="927"/>
      <c r="D30" s="927"/>
      <c r="E30" s="693" t="str">
        <f>IF('Hop Calcs'!D16=0,"",'Hop Calcs'!D16)</f>
        <v/>
      </c>
      <c r="F30" s="694" t="str">
        <f>IF('Hop Calcs'!F16=0,"",'Hop Calcs'!F16)</f>
        <v/>
      </c>
      <c r="G30" s="928" t="str">
        <f>IF('Hop Calcs'!G16=0,"",'Hop Calcs'!G16)</f>
        <v/>
      </c>
      <c r="H30" s="929"/>
      <c r="I30" s="694" t="str">
        <f>'Hop Calcs'!H16</f>
        <v/>
      </c>
      <c r="J30" s="861" t="str">
        <f>IF(ISBLANK('Hop Calcs'!C16),"",IF('Hop Calcs'!C16="Hop Stand",CONCATENATE('Hop Calcs'!C16," (",'Hop Calcs'!B16,")"),'Hop Calcs'!C16))</f>
        <v/>
      </c>
      <c r="K30" s="863"/>
      <c r="L30" s="1006"/>
      <c r="M30" s="1007"/>
      <c r="N30" s="550"/>
      <c r="O30" s="383"/>
      <c r="S30" s="342"/>
      <c r="T30" s="995" t="s">
        <v>2179</v>
      </c>
      <c r="U30" s="890" t="s">
        <v>2369</v>
      </c>
      <c r="V30" s="891"/>
      <c r="W30" s="892"/>
      <c r="X30" s="694">
        <f>'Brewhouse Setup &amp; Calcs'!$C$80+'Brewhouse Setup &amp; Calcs'!$C$79</f>
        <v>53.313916025645113</v>
      </c>
      <c r="Y30" s="694" t="str">
        <f>'Brewhouse Setup &amp; Calcs'!$C$5</f>
        <v>qt</v>
      </c>
      <c r="Z30" s="585"/>
      <c r="AA30" s="694" t="str">
        <f>'Brewhouse Setup &amp; Calcs'!$C$5</f>
        <v>qt</v>
      </c>
      <c r="AB30" s="875"/>
      <c r="AC30" s="876"/>
      <c r="AE30" s="857" t="str">
        <f>CONCATENATE("Add ",IF(AI27&gt;0,"Sugar",IF(AI28&gt;0,"Water","Nothing"))," to the Boil")</f>
        <v>Add Nothing to the Boil</v>
      </c>
      <c r="AF30" s="857"/>
      <c r="AG30" s="857"/>
      <c r="AH30" s="857"/>
    </row>
    <row r="31" spans="1:47" ht="13.15" customHeight="1" x14ac:dyDescent="0.2">
      <c r="A31" s="927" t="str">
        <f>IF('Hop Calcs'!E17=0,"",'Hop Calcs'!E17)</f>
        <v/>
      </c>
      <c r="B31" s="927"/>
      <c r="C31" s="927"/>
      <c r="D31" s="927"/>
      <c r="E31" s="693" t="str">
        <f>IF('Hop Calcs'!D17=0,"",'Hop Calcs'!D17)</f>
        <v/>
      </c>
      <c r="F31" s="694" t="str">
        <f>IF('Hop Calcs'!F17=0,"",'Hop Calcs'!F17)</f>
        <v/>
      </c>
      <c r="G31" s="928" t="str">
        <f>IF('Hop Calcs'!G17=0,"",'Hop Calcs'!G17)</f>
        <v/>
      </c>
      <c r="H31" s="929"/>
      <c r="I31" s="694" t="str">
        <f>'Hop Calcs'!H17</f>
        <v/>
      </c>
      <c r="J31" s="861" t="str">
        <f>IF(ISBLANK('Hop Calcs'!C17),"",IF('Hop Calcs'!C17="Hop Stand",CONCATENATE('Hop Calcs'!C17," (",'Hop Calcs'!B17,")"),'Hop Calcs'!C17))</f>
        <v/>
      </c>
      <c r="K31" s="863"/>
      <c r="L31" s="1006"/>
      <c r="M31" s="1007"/>
      <c r="N31" s="559"/>
      <c r="O31" s="888" t="s">
        <v>1518</v>
      </c>
      <c r="P31" s="888"/>
      <c r="Q31" s="888"/>
      <c r="R31" s="889"/>
      <c r="S31" s="342"/>
      <c r="T31" s="996"/>
      <c r="U31" s="890" t="s">
        <v>2177</v>
      </c>
      <c r="V31" s="891"/>
      <c r="W31" s="892"/>
      <c r="X31" s="705">
        <f>'Brewhouse Setup &amp; Calcs'!$C$28</f>
        <v>60</v>
      </c>
      <c r="Y31" s="691" t="str">
        <f>'Brewhouse Setup &amp; Calcs'!$D$28</f>
        <v>min</v>
      </c>
      <c r="Z31" s="586"/>
      <c r="AA31" s="691" t="str">
        <f>'Brewhouse Setup &amp; Calcs'!$D$28</f>
        <v>min</v>
      </c>
      <c r="AB31" s="877"/>
      <c r="AC31" s="878"/>
    </row>
    <row r="32" spans="1:47" ht="13.15" customHeight="1" x14ac:dyDescent="0.2">
      <c r="A32" s="927" t="str">
        <f>IF('Hop Calcs'!E18=0,"",'Hop Calcs'!E18)</f>
        <v/>
      </c>
      <c r="B32" s="927"/>
      <c r="C32" s="927"/>
      <c r="D32" s="927"/>
      <c r="E32" s="693" t="str">
        <f>IF('Hop Calcs'!D18=0,"",'Hop Calcs'!D18)</f>
        <v/>
      </c>
      <c r="F32" s="694" t="str">
        <f>IF('Hop Calcs'!F18=0,"",'Hop Calcs'!F18)</f>
        <v/>
      </c>
      <c r="G32" s="928" t="str">
        <f>IF('Hop Calcs'!G18=0,"",'Hop Calcs'!G18)</f>
        <v/>
      </c>
      <c r="H32" s="929"/>
      <c r="I32" s="694" t="str">
        <f>'Hop Calcs'!H18</f>
        <v/>
      </c>
      <c r="J32" s="861" t="str">
        <f>IF(ISBLANK('Hop Calcs'!C18),"",IF('Hop Calcs'!C18="Hop Stand",CONCATENATE('Hop Calcs'!C18," (",'Hop Calcs'!B18,")"),'Hop Calcs'!C18))</f>
        <v/>
      </c>
      <c r="K32" s="863"/>
      <c r="L32" s="1006"/>
      <c r="M32" s="1007"/>
      <c r="N32" s="559"/>
      <c r="O32" s="891" t="s">
        <v>1855</v>
      </c>
      <c r="P32" s="892"/>
      <c r="Q32" s="585">
        <v>2.5</v>
      </c>
      <c r="R32" s="513"/>
      <c r="S32" s="342"/>
      <c r="T32" s="996"/>
      <c r="U32" s="905" t="str">
        <f>CONCATENATE("End Volume",IF('Brewhouse Setup &amp; Calcs'!C51="Immersion"," (w/ IC)",))</f>
        <v>End Volume (w/ IC)</v>
      </c>
      <c r="V32" s="905"/>
      <c r="W32" s="905"/>
      <c r="X32" s="694">
        <f>IF('Brewhouse Setup &amp; Calcs'!$C$51="Immersion",'Brewhouse Setup &amp; Calcs'!$C$76+'Brewhouse Setup &amp; Calcs'!$C$52,'Brewhouse Setup &amp; Calcs'!$C$76)</f>
        <v>50.063916025645113</v>
      </c>
      <c r="Y32" s="694" t="str">
        <f>'Brewhouse Setup &amp; Calcs'!$C$5</f>
        <v>qt</v>
      </c>
      <c r="Z32" s="585"/>
      <c r="AA32" s="694" t="str">
        <f>'Brewhouse Setup &amp; Calcs'!$C$5</f>
        <v>qt</v>
      </c>
      <c r="AB32" s="877"/>
      <c r="AC32" s="878"/>
      <c r="AE32" s="855" t="s">
        <v>2381</v>
      </c>
      <c r="AF32" s="855"/>
      <c r="AG32" s="856"/>
      <c r="AH32" s="585"/>
    </row>
    <row r="33" spans="1:31" ht="13.15" customHeight="1" x14ac:dyDescent="0.2">
      <c r="K33" s="384"/>
      <c r="L33" s="1006"/>
      <c r="M33" s="1007"/>
      <c r="N33" s="559"/>
      <c r="O33" s="891" t="s">
        <v>1096</v>
      </c>
      <c r="P33" s="892"/>
      <c r="Q33" s="585">
        <v>38</v>
      </c>
      <c r="R33" s="694" t="str">
        <f>'Brewhouse Setup &amp; Calcs'!$C$4</f>
        <v>°F</v>
      </c>
      <c r="S33" s="342"/>
      <c r="T33" s="996"/>
      <c r="U33" s="890" t="s">
        <v>2350</v>
      </c>
      <c r="V33" s="891"/>
      <c r="W33" s="892"/>
      <c r="X33" s="694">
        <f>'Brewhouse Setup &amp; Calcs'!C50</f>
        <v>5.25</v>
      </c>
      <c r="Y33" s="694" t="str">
        <f>'Brewhouse Setup &amp; Calcs'!$D$50</f>
        <v>qt/hr</v>
      </c>
      <c r="Z33" s="699" t="str">
        <f>IF(OR(ISBLANK(Z30),ISBLANK(Z31),ISBLANK(Z32)),"",(Z30-Z32)/Z31*60)</f>
        <v/>
      </c>
      <c r="AA33" s="694" t="str">
        <f>'Brewhouse Setup &amp; Calcs'!$D$50</f>
        <v>qt/hr</v>
      </c>
      <c r="AB33" s="877"/>
      <c r="AC33" s="878"/>
      <c r="AE33" s="19"/>
    </row>
    <row r="34" spans="1:31" ht="13.15" customHeight="1" x14ac:dyDescent="0.2">
      <c r="A34" s="887" t="s">
        <v>114</v>
      </c>
      <c r="B34" s="888"/>
      <c r="C34" s="888"/>
      <c r="D34" s="888"/>
      <c r="E34" s="888"/>
      <c r="F34" s="888"/>
      <c r="G34" s="889"/>
      <c r="H34" s="887" t="s">
        <v>1857</v>
      </c>
      <c r="I34" s="889"/>
      <c r="J34" s="887" t="s">
        <v>1664</v>
      </c>
      <c r="K34" s="889"/>
      <c r="L34" s="1006"/>
      <c r="M34" s="1007"/>
      <c r="N34" s="559"/>
      <c r="O34" s="891" t="s">
        <v>1856</v>
      </c>
      <c r="P34" s="892"/>
      <c r="Q34" s="694">
        <f>IF(OR(ISBLANK(Q32),ISBLANK(Q33)),"",IF('Brewhouse Setup &amp; Calcs'!$C$2="US Customary",(-16.6999 - 0.0101059*Q33 + 0.00116512*Q33^2 + 0.173354*Q33*Q32 + 4.24267*Q32 - 0.0684226*Q32^2),(-16.6999 - 0.0101059*(9/5*Q33+32) + 0.00116512*(9/5*Q33+32)^2 + 0.173354*(9/5*Q33+32)*Q32 + 4.24267*Q32 - 0.0684226*Q32^2)*6.894757))</f>
        <v>11.246172830000003</v>
      </c>
      <c r="R34" s="694" t="str">
        <f>'Brewhouse Setup &amp; Calcs'!C8</f>
        <v>PSI</v>
      </c>
      <c r="S34" s="342"/>
      <c r="T34" s="991" t="s">
        <v>1116</v>
      </c>
      <c r="U34" s="1001" t="s">
        <v>2351</v>
      </c>
      <c r="V34" s="882"/>
      <c r="W34" s="883"/>
      <c r="X34" s="694">
        <f>'Brewhouse Setup &amp; Calcs'!C74</f>
        <v>46.32712145</v>
      </c>
      <c r="Y34" s="694" t="str">
        <f>'Brewhouse Setup &amp; Calcs'!$C$5</f>
        <v>qt</v>
      </c>
      <c r="Z34" s="585"/>
      <c r="AA34" s="694" t="str">
        <f>'Brewhouse Setup &amp; Calcs'!$C$5</f>
        <v>qt</v>
      </c>
      <c r="AB34" s="694">
        <f>Z34+Z34*(X35-Z35)*('Brewhouse Setup &amp; Calcs'!$C$59*AVERAGE(X35,Z35)+'Brewhouse Setup &amp; Calcs'!$E$59)</f>
        <v>0</v>
      </c>
      <c r="AC34" s="694" t="str">
        <f>'Brewhouse Setup &amp; Calcs'!$C$5</f>
        <v>qt</v>
      </c>
    </row>
    <row r="35" spans="1:31" ht="13.15" customHeight="1" x14ac:dyDescent="0.2">
      <c r="A35" s="932" t="s">
        <v>2322</v>
      </c>
      <c r="B35" s="955"/>
      <c r="C35" s="955"/>
      <c r="D35" s="955"/>
      <c r="E35" s="955"/>
      <c r="F35" s="955"/>
      <c r="G35" s="933"/>
      <c r="H35" s="932" t="s">
        <v>2444</v>
      </c>
      <c r="I35" s="933"/>
      <c r="J35" s="932" t="s">
        <v>2284</v>
      </c>
      <c r="K35" s="933"/>
      <c r="L35" s="1006"/>
      <c r="M35" s="1007"/>
      <c r="N35" s="550"/>
      <c r="O35" s="554"/>
      <c r="S35" s="342"/>
      <c r="T35" s="992"/>
      <c r="U35" s="885"/>
      <c r="V35" s="893"/>
      <c r="W35" s="886"/>
      <c r="X35" s="705">
        <f>'Brewhouse Setup &amp; Calcs'!C31</f>
        <v>75</v>
      </c>
      <c r="Y35" s="694" t="str">
        <f>'Brewhouse Setup &amp; Calcs'!$C$4</f>
        <v>°F</v>
      </c>
      <c r="Z35" s="585"/>
      <c r="AA35" s="694" t="str">
        <f>'Brewhouse Setup &amp; Calcs'!$C$4</f>
        <v>°F</v>
      </c>
      <c r="AB35" s="705">
        <f>X35</f>
        <v>75</v>
      </c>
      <c r="AC35" s="694" t="str">
        <f>'Brewhouse Setup &amp; Calcs'!$C$4</f>
        <v>°F</v>
      </c>
    </row>
    <row r="36" spans="1:31" ht="13.15" customHeight="1" x14ac:dyDescent="0.2">
      <c r="A36" s="932" t="s">
        <v>2440</v>
      </c>
      <c r="B36" s="955"/>
      <c r="C36" s="955"/>
      <c r="D36" s="955"/>
      <c r="E36" s="955"/>
      <c r="F36" s="955"/>
      <c r="G36" s="933"/>
      <c r="H36" s="932" t="s">
        <v>2442</v>
      </c>
      <c r="I36" s="933"/>
      <c r="J36" s="932" t="s">
        <v>2441</v>
      </c>
      <c r="K36" s="933"/>
      <c r="L36" s="1006"/>
      <c r="M36" s="1007"/>
      <c r="N36" s="550"/>
      <c r="S36" s="342"/>
      <c r="T36" s="991" t="s">
        <v>2352</v>
      </c>
      <c r="U36" s="1000" t="s">
        <v>2294</v>
      </c>
      <c r="V36" s="993"/>
      <c r="W36" s="994"/>
      <c r="X36" s="721">
        <f>'Grain &amp; Sugar Calcs'!$L$21</f>
        <v>1.0406257768709097</v>
      </c>
      <c r="Y36" s="574"/>
      <c r="Z36" s="594">
        <v>1.0509999999999999</v>
      </c>
      <c r="AA36" s="591">
        <v>68</v>
      </c>
      <c r="AB36" s="694" t="str">
        <f>'Brewhouse Setup &amp; Calcs'!$C$4</f>
        <v>°F</v>
      </c>
      <c r="AC36" s="720">
        <f>IF(OR(ISBLANK($Z$36),ISBLANK($AA$36)),"",'Brewhouse Setup &amp; Calcs'!$C$35+IF('Brewhouse Setup &amp; Calcs'!$C$2="US Customary", ($Z$36*((1.00130346-0.000134722124*AA36+0.00000204052596*$AA$36^2-0.00000000232820948*$AA$36^3)/(1.00130346-0.000134722124*'Brewhouse Setup &amp; Calcs'!$C$34+0.00000204052596*'Brewhouse Setup &amp; Calcs'!$C$34^2-0.00000000232820948*'Brewhouse Setup &amp; Calcs'!$C$34^3))), ($Z$36*((1.00130346-0.000134722124*(($AA$36* 9/5)+32)+0.00000204052596*(($AA$36* 9/5)+32)^2-0.00000000232820948*(($AA$36* 9/5)+32)^3)/(1.00130346-0.000134722124*(('Brewhouse Setup &amp; Calcs'!$C$34* 9/5)+32)+0.00000204052596*(('Brewhouse Setup &amp; Calcs'!$C$34* 9/5)+32)^2-0.00000000232820948*(('Brewhouse Setup &amp; Calcs'!$C$34* 9/5)+32)^3)))))</f>
        <v>1.051822409469569</v>
      </c>
    </row>
    <row r="37" spans="1:31" ht="12.75" customHeight="1" x14ac:dyDescent="0.2">
      <c r="A37" s="932" t="s">
        <v>2447</v>
      </c>
      <c r="B37" s="955"/>
      <c r="C37" s="955"/>
      <c r="D37" s="955"/>
      <c r="E37" s="955"/>
      <c r="F37" s="955"/>
      <c r="G37" s="933"/>
      <c r="H37" s="932" t="s">
        <v>2449</v>
      </c>
      <c r="I37" s="933"/>
      <c r="J37" s="932" t="s">
        <v>2454</v>
      </c>
      <c r="K37" s="933"/>
      <c r="L37" s="1006"/>
      <c r="M37" s="1007"/>
      <c r="N37" s="550"/>
      <c r="S37" s="342"/>
      <c r="T37" s="992"/>
      <c r="U37" s="1000" t="s">
        <v>2281</v>
      </c>
      <c r="V37" s="993"/>
      <c r="W37" s="994"/>
      <c r="X37" s="694">
        <f>(((182.4601*$X$36-775.6821)*$X$36+1262.7794)*$X$36-669.5622)</f>
        <v>10.14440080297868</v>
      </c>
      <c r="Y37" s="578"/>
      <c r="Z37" s="585"/>
      <c r="AA37" s="570" t="s">
        <v>121</v>
      </c>
      <c r="AB37" s="577"/>
      <c r="AC37" s="720" t="str">
        <f>IF($Z$37="","",($Z$37/(258.6-(($Z$37/258.2)*227.1)))+1)</f>
        <v/>
      </c>
    </row>
    <row r="38" spans="1:31" ht="13.15" customHeight="1" x14ac:dyDescent="0.2">
      <c r="A38" s="932"/>
      <c r="B38" s="955"/>
      <c r="C38" s="955"/>
      <c r="D38" s="955"/>
      <c r="E38" s="955"/>
      <c r="F38" s="955"/>
      <c r="G38" s="933"/>
      <c r="H38" s="932"/>
      <c r="I38" s="933"/>
      <c r="J38" s="932"/>
      <c r="K38" s="933"/>
      <c r="L38" s="1006"/>
      <c r="M38" s="1007"/>
      <c r="N38" s="550"/>
      <c r="S38" s="470"/>
      <c r="T38" s="977" t="s">
        <v>2335</v>
      </c>
      <c r="U38" s="978"/>
      <c r="V38" s="978"/>
      <c r="W38" s="978"/>
      <c r="X38" s="978"/>
      <c r="Y38" s="978"/>
      <c r="Z38" s="978"/>
      <c r="AA38" s="978"/>
      <c r="AB38" s="978"/>
      <c r="AC38" s="979"/>
    </row>
    <row r="39" spans="1:31" ht="13.15" customHeight="1" x14ac:dyDescent="0.2">
      <c r="A39" s="932"/>
      <c r="B39" s="955"/>
      <c r="C39" s="955"/>
      <c r="D39" s="955"/>
      <c r="E39" s="955"/>
      <c r="F39" s="955"/>
      <c r="G39" s="933"/>
      <c r="H39" s="932"/>
      <c r="I39" s="933"/>
      <c r="J39" s="932"/>
      <c r="K39" s="933"/>
      <c r="L39" s="1006"/>
      <c r="M39" s="1007"/>
      <c r="N39" s="550"/>
      <c r="S39" s="470"/>
      <c r="T39" s="901"/>
      <c r="U39" s="902"/>
      <c r="V39" s="902"/>
      <c r="W39" s="902"/>
      <c r="X39" s="900" t="s">
        <v>1661</v>
      </c>
      <c r="Y39" s="900"/>
      <c r="Z39" s="900" t="s">
        <v>119</v>
      </c>
      <c r="AA39" s="900"/>
      <c r="AB39" s="885" t="s">
        <v>2329</v>
      </c>
      <c r="AC39" s="886"/>
    </row>
    <row r="40" spans="1:31" ht="13.15" customHeight="1" x14ac:dyDescent="0.2">
      <c r="A40" s="1004"/>
      <c r="B40" s="1010"/>
      <c r="C40" s="1010"/>
      <c r="D40" s="1010"/>
      <c r="E40" s="1010"/>
      <c r="F40" s="1010"/>
      <c r="G40" s="1005"/>
      <c r="H40" s="1004"/>
      <c r="I40" s="1005"/>
      <c r="J40" s="1004"/>
      <c r="K40" s="1005"/>
      <c r="L40" s="1008"/>
      <c r="M40" s="1009"/>
      <c r="N40" s="558"/>
      <c r="O40" s="380"/>
      <c r="S40" s="514"/>
      <c r="T40" s="903"/>
      <c r="U40" s="884"/>
      <c r="V40" s="884"/>
      <c r="W40" s="884"/>
      <c r="X40" s="694" t="str">
        <f>'Brewhouse Setup &amp; Calcs'!$C$5</f>
        <v>qt</v>
      </c>
      <c r="Y40" s="694" t="str">
        <f>'Brewhouse Setup &amp; Calcs'!$C$4</f>
        <v>°F</v>
      </c>
      <c r="Z40" s="694" t="str">
        <f>'Brewhouse Setup &amp; Calcs'!$C$5</f>
        <v>qt</v>
      </c>
      <c r="AA40" s="694" t="str">
        <f>'Brewhouse Setup &amp; Calcs'!$C$4</f>
        <v>°F</v>
      </c>
      <c r="AB40" s="875"/>
      <c r="AC40" s="876"/>
    </row>
    <row r="41" spans="1:31" ht="13.15" customHeight="1" x14ac:dyDescent="0.2">
      <c r="A41" s="864" t="s">
        <v>2455</v>
      </c>
      <c r="B41" s="865"/>
      <c r="C41" s="865"/>
      <c r="D41" s="865"/>
      <c r="E41" s="865"/>
      <c r="F41" s="865"/>
      <c r="G41" s="865"/>
      <c r="H41" s="865"/>
      <c r="I41" s="865"/>
      <c r="J41" s="865"/>
      <c r="K41" s="865"/>
      <c r="L41" s="865"/>
      <c r="M41" s="865"/>
      <c r="N41" s="865"/>
      <c r="O41" s="865"/>
      <c r="P41" s="865"/>
      <c r="Q41" s="865"/>
      <c r="R41" s="866"/>
      <c r="S41" s="514"/>
      <c r="T41" s="894" t="s">
        <v>2370</v>
      </c>
      <c r="U41" s="895"/>
      <c r="V41" s="895"/>
      <c r="W41" s="896"/>
      <c r="X41" s="694">
        <f>$J$11+'Brewhouse Setup &amp; Calcs'!$C$55</f>
        <v>45</v>
      </c>
      <c r="Y41" s="694">
        <f>'Brewhouse Setup &amp; Calcs'!$C$31</f>
        <v>75</v>
      </c>
      <c r="Z41" s="585"/>
      <c r="AA41" s="591"/>
      <c r="AB41" s="877"/>
      <c r="AC41" s="878"/>
    </row>
    <row r="42" spans="1:31" ht="12.75" customHeight="1" x14ac:dyDescent="0.2">
      <c r="A42" s="867"/>
      <c r="B42" s="868"/>
      <c r="C42" s="868"/>
      <c r="D42" s="868"/>
      <c r="E42" s="868"/>
      <c r="F42" s="868"/>
      <c r="G42" s="868"/>
      <c r="H42" s="868"/>
      <c r="I42" s="868"/>
      <c r="J42" s="868"/>
      <c r="K42" s="868"/>
      <c r="L42" s="868"/>
      <c r="M42" s="868"/>
      <c r="N42" s="868"/>
      <c r="O42" s="868"/>
      <c r="P42" s="868"/>
      <c r="Q42" s="868"/>
      <c r="R42" s="869"/>
      <c r="S42" s="514"/>
      <c r="T42" s="897" t="s">
        <v>2371</v>
      </c>
      <c r="U42" s="898"/>
      <c r="V42" s="898"/>
      <c r="W42" s="899"/>
      <c r="X42" s="997"/>
      <c r="Y42" s="998"/>
      <c r="Z42" s="585"/>
      <c r="AA42" s="591"/>
      <c r="AB42" s="879"/>
      <c r="AC42" s="880"/>
    </row>
    <row r="43" spans="1:31" ht="13.15" customHeight="1" x14ac:dyDescent="0.2">
      <c r="A43" s="867"/>
      <c r="B43" s="868"/>
      <c r="C43" s="868"/>
      <c r="D43" s="868"/>
      <c r="E43" s="868"/>
      <c r="F43" s="868"/>
      <c r="G43" s="868"/>
      <c r="H43" s="868"/>
      <c r="I43" s="868"/>
      <c r="J43" s="868"/>
      <c r="K43" s="868"/>
      <c r="L43" s="868"/>
      <c r="M43" s="868"/>
      <c r="N43" s="868"/>
      <c r="O43" s="868"/>
      <c r="P43" s="868"/>
      <c r="Q43" s="868"/>
      <c r="R43" s="869"/>
      <c r="S43" s="514"/>
      <c r="T43" s="991" t="s">
        <v>2353</v>
      </c>
      <c r="U43" s="993" t="s">
        <v>2294</v>
      </c>
      <c r="V43" s="993"/>
      <c r="W43" s="994"/>
      <c r="X43" s="722">
        <f>IF(NOT(ISNUMBER($J$12)),"",1+('Grain &amp; Sugar Calcs'!$L$17*(1-$J$12)/1000))</f>
        <v>1.0077188976054727</v>
      </c>
      <c r="Y43" s="577"/>
      <c r="Z43" s="595"/>
      <c r="AA43" s="591"/>
      <c r="AB43" s="694" t="str">
        <f>'Brewhouse Setup &amp; Calcs'!$C$4</f>
        <v>°F</v>
      </c>
      <c r="AC43" s="720" t="str">
        <f>IF(OR(ISBLANK(Z43),ISBLANK(AA43)),"",'Brewhouse Setup &amp; Calcs'!$C$35+IF('Brewhouse Setup &amp; Calcs'!$C$2="US Customary", (Z43*((1.00130346-0.000134722124*AA43+0.00000204052596*AA43^2-0.00000000232820948*AA43^3)/(1.00130346-0.000134722124*'Brewhouse Setup &amp; Calcs'!$C$34+0.00000204052596*'Brewhouse Setup &amp; Calcs'!$C$34^2-0.00000000232820948*'Brewhouse Setup &amp; Calcs'!$C$34^3))), (Z43*((1.00130346-0.000134722124*((AA43* 9/5)+32)+0.00000204052596*((AA43* 9/5)+32)^2-0.00000000232820948*((AA43* 9/5)+32)^3)/(1.00130346-0.000134722124*(('Brewhouse Setup &amp; Calcs'!$C$34* 9/5)+32)+0.00000204052596*(('Brewhouse Setup &amp; Calcs'!$C$34* 9/5)+32)^2-0.00000000232820948*(('Brewhouse Setup &amp; Calcs'!$C$34* 9/5)+32)^3)))))</f>
        <v/>
      </c>
    </row>
    <row r="44" spans="1:31" ht="12.75" customHeight="1" x14ac:dyDescent="0.2">
      <c r="A44" s="867"/>
      <c r="B44" s="868"/>
      <c r="C44" s="868"/>
      <c r="D44" s="868"/>
      <c r="E44" s="868"/>
      <c r="F44" s="868"/>
      <c r="G44" s="868"/>
      <c r="H44" s="868"/>
      <c r="I44" s="868"/>
      <c r="J44" s="868"/>
      <c r="K44" s="868"/>
      <c r="L44" s="868"/>
      <c r="M44" s="868"/>
      <c r="N44" s="868"/>
      <c r="O44" s="868"/>
      <c r="P44" s="868"/>
      <c r="Q44" s="868"/>
      <c r="R44" s="869"/>
      <c r="S44" s="514"/>
      <c r="T44" s="992"/>
      <c r="U44" s="993" t="s">
        <v>2281</v>
      </c>
      <c r="V44" s="993"/>
      <c r="W44" s="994"/>
      <c r="X44" s="694">
        <f>IF(NOT(ISNUMBER($J$12)),"",(((182.4601*$X$43-775.6821)*$X$43+1262.7794)*$X$43-669.5622))</f>
        <v>1.979297342770451</v>
      </c>
      <c r="Y44" s="571" t="s">
        <v>121</v>
      </c>
      <c r="Z44" s="588"/>
      <c r="AA44" s="570" t="s">
        <v>121</v>
      </c>
      <c r="AB44" s="577"/>
      <c r="AC44" s="720" t="str">
        <f>IF($Z$44=0,"",1-0.0044993*($Z$37/'Brewhouse Setup &amp; Calcs'!$C$36)+0.011774*($Z$44/'Brewhouse Setup &amp; Calcs'!$C$36)+0.00027581*($Z$37/'Brewhouse Setup &amp; Calcs'!$C$36)^2-0.0012717*($Z$44/'Brewhouse Setup &amp; Calcs'!$C$36)^2-0.00000728*($Z$37/'Brewhouse Setup &amp; Calcs'!$C$36)^3+0.000063293*($Z$44/'Brewhouse Setup &amp; Calcs'!$C$36)^3)</f>
        <v/>
      </c>
    </row>
    <row r="45" spans="1:31" ht="12.75" customHeight="1" x14ac:dyDescent="0.2">
      <c r="A45" s="867"/>
      <c r="B45" s="868"/>
      <c r="C45" s="868"/>
      <c r="D45" s="868"/>
      <c r="E45" s="868"/>
      <c r="F45" s="868"/>
      <c r="G45" s="868"/>
      <c r="H45" s="868"/>
      <c r="I45" s="868"/>
      <c r="J45" s="868"/>
      <c r="K45" s="868"/>
      <c r="L45" s="868"/>
      <c r="M45" s="868"/>
      <c r="N45" s="868"/>
      <c r="O45" s="868"/>
      <c r="P45" s="868"/>
      <c r="Q45" s="868"/>
      <c r="R45" s="869"/>
      <c r="S45" s="470"/>
      <c r="T45" s="890" t="s">
        <v>2264</v>
      </c>
      <c r="U45" s="891"/>
      <c r="V45" s="891"/>
      <c r="W45" s="892"/>
      <c r="X45" s="694">
        <f>'Brewhouse Setup &amp; Calcs'!$C$18</f>
        <v>42</v>
      </c>
      <c r="Y45" s="694" t="str">
        <f>'Brewhouse Setup &amp; Calcs'!$C$5</f>
        <v>qt</v>
      </c>
      <c r="Z45" s="585"/>
      <c r="AA45" s="694" t="str">
        <f>'Brewhouse Setup &amp; Calcs'!$C$5</f>
        <v>qt</v>
      </c>
      <c r="AB45" s="989"/>
      <c r="AC45" s="990"/>
    </row>
    <row r="46" spans="1:31" ht="12.75" customHeight="1" x14ac:dyDescent="0.2">
      <c r="A46" s="867"/>
      <c r="B46" s="868"/>
      <c r="C46" s="868"/>
      <c r="D46" s="868"/>
      <c r="E46" s="868"/>
      <c r="F46" s="868"/>
      <c r="G46" s="868"/>
      <c r="H46" s="868"/>
      <c r="I46" s="868"/>
      <c r="J46" s="868"/>
      <c r="K46" s="868"/>
      <c r="L46" s="868"/>
      <c r="M46" s="868"/>
      <c r="N46" s="868"/>
      <c r="O46" s="868"/>
      <c r="P46" s="868"/>
      <c r="Q46" s="868"/>
      <c r="R46" s="869"/>
      <c r="S46" s="470"/>
    </row>
    <row r="47" spans="1:31" x14ac:dyDescent="0.2">
      <c r="A47" s="867"/>
      <c r="B47" s="868"/>
      <c r="C47" s="868"/>
      <c r="D47" s="868"/>
      <c r="E47" s="868"/>
      <c r="F47" s="868"/>
      <c r="G47" s="868"/>
      <c r="H47" s="868"/>
      <c r="I47" s="868"/>
      <c r="J47" s="868"/>
      <c r="K47" s="868"/>
      <c r="L47" s="868"/>
      <c r="M47" s="868"/>
      <c r="N47" s="868"/>
      <c r="O47" s="868"/>
      <c r="P47" s="868"/>
      <c r="Q47" s="868"/>
      <c r="R47" s="869"/>
      <c r="S47" s="470"/>
    </row>
    <row r="48" spans="1:31" ht="12.75" customHeight="1" x14ac:dyDescent="0.2">
      <c r="A48" s="867"/>
      <c r="B48" s="868"/>
      <c r="C48" s="868"/>
      <c r="D48" s="868"/>
      <c r="E48" s="868"/>
      <c r="F48" s="868"/>
      <c r="G48" s="868"/>
      <c r="H48" s="868"/>
      <c r="I48" s="868"/>
      <c r="J48" s="868"/>
      <c r="K48" s="868"/>
      <c r="L48" s="868"/>
      <c r="M48" s="868"/>
      <c r="N48" s="868"/>
      <c r="O48" s="868"/>
      <c r="P48" s="868"/>
      <c r="Q48" s="868"/>
      <c r="R48" s="869"/>
      <c r="S48" s="470"/>
    </row>
    <row r="49" spans="1:48" x14ac:dyDescent="0.2">
      <c r="A49" s="867"/>
      <c r="B49" s="868"/>
      <c r="C49" s="868"/>
      <c r="D49" s="868"/>
      <c r="E49" s="868"/>
      <c r="F49" s="868"/>
      <c r="G49" s="868"/>
      <c r="H49" s="868"/>
      <c r="I49" s="868"/>
      <c r="J49" s="868"/>
      <c r="K49" s="868"/>
      <c r="L49" s="868"/>
      <c r="M49" s="868"/>
      <c r="N49" s="868"/>
      <c r="O49" s="868"/>
      <c r="P49" s="868"/>
      <c r="Q49" s="868"/>
      <c r="R49" s="869"/>
    </row>
    <row r="50" spans="1:48" ht="12.75" customHeight="1" x14ac:dyDescent="0.2">
      <c r="A50" s="867"/>
      <c r="B50" s="868"/>
      <c r="C50" s="868"/>
      <c r="D50" s="868"/>
      <c r="E50" s="868"/>
      <c r="F50" s="868"/>
      <c r="G50" s="868"/>
      <c r="H50" s="868"/>
      <c r="I50" s="868"/>
      <c r="J50" s="868"/>
      <c r="K50" s="868"/>
      <c r="L50" s="868"/>
      <c r="M50" s="868"/>
      <c r="N50" s="868"/>
      <c r="O50" s="868"/>
      <c r="P50" s="868"/>
      <c r="Q50" s="868"/>
      <c r="R50" s="869"/>
      <c r="AV50" s="27"/>
    </row>
    <row r="51" spans="1:48" x14ac:dyDescent="0.2">
      <c r="A51" s="870"/>
      <c r="B51" s="871"/>
      <c r="C51" s="871"/>
      <c r="D51" s="871"/>
      <c r="E51" s="871"/>
      <c r="F51" s="871"/>
      <c r="G51" s="871"/>
      <c r="H51" s="871"/>
      <c r="I51" s="871"/>
      <c r="J51" s="871"/>
      <c r="K51" s="871"/>
      <c r="L51" s="871"/>
      <c r="M51" s="871"/>
      <c r="N51" s="871"/>
      <c r="O51" s="871"/>
      <c r="P51" s="871"/>
      <c r="Q51" s="871"/>
      <c r="R51" s="872"/>
    </row>
    <row r="52" spans="1:48" ht="12.75" customHeight="1" x14ac:dyDescent="0.2"/>
    <row r="53" spans="1:48" ht="13.5" customHeight="1" x14ac:dyDescent="0.2"/>
    <row r="55" spans="1:48" ht="12.75" customHeight="1" x14ac:dyDescent="0.2"/>
    <row r="56" spans="1:48" x14ac:dyDescent="0.2">
      <c r="AF56" s="32"/>
    </row>
    <row r="57" spans="1:48" ht="12.75" customHeight="1" x14ac:dyDescent="0.2"/>
    <row r="59" spans="1:48" ht="12.75" customHeight="1" x14ac:dyDescent="0.2"/>
    <row r="65" ht="12.75" customHeight="1" x14ac:dyDescent="0.2"/>
  </sheetData>
  <sheetProtection sheet="1" objects="1" scenarios="1"/>
  <dataConsolidate/>
  <mergeCells count="210">
    <mergeCell ref="T4:AC4"/>
    <mergeCell ref="X29:Y29"/>
    <mergeCell ref="V24:W24"/>
    <mergeCell ref="V25:W25"/>
    <mergeCell ref="AB7:AC8"/>
    <mergeCell ref="T6:AC6"/>
    <mergeCell ref="J22:K22"/>
    <mergeCell ref="J24:K24"/>
    <mergeCell ref="H17:J17"/>
    <mergeCell ref="H16:I16"/>
    <mergeCell ref="H4:K4"/>
    <mergeCell ref="H10:I10"/>
    <mergeCell ref="H11:I11"/>
    <mergeCell ref="H6:I6"/>
    <mergeCell ref="H9:I9"/>
    <mergeCell ref="G21:H21"/>
    <mergeCell ref="G20:H20"/>
    <mergeCell ref="H8:I8"/>
    <mergeCell ref="I19:I20"/>
    <mergeCell ref="H7:I7"/>
    <mergeCell ref="Q6:Q7"/>
    <mergeCell ref="X26:X27"/>
    <mergeCell ref="T24:T27"/>
    <mergeCell ref="U24:U25"/>
    <mergeCell ref="T2:W2"/>
    <mergeCell ref="Z2:AC2"/>
    <mergeCell ref="X2:Y2"/>
    <mergeCell ref="J40:K40"/>
    <mergeCell ref="A38:G38"/>
    <mergeCell ref="H39:I39"/>
    <mergeCell ref="H36:I36"/>
    <mergeCell ref="H37:I37"/>
    <mergeCell ref="H38:I38"/>
    <mergeCell ref="L27:M40"/>
    <mergeCell ref="T38:AC38"/>
    <mergeCell ref="U37:W37"/>
    <mergeCell ref="A40:G40"/>
    <mergeCell ref="H40:I40"/>
    <mergeCell ref="A37:G37"/>
    <mergeCell ref="A32:D32"/>
    <mergeCell ref="G32:H32"/>
    <mergeCell ref="J32:K32"/>
    <mergeCell ref="J34:K34"/>
    <mergeCell ref="A34:G34"/>
    <mergeCell ref="W7:Z7"/>
    <mergeCell ref="W8:X8"/>
    <mergeCell ref="Y8:Z8"/>
    <mergeCell ref="T7:V7"/>
    <mergeCell ref="AB45:AC45"/>
    <mergeCell ref="T34:T35"/>
    <mergeCell ref="Z29:AA29"/>
    <mergeCell ref="U30:W30"/>
    <mergeCell ref="U31:W31"/>
    <mergeCell ref="T36:T37"/>
    <mergeCell ref="T43:T44"/>
    <mergeCell ref="U44:W44"/>
    <mergeCell ref="U32:W32"/>
    <mergeCell ref="T30:T33"/>
    <mergeCell ref="AB30:AC33"/>
    <mergeCell ref="X42:Y42"/>
    <mergeCell ref="AB29:AC29"/>
    <mergeCell ref="T29:W29"/>
    <mergeCell ref="U36:W36"/>
    <mergeCell ref="U43:W43"/>
    <mergeCell ref="Z39:AA39"/>
    <mergeCell ref="U33:W33"/>
    <mergeCell ref="U34:W35"/>
    <mergeCell ref="T28:AC28"/>
    <mergeCell ref="A11:D11"/>
    <mergeCell ref="F5:F6"/>
    <mergeCell ref="A12:D12"/>
    <mergeCell ref="A25:D25"/>
    <mergeCell ref="F19:F20"/>
    <mergeCell ref="E19:E20"/>
    <mergeCell ref="A19:D20"/>
    <mergeCell ref="A5:D6"/>
    <mergeCell ref="A8:D8"/>
    <mergeCell ref="A9:D9"/>
    <mergeCell ref="A10:D10"/>
    <mergeCell ref="J19:K20"/>
    <mergeCell ref="H13:I13"/>
    <mergeCell ref="H12:I12"/>
    <mergeCell ref="A18:K18"/>
    <mergeCell ref="A13:D13"/>
    <mergeCell ref="A14:D14"/>
    <mergeCell ref="H14:I14"/>
    <mergeCell ref="H15:I15"/>
    <mergeCell ref="A16:D16"/>
    <mergeCell ref="A15:D15"/>
    <mergeCell ref="O13:P13"/>
    <mergeCell ref="A21:D21"/>
    <mergeCell ref="A39:G39"/>
    <mergeCell ref="J36:K36"/>
    <mergeCell ref="AB40:AC42"/>
    <mergeCell ref="AF26:AH26"/>
    <mergeCell ref="AE8:AF8"/>
    <mergeCell ref="AB16:AC16"/>
    <mergeCell ref="Z16:AA16"/>
    <mergeCell ref="X16:Y16"/>
    <mergeCell ref="U26:W27"/>
    <mergeCell ref="T15:AC15"/>
    <mergeCell ref="T16:W17"/>
    <mergeCell ref="T8:T9"/>
    <mergeCell ref="AB23:AC23"/>
    <mergeCell ref="U23:W23"/>
    <mergeCell ref="U18:W18"/>
    <mergeCell ref="Y26:Y27"/>
    <mergeCell ref="T18:T23"/>
    <mergeCell ref="AA26:AB26"/>
    <mergeCell ref="AA27:AB27"/>
    <mergeCell ref="U22:W22"/>
    <mergeCell ref="J39:K39"/>
    <mergeCell ref="A35:G35"/>
    <mergeCell ref="A36:G36"/>
    <mergeCell ref="G26:H26"/>
    <mergeCell ref="J1:O1"/>
    <mergeCell ref="J2:O2"/>
    <mergeCell ref="L6:M7"/>
    <mergeCell ref="L4:M4"/>
    <mergeCell ref="O5:R5"/>
    <mergeCell ref="Q2:S2"/>
    <mergeCell ref="A4:F4"/>
    <mergeCell ref="Q1:S1"/>
    <mergeCell ref="O6:P7"/>
    <mergeCell ref="O4:R4"/>
    <mergeCell ref="B1:F1"/>
    <mergeCell ref="A7:D7"/>
    <mergeCell ref="A29:D29"/>
    <mergeCell ref="A26:D26"/>
    <mergeCell ref="A30:D30"/>
    <mergeCell ref="J31:K31"/>
    <mergeCell ref="G29:H29"/>
    <mergeCell ref="A31:D31"/>
    <mergeCell ref="J37:K37"/>
    <mergeCell ref="J38:K38"/>
    <mergeCell ref="G27:H27"/>
    <mergeCell ref="A27:D27"/>
    <mergeCell ref="G28:H28"/>
    <mergeCell ref="H34:I34"/>
    <mergeCell ref="J35:K35"/>
    <mergeCell ref="A28:D28"/>
    <mergeCell ref="J27:K27"/>
    <mergeCell ref="O32:P32"/>
    <mergeCell ref="O33:P33"/>
    <mergeCell ref="O28:R28"/>
    <mergeCell ref="J30:K30"/>
    <mergeCell ref="J29:K29"/>
    <mergeCell ref="O34:P34"/>
    <mergeCell ref="O31:R31"/>
    <mergeCell ref="O29:P29"/>
    <mergeCell ref="H35:I35"/>
    <mergeCell ref="G31:H31"/>
    <mergeCell ref="G30:H30"/>
    <mergeCell ref="J28:K28"/>
    <mergeCell ref="G19:H19"/>
    <mergeCell ref="A23:D23"/>
    <mergeCell ref="J26:K26"/>
    <mergeCell ref="J23:K23"/>
    <mergeCell ref="J21:K21"/>
    <mergeCell ref="A24:D24"/>
    <mergeCell ref="G22:H22"/>
    <mergeCell ref="J25:K25"/>
    <mergeCell ref="G24:H24"/>
    <mergeCell ref="A22:D22"/>
    <mergeCell ref="G23:H23"/>
    <mergeCell ref="G25:H25"/>
    <mergeCell ref="L10:M12"/>
    <mergeCell ref="O24:P24"/>
    <mergeCell ref="O22:P22"/>
    <mergeCell ref="O27:R27"/>
    <mergeCell ref="O26:R26"/>
    <mergeCell ref="O16:R16"/>
    <mergeCell ref="R6:R7"/>
    <mergeCell ref="O19:P19"/>
    <mergeCell ref="O20:P20"/>
    <mergeCell ref="L23:M26"/>
    <mergeCell ref="O10:P10"/>
    <mergeCell ref="O21:P21"/>
    <mergeCell ref="O23:P23"/>
    <mergeCell ref="O17:P17"/>
    <mergeCell ref="O18:P18"/>
    <mergeCell ref="O14:P14"/>
    <mergeCell ref="O9:P9"/>
    <mergeCell ref="O11:P11"/>
    <mergeCell ref="O12:P12"/>
    <mergeCell ref="O8:P8"/>
    <mergeCell ref="AE32:AG32"/>
    <mergeCell ref="AE30:AH30"/>
    <mergeCell ref="AE22:AG22"/>
    <mergeCell ref="AE15:AF15"/>
    <mergeCell ref="T1:AC1"/>
    <mergeCell ref="A41:R51"/>
    <mergeCell ref="AC26:AC27"/>
    <mergeCell ref="AB11:AC14"/>
    <mergeCell ref="AE7:AH7"/>
    <mergeCell ref="AE6:AH6"/>
    <mergeCell ref="AG8:AH8"/>
    <mergeCell ref="AE24:AJ24"/>
    <mergeCell ref="T45:W45"/>
    <mergeCell ref="AE25:AH25"/>
    <mergeCell ref="AE27:AH27"/>
    <mergeCell ref="AE28:AH28"/>
    <mergeCell ref="T41:W41"/>
    <mergeCell ref="T42:W42"/>
    <mergeCell ref="X39:Y39"/>
    <mergeCell ref="AB39:AC39"/>
    <mergeCell ref="T39:W40"/>
    <mergeCell ref="U19:W19"/>
    <mergeCell ref="U20:W20"/>
    <mergeCell ref="U21:W21"/>
  </mergeCells>
  <phoneticPr fontId="49" type="noConversion"/>
  <conditionalFormatting sqref="J8:K8">
    <cfRule type="expression" dxfId="81" priority="15">
      <formula>OR($J$8&lt;$L$8,$J$8&gt;$M$8)</formula>
    </cfRule>
  </conditionalFormatting>
  <conditionalFormatting sqref="J9:K9">
    <cfRule type="expression" dxfId="80" priority="72">
      <formula>OR($J$9&lt;$L$9,$J$9&gt;$M$9)</formula>
    </cfRule>
  </conditionalFormatting>
  <conditionalFormatting sqref="J13:K13">
    <cfRule type="expression" dxfId="79" priority="71">
      <formula>OR($J$13&lt;$L$13,$J$13&gt;$M$13)</formula>
    </cfRule>
  </conditionalFormatting>
  <conditionalFormatting sqref="J14:K14">
    <cfRule type="expression" dxfId="78" priority="70">
      <formula>OR($J$14&lt;$L$14,$J$14&gt;$M$14)</formula>
    </cfRule>
  </conditionalFormatting>
  <conditionalFormatting sqref="J15:K16">
    <cfRule type="expression" dxfId="77" priority="69">
      <formula>OR($J$15&lt;$L$15,$J$15&gt;$M$15)</formula>
    </cfRule>
  </conditionalFormatting>
  <conditionalFormatting sqref="K17">
    <cfRule type="expression" dxfId="76" priority="1">
      <formula>OR($J$15&lt;$L$15,$J$15&gt;$M$15)</formula>
    </cfRule>
  </conditionalFormatting>
  <conditionalFormatting sqref="T18">
    <cfRule type="expression" dxfId="75" priority="266">
      <formula>#REF!="Extract"</formula>
    </cfRule>
    <cfRule type="expression" dxfId="74" priority="267">
      <formula>#REF!="BIAB"</formula>
    </cfRule>
  </conditionalFormatting>
  <conditionalFormatting sqref="Y11:Z11">
    <cfRule type="expression" dxfId="72" priority="11">
      <formula>$W$11=""</formula>
    </cfRule>
  </conditionalFormatting>
  <conditionalFormatting sqref="Y12:Z12">
    <cfRule type="expression" dxfId="71" priority="10">
      <formula>$W$12=""</formula>
    </cfRule>
  </conditionalFormatting>
  <conditionalFormatting sqref="Y13:Z13">
    <cfRule type="expression" dxfId="70" priority="9">
      <formula>$W$13=""</formula>
    </cfRule>
  </conditionalFormatting>
  <conditionalFormatting sqref="Y14:Z14">
    <cfRule type="expression" dxfId="69" priority="8">
      <formula>$W$14=""</formula>
    </cfRule>
  </conditionalFormatting>
  <conditionalFormatting sqref="Z21">
    <cfRule type="expression" dxfId="68" priority="3">
      <formula>$T$18="Fly Sparge"</formula>
    </cfRule>
  </conditionalFormatting>
  <conditionalFormatting sqref="Z26">
    <cfRule type="expression" dxfId="67" priority="36">
      <formula>$Z$26&lt;&gt;""</formula>
    </cfRule>
  </conditionalFormatting>
  <conditionalFormatting sqref="Z27">
    <cfRule type="expression" dxfId="66" priority="32">
      <formula>AND($AC$24="",$Z$27&lt;&gt;"")</formula>
    </cfRule>
  </conditionalFormatting>
  <conditionalFormatting sqref="Z19:AA21">
    <cfRule type="expression" dxfId="63" priority="269">
      <formula>OR($T$18="No Sparge",$T$18="Fly Sparge",$T$18="NA")</formula>
    </cfRule>
  </conditionalFormatting>
  <conditionalFormatting sqref="AA11">
    <cfRule type="expression" dxfId="62" priority="7">
      <formula>$U$11=""</formula>
    </cfRule>
  </conditionalFormatting>
  <conditionalFormatting sqref="AA12">
    <cfRule type="expression" dxfId="61" priority="6">
      <formula>$U$12=""</formula>
    </cfRule>
  </conditionalFormatting>
  <conditionalFormatting sqref="AA13">
    <cfRule type="expression" dxfId="60" priority="5">
      <formula>$U$13=""</formula>
    </cfRule>
  </conditionalFormatting>
  <conditionalFormatting sqref="AA14">
    <cfRule type="expression" dxfId="59" priority="4">
      <formula>$U$14=""</formula>
    </cfRule>
  </conditionalFormatting>
  <conditionalFormatting sqref="AC24">
    <cfRule type="expression" dxfId="58" priority="270">
      <formula>$AC$24&lt;&gt;""</formula>
    </cfRule>
  </conditionalFormatting>
  <conditionalFormatting sqref="AC25">
    <cfRule type="expression" dxfId="57" priority="33">
      <formula>AND(($AC$24=""),($AC$25&lt;&gt;""))</formula>
    </cfRule>
  </conditionalFormatting>
  <conditionalFormatting sqref="AC36">
    <cfRule type="expression" dxfId="56" priority="14">
      <formula>$AC$36&lt;&gt;""</formula>
    </cfRule>
  </conditionalFormatting>
  <conditionalFormatting sqref="AC37">
    <cfRule type="expression" dxfId="55" priority="273">
      <formula>AND($AC$36="",$AC$37&lt;&gt;"")</formula>
    </cfRule>
  </conditionalFormatting>
  <conditionalFormatting sqref="AC43">
    <cfRule type="expression" dxfId="54" priority="13">
      <formula>$AC$43&lt;&gt;""</formula>
    </cfRule>
  </conditionalFormatting>
  <conditionalFormatting sqref="AC44">
    <cfRule type="expression" dxfId="53" priority="12">
      <formula>AND($AC$43="",$AC$44&lt;&gt;"")</formula>
    </cfRule>
  </conditionalFormatting>
  <conditionalFormatting sqref="AI27">
    <cfRule type="expression" dxfId="51" priority="20">
      <formula>$AI$27&gt;0</formula>
    </cfRule>
  </conditionalFormatting>
  <conditionalFormatting sqref="AI28">
    <cfRule type="expression" dxfId="50" priority="19">
      <formula>$AI$28&gt;0</formula>
    </cfRule>
  </conditionalFormatting>
  <dataValidations xWindow="1040" yWindow="719" count="24">
    <dataValidation allowBlank="1" showInputMessage="1" showErrorMessage="1" promptTitle="Hydrometer Sample Temperature" prompt="Temperature of sample in hydrometer flask." sqref="Y36" xr:uid="{3DC86975-0BEA-4B25-923C-794D631ED61C}"/>
    <dataValidation type="decimal" operator="greaterThanOrEqual" allowBlank="1" showInputMessage="1" showErrorMessage="1" prompt="NOTE: Your recorded Brix value will be MUCH higher than the predicted value. This is due to the alcohol throwing off the reading. The FG conversion below takes into account this discrepancy." sqref="Z44" xr:uid="{D734160D-D0D9-49A4-81BD-7839818217FC}">
      <formula1>0</formula1>
    </dataValidation>
    <dataValidation type="decimal" allowBlank="1" showInputMessage="1" showErrorMessage="1" sqref="Z43" xr:uid="{61621E04-1CAF-4B8F-A1B1-AB209BB99670}">
      <formula1>1</formula1>
      <formula2>1.2</formula2>
    </dataValidation>
    <dataValidation type="decimal" allowBlank="1" showInputMessage="1" showErrorMessage="1" sqref="AC10" xr:uid="{A87F019B-DEA0-4398-A38B-E7BA319D877B}">
      <formula1>0</formula1>
      <formula2>14</formula2>
    </dataValidation>
    <dataValidation type="decimal" operator="greaterThanOrEqual" allowBlank="1" showInputMessage="1" showErrorMessage="1" sqref="Z25 Z41:Z42 Z45 Z19:AA21 Y11:AA14" xr:uid="{8FEF9EF6-072F-404F-99B0-2ADAF7557604}">
      <formula1>0</formula1>
    </dataValidation>
    <dataValidation type="decimal" allowBlank="1" showInputMessage="1" showErrorMessage="1" sqref="Z22 AA41:AA42" xr:uid="{B707B79F-92DF-47EB-BD4F-CE32A2AE76E0}">
      <formula1>0</formula1>
      <formula2>212</formula2>
    </dataValidation>
    <dataValidation type="whole" operator="greaterThanOrEqual" allowBlank="1" showInputMessage="1" showErrorMessage="1" promptTitle="Boil Time" prompt="The length of the boil in minutes." sqref="Z31" xr:uid="{0AF6511F-53B3-4774-9940-5EDDC34B1C29}">
      <formula1>0</formula1>
    </dataValidation>
    <dataValidation type="list" allowBlank="1" showInputMessage="1" showErrorMessage="1" sqref="AD30" xr:uid="{D9205980-84DF-4D37-B944-7959C677F517}">
      <formula1>Sugars_Only</formula1>
    </dataValidation>
    <dataValidation type="decimal" operator="greaterThanOrEqual" allowBlank="1" showInputMessage="1" showErrorMessage="1" promptTitle="End of Boil Volume" prompt="Volume in kettle at end of boil. If using an immersion chiller, this will be the measurement taken with the IC in the kettle. Chiller displacement is accounted for if one is entered in the chiller's equipment profile and the chiller type is 'Immersion'." sqref="Z32" xr:uid="{76775655-EDC9-46EA-9651-4E1CD8AEAB79}">
      <formula1>0</formula1>
    </dataValidation>
    <dataValidation type="decimal" operator="greaterThanOrEqual" allowBlank="1" showInputMessage="1" showErrorMessage="1" promptTitle="Start Volume" prompt="Volume measured at the start of the boil." sqref="Z30" xr:uid="{18973F6E-F8A7-445E-9144-81DF59069FFA}">
      <formula1>0</formula1>
    </dataValidation>
    <dataValidation type="decimal" operator="greaterThan" allowBlank="1" showInputMessage="1" showErrorMessage="1" promptTitle="Chilled Volume" prompt="The volume measured after chilling with the immersion chiller removed from the kettle." sqref="Z34" xr:uid="{E8FAD367-45A1-475F-A895-EFEEF980D279}">
      <formula1>0</formula1>
    </dataValidation>
    <dataValidation type="decimal" allowBlank="1" showInputMessage="1" showErrorMessage="1" promptTitle="O.G. Hydrometer Reading" prompt="Original Gravity reading of sample." sqref="Z36" xr:uid="{B861211B-756B-437B-A145-7A6A6F1EB27C}">
      <formula1>1</formula1>
      <formula2>1.2</formula2>
    </dataValidation>
    <dataValidation type="decimal" operator="greaterThan" allowBlank="1" showInputMessage="1" showErrorMessage="1" promptTitle="O.G. Hydrometer Temperature" prompt="Temperature of sample." sqref="AA36" xr:uid="{99EC5B2D-A924-4EC5-ADEE-0CE8B5CFE6FA}">
      <formula1>0</formula1>
    </dataValidation>
    <dataValidation type="decimal" operator="greaterThanOrEqual" allowBlank="1" showInputMessage="1" showErrorMessage="1" promptTitle="O.G. Refractometer Reading" prompt="Original Gravity reading of sample." sqref="Z37" xr:uid="{98358808-32A3-4495-BD2F-F8D36D7F6336}">
      <formula1>0</formula1>
    </dataValidation>
    <dataValidation type="decimal" allowBlank="1" showInputMessage="1" showErrorMessage="1" promptTitle="S.G. of Lautered Wort" prompt="Specific Gravity reading of lautered sample." sqref="Z24" xr:uid="{CAB5FBD6-A869-41D5-AB62-2511358D5A41}">
      <formula1>1</formula1>
      <formula2>1.2</formula2>
    </dataValidation>
    <dataValidation allowBlank="1" showInputMessage="1" showErrorMessage="1" promptTitle="Temperature of S.G. Sample" prompt="Temperature of measured wort sample." sqref="AA24" xr:uid="{178F6A27-E8FB-433C-9052-CD6ED1101BBA}"/>
    <dataValidation allowBlank="1" showInputMessage="1" showErrorMessage="1" promptTitle="Total Water Required" prompt="Total amount of water required for the batch. If using a No Sparge system/method, you add the whole amount to the vessel. Otherwise, follow the Strike and Sparge Water schedules." sqref="Z5" xr:uid="{81F819B2-6DE7-4F9F-92AD-AD53D76939E7}"/>
    <dataValidation type="decimal" operator="greaterThan" allowBlank="1" showInputMessage="1" showErrorMessage="1" promptTitle="Total Water Temperature" prompt="Temperature of your total brewing water." sqref="AB5" xr:uid="{2D0A6486-8A4E-48C5-B7EB-ABCD569182CC}">
      <formula1>0</formula1>
    </dataValidation>
    <dataValidation type="decimal" operator="greaterThanOrEqual" allowBlank="1" showInputMessage="1" showErrorMessage="1" promptTitle="Initial Strike Water" prompt="The first infusion of strike water.  If this is a single step infusion mash, this will be all of the strike water." sqref="Y10" xr:uid="{08F11005-A275-4895-BA98-E9D7605E2F76}">
      <formula1>0</formula1>
    </dataValidation>
    <dataValidation type="decimal" operator="greaterThanOrEqual" allowBlank="1" showInputMessage="1" showErrorMessage="1" promptTitle="Initial Strike Water Temperature" prompt="Temperature of first strike water addition." sqref="Z10" xr:uid="{9F12F417-0158-434A-BD1E-4D09350F0370}">
      <formula1>0</formula1>
    </dataValidation>
    <dataValidation type="decimal" operator="greaterThanOrEqual" allowBlank="1" showInputMessage="1" showErrorMessage="1" promptTitle="Total Sparge Water" prompt="Total amount of Sparge Water added if doing 'No Sparge'. This field may be left blank if sparging." sqref="Z18" xr:uid="{D6EF3FEF-4821-4B4E-9B2E-EF27F25AF0A8}">
      <formula1>0</formula1>
    </dataValidation>
    <dataValidation type="decimal" operator="greaterThan" allowBlank="1" showInputMessage="1" showErrorMessage="1" promptTitle="Sparge Water Temperature" prompt="Temperature of total sparge water if applicable. This may be blank for those Sparging." sqref="AA18" xr:uid="{D6CEF67E-2218-43F3-B949-AA69DE321121}">
      <formula1>0</formula1>
    </dataValidation>
    <dataValidation type="decimal" operator="greaterThanOrEqual" allowBlank="1" showInputMessage="1" showErrorMessage="1" promptTitle="Stabilized Mash Temperature" prompt="Stabilized temperature of combined water and grains." sqref="AA10" xr:uid="{B710E614-0BEF-4125-A8F5-F454AD5130D7}">
      <formula1>0</formula1>
    </dataValidation>
    <dataValidation allowBlank="1" showInputMessage="1" showErrorMessage="1" promptTitle="Total Actual Strike Water Added" prompt="This should match the Designed value in Brewhouse Setup. If not, it'll be flagged as yellow. This is FYI. No corrective action is required at this time. You will have the option later to add water or sugar to adjust volume and gravity if necessary." sqref="AG15" xr:uid="{BD7A200B-5E43-4C31-AA2B-DE2B732E7297}"/>
  </dataValidations>
  <hyperlinks>
    <hyperlink ref="L27" r:id="rId1" xr:uid="{EE35E5F0-8A00-401B-8BE3-81DE80051197}"/>
  </hyperlinks>
  <printOptions horizontalCentered="1" verticalCentered="1"/>
  <pageMargins left="0.38" right="0.38" top="0.6" bottom="0.7" header="0.2" footer="0.2"/>
  <pageSetup scale="75" orientation="landscape" blackAndWhite="1" r:id="rId2"/>
  <headerFooter>
    <oddHeader>&amp;C&amp;"Comic Sans MS,Regular"&amp;14&amp;F&amp;R&amp;D  &amp;T</oddHeader>
    <oddFooter>&amp;LDownload the latest version from
https://beernbbqbylarry.com/downloads/&amp;C&amp;"Arial,Bold"&amp;14BEER-N-BBQ by Larry&amp;11
&amp;"Courier New,Bold"www.beernbbqbylarry.com</oddFooter>
  </headerFooter>
  <ignoredErrors>
    <ignoredError sqref="AB34:AB35" formula="1"/>
  </ignoredErrors>
  <drawing r:id="rId3"/>
  <extLst>
    <ext xmlns:x14="http://schemas.microsoft.com/office/spreadsheetml/2009/9/main" uri="{78C0D931-6437-407d-A8EE-F0AAD7539E65}">
      <x14:conditionalFormattings>
        <x14:conditionalFormatting xmlns:xm="http://schemas.microsoft.com/office/excel/2006/main">
          <x14:cfRule type="cellIs" priority="190" operator="greaterThan" id="{F1EF2A61-0722-4A93-91A8-3D69B82372EC}">
            <xm:f>$C$20+'Brewhouse Setup &amp; Calcs'!$C$21</xm:f>
            <x14:dxf>
              <fill>
                <patternFill>
                  <bgColor rgb="FFFF0000"/>
                </patternFill>
              </fill>
            </x14:dxf>
          </x14:cfRule>
          <xm:sqref>X10</xm:sqref>
        </x14:conditionalFormatting>
        <x14:conditionalFormatting xmlns:xm="http://schemas.microsoft.com/office/excel/2006/main">
          <x14:cfRule type="expression" priority="22" id="{906C22BD-FB99-4AD1-8A1A-B3A4D4B32A8C}">
            <xm:f>NOT('Brewhouse Setup &amp; Calcs'!$C$51="Immersion")</xm:f>
            <x14:dxf>
              <fill>
                <patternFill patternType="lightUp"/>
              </fill>
            </x14:dxf>
          </x14:cfRule>
          <xm:sqref>Z34:Z35</xm:sqref>
        </x14:conditionalFormatting>
        <x14:conditionalFormatting xmlns:xm="http://schemas.microsoft.com/office/excel/2006/main">
          <x14:cfRule type="expression" priority="268" id="{00000000-000E-0000-0100-00000B010000}">
            <xm:f>OR(AND($T$18="No Sparge",VLOOKUP('Brewhouse Setup &amp; Calcs'!$C$11,'Equipment Profiles'!$A$6:$P$25,9)="1 Vessel"),$T$18="Batch Sparge")</xm:f>
            <x14:dxf>
              <font>
                <strike val="0"/>
              </font>
              <fill>
                <patternFill patternType="lightUp"/>
              </fill>
            </x14:dxf>
          </x14:cfRule>
          <xm:sqref>Z18:AA18</xm:sqref>
        </x14:conditionalFormatting>
        <x14:conditionalFormatting xmlns:xm="http://schemas.microsoft.com/office/excel/2006/main">
          <x14:cfRule type="expression" priority="2" id="{2A3B989F-2670-4095-AB4A-A468EF2341A8}">
            <xm:f>OR($AG$15&gt;'Brewhouse Setup &amp; Calcs'!$N$31,$AG$15&lt;'Brewhouse Setup &amp; Calcs'!$N$31)</xm:f>
            <x14:dxf>
              <fill>
                <patternFill>
                  <bgColor rgb="FFFFFF00"/>
                </patternFill>
              </fill>
            </x14:dxf>
          </x14:cfRule>
          <xm:sqref>AG15</xm:sqref>
        </x14:conditionalFormatting>
      </x14:conditionalFormattings>
    </ext>
    <ext xmlns:x14="http://schemas.microsoft.com/office/spreadsheetml/2009/9/main" uri="{CCE6A557-97BC-4b89-ADB6-D9C93CAAB3DF}">
      <x14:dataValidations xmlns:xm="http://schemas.microsoft.com/office/excel/2006/main" xWindow="1040" yWindow="719" count="3">
        <x14:dataValidation type="list" showInputMessage="1" showErrorMessage="1" xr:uid="{00000000-0002-0000-0100-000002000000}">
          <x14:formula1>
            <xm:f>'Yeast List'!$A$2:$A$315</xm:f>
          </x14:formula1>
          <xm:sqref>O28:P28</xm:sqref>
        </x14:dataValidation>
        <x14:dataValidation type="list" showInputMessage="1" showErrorMessage="1" errorTitle="Category" error="Choose a beer category." promptTitle="BJCP Beer Style" prompt="Choose beer style for recipe." xr:uid="{00000000-0002-0000-0100-000000000000}">
          <x14:formula1>
            <xm:f>'BJCP Guidelines'!$A$2:$A$126</xm:f>
          </x14:formula1>
          <xm:sqref>B1</xm:sqref>
        </x14:dataValidation>
        <x14:dataValidation type="list" allowBlank="1" showInputMessage="1" showErrorMessage="1" promptTitle="Select a Sugar Only (No Grains)" prompt="Be sure to only select a sugar (e.g. DME, LME, corn sugar, honey, etc)" xr:uid="{533749B7-C42F-4288-A2E2-D4305D693CD4}">
          <x14:formula1>
            <xm:f>'Grain &amp; Sugar List'!$A$2:$A$247</xm:f>
          </x14:formula1>
          <xm:sqref>AF26:AH26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C8" sqref="C8"/>
    </sheetView>
  </sheetViews>
  <sheetFormatPr defaultRowHeight="12.75" x14ac:dyDescent="0.2"/>
  <cols>
    <col min="2" max="2" width="2.28515625" bestFit="1" customWidth="1"/>
    <col min="3" max="3" width="12" customWidth="1"/>
    <col min="4" max="4" width="11.7109375" customWidth="1"/>
    <col min="5" max="5" width="16" customWidth="1"/>
    <col min="6" max="6" width="4.7109375" customWidth="1"/>
  </cols>
  <sheetData>
    <row r="1" spans="1:8" x14ac:dyDescent="0.2">
      <c r="C1" s="1353" t="s">
        <v>13</v>
      </c>
      <c r="D1" s="1353"/>
      <c r="E1" s="1353"/>
    </row>
    <row r="2" spans="1:8" x14ac:dyDescent="0.2">
      <c r="C2" s="1" t="s">
        <v>2</v>
      </c>
      <c r="D2" s="9">
        <v>12.0107</v>
      </c>
      <c r="E2" s="2" t="s">
        <v>1</v>
      </c>
    </row>
    <row r="3" spans="1:8" x14ac:dyDescent="0.2">
      <c r="C3" s="1" t="s">
        <v>3</v>
      </c>
      <c r="D3" s="9">
        <v>15.9994</v>
      </c>
      <c r="E3" s="2" t="s">
        <v>1</v>
      </c>
    </row>
    <row r="4" spans="1:8" x14ac:dyDescent="0.2">
      <c r="C4" s="1" t="s">
        <v>4</v>
      </c>
      <c r="D4" s="9">
        <v>1.0079400000000001</v>
      </c>
      <c r="E4" s="2" t="s">
        <v>1</v>
      </c>
    </row>
    <row r="5" spans="1:8" ht="23.25" customHeight="1" x14ac:dyDescent="0.2">
      <c r="C5" s="1" t="s">
        <v>5</v>
      </c>
      <c r="D5" s="10">
        <f>6.022*10^23</f>
        <v>6.0219999999999996E+23</v>
      </c>
      <c r="E5" s="10"/>
    </row>
    <row r="6" spans="1:8" ht="14.25" x14ac:dyDescent="0.2">
      <c r="C6" s="1" t="s">
        <v>8</v>
      </c>
      <c r="D6" s="9">
        <v>8.20578E-2</v>
      </c>
      <c r="E6" s="11" t="s">
        <v>9</v>
      </c>
    </row>
    <row r="7" spans="1:8" x14ac:dyDescent="0.2">
      <c r="C7" s="1" t="s">
        <v>10</v>
      </c>
      <c r="D7" s="2">
        <v>293.14999999999998</v>
      </c>
      <c r="E7" s="2" t="s">
        <v>14</v>
      </c>
    </row>
    <row r="8" spans="1:8" x14ac:dyDescent="0.2">
      <c r="C8" s="1" t="s">
        <v>11</v>
      </c>
      <c r="D8" s="9">
        <v>1</v>
      </c>
      <c r="E8" s="2" t="s">
        <v>12</v>
      </c>
    </row>
    <row r="11" spans="1:8" ht="14.25" x14ac:dyDescent="0.25">
      <c r="A11" s="1233" t="s">
        <v>1559</v>
      </c>
      <c r="B11" s="1233"/>
      <c r="C11" s="1233"/>
      <c r="D11" s="1233"/>
      <c r="E11" s="1233"/>
      <c r="F11" s="1233"/>
      <c r="G11" s="1233"/>
      <c r="H11" s="1233"/>
    </row>
    <row r="12" spans="1:8" ht="20.25" customHeight="1" x14ac:dyDescent="0.2">
      <c r="C12" s="4" t="s">
        <v>43</v>
      </c>
      <c r="D12" s="4"/>
      <c r="E12" s="4" t="s">
        <v>7</v>
      </c>
      <c r="G12" t="s">
        <v>44</v>
      </c>
    </row>
    <row r="13" spans="1:8" ht="24" customHeight="1" x14ac:dyDescent="0.2">
      <c r="C13" s="8" t="s">
        <v>39</v>
      </c>
      <c r="D13" s="8" t="s">
        <v>42</v>
      </c>
      <c r="E13" s="8" t="s">
        <v>40</v>
      </c>
      <c r="G13" s="8" t="s">
        <v>41</v>
      </c>
    </row>
    <row r="14" spans="1:8" ht="15" x14ac:dyDescent="0.2">
      <c r="C14" s="4">
        <f>D2*6+D4*12+D3*6</f>
        <v>180.15588</v>
      </c>
      <c r="D14" s="8" t="s">
        <v>42</v>
      </c>
      <c r="E14" s="4">
        <f>2*(D2+D4*3+D2+D4*2+D3+D4)</f>
        <v>92.136879999999991</v>
      </c>
      <c r="F14" s="4" t="s">
        <v>6</v>
      </c>
      <c r="G14" s="4">
        <f>2*(D2+D3*2)</f>
        <v>88.019000000000005</v>
      </c>
      <c r="H14" s="4" t="s">
        <v>1</v>
      </c>
    </row>
    <row r="17" spans="1:7" x14ac:dyDescent="0.2">
      <c r="A17" s="19" t="s">
        <v>1553</v>
      </c>
      <c r="C17" s="28" t="s">
        <v>1554</v>
      </c>
      <c r="E17" s="4" t="s">
        <v>7</v>
      </c>
      <c r="G17" t="s">
        <v>44</v>
      </c>
    </row>
    <row r="18" spans="1:7" ht="19.5" x14ac:dyDescent="0.2">
      <c r="A18" s="8" t="s">
        <v>1555</v>
      </c>
      <c r="B18" s="8" t="s">
        <v>6</v>
      </c>
      <c r="C18" s="8" t="s">
        <v>1556</v>
      </c>
      <c r="D18" s="8" t="s">
        <v>42</v>
      </c>
      <c r="E18" s="8" t="s">
        <v>1557</v>
      </c>
      <c r="F18" s="8" t="s">
        <v>6</v>
      </c>
      <c r="G18" s="8" t="s">
        <v>1558</v>
      </c>
    </row>
    <row r="19" spans="1:7" x14ac:dyDescent="0.2">
      <c r="A19" s="4">
        <f>D4*2+D3</f>
        <v>18.015280000000001</v>
      </c>
      <c r="C19" s="4">
        <f>D2*12+D4*22+D3*11</f>
        <v>342.29647999999997</v>
      </c>
      <c r="E19" s="4">
        <f>4*(D2*2+D4*5+D3+D4)</f>
        <v>184.27375999999998</v>
      </c>
      <c r="G19" s="4">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122"/>
  <sheetViews>
    <sheetView zoomScaleNormal="100" workbookViewId="0">
      <selection activeCell="J26" sqref="J26"/>
    </sheetView>
  </sheetViews>
  <sheetFormatPr defaultRowHeight="12.75" x14ac:dyDescent="0.2"/>
  <cols>
    <col min="1" max="1" width="15.28515625" customWidth="1"/>
    <col min="2" max="2" width="19.7109375" bestFit="1" customWidth="1"/>
    <col min="3" max="3" width="6.7109375" style="4" customWidth="1"/>
    <col min="4" max="4" width="8.5703125" style="4" bestFit="1" customWidth="1"/>
    <col min="5" max="5" width="6.5703125" style="4" customWidth="1"/>
    <col min="6" max="6" width="10" style="4" customWidth="1"/>
    <col min="7" max="7" width="3.7109375" customWidth="1"/>
    <col min="8" max="8" width="6.7109375" customWidth="1"/>
    <col min="9" max="9" width="11.140625" customWidth="1"/>
    <col min="10" max="10" width="6.7109375" style="490" customWidth="1"/>
    <col min="11" max="14" width="6.7109375" customWidth="1"/>
    <col min="15" max="15" width="9.140625" customWidth="1"/>
    <col min="16" max="16" width="11.28515625" customWidth="1"/>
    <col min="17" max="17" width="12.140625" customWidth="1"/>
  </cols>
  <sheetData>
    <row r="1" spans="1:14" ht="17.25" thickTop="1" thickBot="1" x14ac:dyDescent="0.25">
      <c r="B1" s="535" t="s">
        <v>2186</v>
      </c>
      <c r="K1" s="1139" t="s">
        <v>2143</v>
      </c>
      <c r="L1" s="1140"/>
      <c r="M1" s="1140"/>
      <c r="N1" s="1141"/>
    </row>
    <row r="2" spans="1:14" ht="13.5" thickBot="1" x14ac:dyDescent="0.25">
      <c r="B2" s="536" t="s">
        <v>2187</v>
      </c>
      <c r="C2" s="1078" t="s">
        <v>1859</v>
      </c>
      <c r="D2" s="1079"/>
      <c r="E2"/>
      <c r="K2" s="616"/>
      <c r="L2" s="1142" t="s">
        <v>2311</v>
      </c>
      <c r="M2" s="1142"/>
      <c r="N2" s="1143"/>
    </row>
    <row r="3" spans="1:14" ht="13.5" thickTop="1" x14ac:dyDescent="0.2">
      <c r="B3" s="534" t="s">
        <v>113</v>
      </c>
      <c r="C3" s="531" t="s">
        <v>101</v>
      </c>
      <c r="D3"/>
      <c r="E3"/>
      <c r="K3" s="529"/>
      <c r="L3" s="1142" t="s">
        <v>2312</v>
      </c>
      <c r="M3" s="1142"/>
      <c r="N3" s="1143"/>
    </row>
    <row r="4" spans="1:14" x14ac:dyDescent="0.2">
      <c r="B4" s="532" t="s">
        <v>1096</v>
      </c>
      <c r="C4" s="723" t="str">
        <f>IF($C$2="US Customary","°F", IF($C$2="Metric","°C",))</f>
        <v>°F</v>
      </c>
      <c r="F4" s="1162" t="s">
        <v>2315</v>
      </c>
      <c r="G4" s="1163"/>
      <c r="H4" s="1164"/>
      <c r="I4" s="19"/>
      <c r="K4" s="530"/>
      <c r="L4" s="1142" t="s">
        <v>2313</v>
      </c>
      <c r="M4" s="1142"/>
      <c r="N4" s="1143"/>
    </row>
    <row r="5" spans="1:14" x14ac:dyDescent="0.2">
      <c r="B5" s="532" t="s">
        <v>1097</v>
      </c>
      <c r="C5" s="724" t="str">
        <f>IF($C$2="US Customary","qt", IF($C$2="Metric","Liters",))</f>
        <v>qt</v>
      </c>
      <c r="F5" s="1171" t="s">
        <v>2314</v>
      </c>
      <c r="G5" s="1172"/>
      <c r="H5" s="1173"/>
      <c r="I5" s="46"/>
      <c r="K5" s="726"/>
      <c r="L5" s="1142" t="s">
        <v>2241</v>
      </c>
      <c r="M5" s="1142"/>
      <c r="N5" s="1143"/>
    </row>
    <row r="6" spans="1:14" x14ac:dyDescent="0.2">
      <c r="B6" s="532" t="s">
        <v>1098</v>
      </c>
      <c r="C6" s="724" t="str">
        <f>IF($C$2="US Customary","lb", IF($C$2="Metric","kg",))</f>
        <v>lb</v>
      </c>
      <c r="K6" s="538"/>
      <c r="L6" s="1142" t="s">
        <v>2289</v>
      </c>
      <c r="M6" s="1142"/>
      <c r="N6" s="1143"/>
    </row>
    <row r="7" spans="1:14" x14ac:dyDescent="0.2">
      <c r="B7" s="532" t="s">
        <v>1099</v>
      </c>
      <c r="C7" s="724" t="str">
        <f>IF($C$2="US Customary","oz", IF($C$2="Metric","grams",))</f>
        <v>oz</v>
      </c>
      <c r="K7" s="539"/>
      <c r="L7" s="1142" t="s">
        <v>2290</v>
      </c>
      <c r="M7" s="1142"/>
      <c r="N7" s="1143"/>
    </row>
    <row r="8" spans="1:14" ht="13.5" thickBot="1" x14ac:dyDescent="0.25">
      <c r="B8" s="533" t="s">
        <v>1519</v>
      </c>
      <c r="C8" s="725" t="str">
        <f>IF($C$2="US Customary","PSI", IF($C$2="Metric","kPa",))</f>
        <v>PSI</v>
      </c>
      <c r="K8" s="537"/>
      <c r="L8" s="1144" t="s">
        <v>2288</v>
      </c>
      <c r="M8" s="1144"/>
      <c r="N8" s="1145"/>
    </row>
    <row r="9" spans="1:14" ht="14.25" thickTop="1" thickBot="1" x14ac:dyDescent="0.25">
      <c r="B9" s="28"/>
      <c r="C9"/>
    </row>
    <row r="10" spans="1:14" ht="14.25" thickTop="1" thickBot="1" x14ac:dyDescent="0.25">
      <c r="A10" s="1086" t="s">
        <v>2232</v>
      </c>
      <c r="B10" s="1087"/>
      <c r="C10" s="1087"/>
      <c r="D10" s="1087"/>
      <c r="E10" s="1087"/>
      <c r="F10" s="1087"/>
      <c r="G10" s="1087"/>
      <c r="H10" s="1087"/>
      <c r="I10" s="1088"/>
    </row>
    <row r="11" spans="1:14" ht="14.25" thickTop="1" thickBot="1" x14ac:dyDescent="0.25">
      <c r="A11" s="1080" t="s">
        <v>2226</v>
      </c>
      <c r="B11" s="1081"/>
      <c r="C11" s="1089" t="s">
        <v>2446</v>
      </c>
      <c r="D11" s="1090"/>
      <c r="E11" s="1090"/>
      <c r="F11" s="1090"/>
      <c r="G11" s="1090"/>
      <c r="H11" s="1090"/>
      <c r="I11" s="1091"/>
      <c r="K11" s="1182" t="s">
        <v>1221</v>
      </c>
      <c r="L11" s="1183"/>
      <c r="M11" s="1184"/>
    </row>
    <row r="12" spans="1:14" ht="13.5" thickBot="1" x14ac:dyDescent="0.25">
      <c r="A12" s="1084" t="s">
        <v>2227</v>
      </c>
      <c r="B12" s="1085"/>
      <c r="C12" s="1092" t="s">
        <v>2163</v>
      </c>
      <c r="D12" s="1093"/>
      <c r="E12" s="1093"/>
      <c r="F12" s="1093"/>
      <c r="G12" s="1093"/>
      <c r="H12" s="1093"/>
      <c r="I12" s="1094"/>
      <c r="K12" s="1160" t="s">
        <v>1222</v>
      </c>
      <c r="L12" s="1161"/>
      <c r="M12" s="515" t="str">
        <f>IF(AND($C$90&lt;=$C$40*$C$41,$N$31&lt;$O$24),"PASS","FAIL")</f>
        <v>PASS</v>
      </c>
    </row>
    <row r="13" spans="1:14" ht="13.5" thickBot="1" x14ac:dyDescent="0.25">
      <c r="A13" s="1084" t="s">
        <v>2228</v>
      </c>
      <c r="B13" s="1085"/>
      <c r="C13" s="1095" t="s">
        <v>2394</v>
      </c>
      <c r="D13" s="1096"/>
      <c r="E13" s="1096"/>
      <c r="F13" s="1096"/>
      <c r="G13" s="1096"/>
      <c r="H13" s="1096"/>
      <c r="I13" s="1097"/>
      <c r="K13" s="1160" t="s">
        <v>1223</v>
      </c>
      <c r="L13" s="1161"/>
      <c r="M13" s="515" t="str">
        <f>IF(C78&lt;=(C47*C48),"PASS","FAIL")</f>
        <v>PASS</v>
      </c>
    </row>
    <row r="14" spans="1:14" ht="13.5" thickBot="1" x14ac:dyDescent="0.25">
      <c r="A14" s="1082" t="s">
        <v>2229</v>
      </c>
      <c r="B14" s="1083"/>
      <c r="C14" s="1098" t="s">
        <v>2386</v>
      </c>
      <c r="D14" s="1099"/>
      <c r="E14" s="1099"/>
      <c r="F14" s="1099"/>
      <c r="G14" s="1099"/>
      <c r="H14" s="1099"/>
      <c r="I14" s="1100"/>
      <c r="K14" s="1180" t="s">
        <v>2168</v>
      </c>
      <c r="L14" s="1181"/>
      <c r="M14" s="516" t="str">
        <f>IF(C70&lt;=(C53*C54),"PASS","FAIL")</f>
        <v>PASS</v>
      </c>
    </row>
    <row r="15" spans="1:14" ht="14.25" thickTop="1" thickBot="1" x14ac:dyDescent="0.25">
      <c r="A15" s="4"/>
      <c r="B15" s="4"/>
      <c r="C15"/>
    </row>
    <row r="16" spans="1:14" ht="13.5" thickTop="1" x14ac:dyDescent="0.2">
      <c r="A16" s="1043" t="s">
        <v>1095</v>
      </c>
      <c r="B16" s="1044"/>
      <c r="C16" s="1044"/>
      <c r="D16" s="1044"/>
      <c r="E16" s="1044"/>
      <c r="F16" s="1045"/>
    </row>
    <row r="17" spans="1:16" ht="13.5" thickBot="1" x14ac:dyDescent="0.25">
      <c r="A17" s="1046" t="s">
        <v>1224</v>
      </c>
      <c r="B17" s="1047"/>
      <c r="C17" s="451" t="s">
        <v>101</v>
      </c>
      <c r="D17" s="451" t="s">
        <v>100</v>
      </c>
      <c r="E17" s="451" t="s">
        <v>101</v>
      </c>
      <c r="F17" s="452" t="s">
        <v>100</v>
      </c>
    </row>
    <row r="18" spans="1:16" ht="14.25" thickTop="1" thickBot="1" x14ac:dyDescent="0.25">
      <c r="A18" s="1101" t="s">
        <v>2175</v>
      </c>
      <c r="B18" s="1102"/>
      <c r="C18" s="596">
        <v>42</v>
      </c>
      <c r="D18" s="727" t="str">
        <f>$C$5</f>
        <v>qt</v>
      </c>
      <c r="E18" s="733">
        <f>IF($C$2="US Customary",C18/4,"")</f>
        <v>10.5</v>
      </c>
      <c r="F18" s="732" t="str">
        <f>IF($C$2="US Customary","US Gal","")</f>
        <v>US Gal</v>
      </c>
    </row>
    <row r="19" spans="1:16" ht="13.5" thickTop="1" x14ac:dyDescent="0.2">
      <c r="A19" s="1063" t="s">
        <v>2205</v>
      </c>
      <c r="B19" s="455" t="s">
        <v>2201</v>
      </c>
      <c r="C19" s="597">
        <v>60</v>
      </c>
      <c r="D19" s="728" t="str">
        <f>'Brewhouse Setup &amp; Calcs'!$C$4</f>
        <v>°F</v>
      </c>
      <c r="E19" s="1190"/>
      <c r="F19" s="1191"/>
    </row>
    <row r="20" spans="1:16" x14ac:dyDescent="0.2">
      <c r="A20" s="1048"/>
      <c r="B20" s="457" t="s">
        <v>2206</v>
      </c>
      <c r="C20" s="598">
        <v>51</v>
      </c>
      <c r="D20" s="729" t="str">
        <f>'Brewhouse Setup &amp; Calcs'!$C$4</f>
        <v>°F</v>
      </c>
      <c r="E20" s="1148"/>
      <c r="F20" s="1149"/>
    </row>
    <row r="21" spans="1:16" x14ac:dyDescent="0.2">
      <c r="A21" s="1048"/>
      <c r="B21" s="457" t="s">
        <v>2178</v>
      </c>
      <c r="C21" s="599">
        <v>210.5</v>
      </c>
      <c r="D21" s="729" t="str">
        <f>$C$4</f>
        <v>°F</v>
      </c>
      <c r="E21" s="1148"/>
      <c r="F21" s="1149"/>
      <c r="I21" s="1189" t="s">
        <v>2372</v>
      </c>
      <c r="J21" s="1189"/>
      <c r="K21" s="1189"/>
      <c r="L21" s="1189"/>
      <c r="M21" s="1189"/>
      <c r="N21" s="1189"/>
      <c r="O21" s="1189"/>
    </row>
    <row r="22" spans="1:16" ht="13.5" thickBot="1" x14ac:dyDescent="0.25">
      <c r="A22" s="1048"/>
      <c r="B22" s="468" t="s">
        <v>2176</v>
      </c>
      <c r="C22" s="600">
        <v>69</v>
      </c>
      <c r="D22" s="730" t="str">
        <f>'Brewhouse Setup &amp; Calcs'!$C$4</f>
        <v>°F</v>
      </c>
      <c r="E22" s="1151"/>
      <c r="F22" s="1152"/>
    </row>
    <row r="23" spans="1:16" ht="14.25" thickTop="1" thickBot="1" x14ac:dyDescent="0.25">
      <c r="A23" s="1063" t="s">
        <v>1792</v>
      </c>
      <c r="B23" s="584" t="s">
        <v>2367</v>
      </c>
      <c r="C23" s="601">
        <v>1.5</v>
      </c>
      <c r="D23" s="728" t="str">
        <f>IF($C$2="Metric","L/kg","qt/lb")</f>
        <v>qt/lb</v>
      </c>
      <c r="E23" s="735">
        <f>IF($C$2="US Customary",C23/4,"")</f>
        <v>0.375</v>
      </c>
      <c r="F23" s="734" t="str">
        <f>IF($C$2="US Customary","USGal/lb","")</f>
        <v>USGal/lb</v>
      </c>
      <c r="G23" s="544"/>
      <c r="H23" s="1178" t="s">
        <v>2296</v>
      </c>
      <c r="I23" s="1178"/>
      <c r="J23" s="1178"/>
      <c r="K23" s="1178"/>
      <c r="L23" s="1179"/>
      <c r="M23" s="1167" t="s">
        <v>2378</v>
      </c>
      <c r="N23" s="1168"/>
      <c r="O23" s="562" t="s">
        <v>2282</v>
      </c>
      <c r="P23" s="1165" t="s">
        <v>2318</v>
      </c>
    </row>
    <row r="24" spans="1:16" ht="13.5" thickTop="1" x14ac:dyDescent="0.2">
      <c r="A24" s="1048"/>
      <c r="B24" s="457" t="s">
        <v>2240</v>
      </c>
      <c r="C24" s="736">
        <f>I31</f>
        <v>158</v>
      </c>
      <c r="D24" s="731" t="str">
        <f>'Brewhouse Setup &amp; Calcs'!$C$4</f>
        <v>°F</v>
      </c>
      <c r="E24" s="1146"/>
      <c r="F24" s="1147"/>
      <c r="H24" s="479" t="s">
        <v>2224</v>
      </c>
      <c r="I24" s="451" t="s">
        <v>2225</v>
      </c>
      <c r="J24" s="451" t="s">
        <v>2177</v>
      </c>
      <c r="K24" s="1118" t="s">
        <v>2245</v>
      </c>
      <c r="L24" s="1119"/>
      <c r="M24" s="1169"/>
      <c r="N24" s="1170"/>
      <c r="O24" s="752">
        <f>C40*C41-C83</f>
        <v>43.15</v>
      </c>
      <c r="P24" s="1166"/>
    </row>
    <row r="25" spans="1:16" ht="13.5" thickBot="1" x14ac:dyDescent="0.25">
      <c r="A25" s="1048"/>
      <c r="B25" s="469" t="s">
        <v>2177</v>
      </c>
      <c r="C25" s="737">
        <f>J31</f>
        <v>60</v>
      </c>
      <c r="D25" s="730" t="s">
        <v>1110</v>
      </c>
      <c r="E25" s="1148"/>
      <c r="F25" s="1149"/>
      <c r="H25" s="742" t="str">
        <f>$C$4</f>
        <v>°F</v>
      </c>
      <c r="I25" s="743" t="str">
        <f>$C$4</f>
        <v>°F</v>
      </c>
      <c r="J25" s="443" t="s">
        <v>1110</v>
      </c>
      <c r="K25" s="744" t="str">
        <f>$C$4</f>
        <v>°F</v>
      </c>
      <c r="L25" s="745" t="str">
        <f>$C$5</f>
        <v>qt</v>
      </c>
      <c r="M25" s="746" t="str">
        <f>$C$4</f>
        <v>°F</v>
      </c>
      <c r="N25" s="747" t="str">
        <f>$C$5</f>
        <v>qt</v>
      </c>
      <c r="O25" s="753" t="str">
        <f>$C$5</f>
        <v>qt</v>
      </c>
      <c r="P25" s="1166"/>
    </row>
    <row r="26" spans="1:16" ht="14.25" thickTop="1" thickBot="1" x14ac:dyDescent="0.25">
      <c r="A26" s="1048"/>
      <c r="B26" s="469" t="s">
        <v>2212</v>
      </c>
      <c r="C26" s="1103" t="s">
        <v>2213</v>
      </c>
      <c r="D26" s="1079"/>
      <c r="E26" s="1150"/>
      <c r="F26" s="1149"/>
      <c r="H26" s="517">
        <f>C22</f>
        <v>69</v>
      </c>
      <c r="I26" s="615">
        <v>145</v>
      </c>
      <c r="J26" s="615">
        <v>45</v>
      </c>
      <c r="K26" s="748">
        <f>IF(OR(ISBLANK(I26),ISBLANK(J26)),0,ROUND(IF($C$2="US Customary",0.2,0.41)/(IF(AND($C$44="No Sparge",$N$38="1 Vessel"),$C$88/$C$82,$C$23))*(I26-H26)+I26,1))</f>
        <v>155.1</v>
      </c>
      <c r="L26" s="749">
        <f>N26+N26*(K26-M26)*($C$59*AVERAGE(K26,M26)+$E$59)</f>
        <v>29.973467827499999</v>
      </c>
      <c r="M26" s="750">
        <f>$I$31</f>
        <v>158</v>
      </c>
      <c r="N26" s="751">
        <f>IF(OR(ISBLANK(I26),ISBLANK(J26)),0,IF(AND($C$44="No Sparge",VLOOKUP($C$11,'Equipment Profiles'!$A$6:$O$25,9,FALSE)="1 Vessel"),$C$88,$C$23*$C$82))</f>
        <v>30</v>
      </c>
      <c r="O26" s="563">
        <f>$O$24-N26</f>
        <v>13.149999999999999</v>
      </c>
      <c r="P26" s="760">
        <f>L26/$C$82</f>
        <v>1.4986733913749999</v>
      </c>
    </row>
    <row r="27" spans="1:16" ht="13.5" thickBot="1" x14ac:dyDescent="0.25">
      <c r="A27" s="1060"/>
      <c r="B27" s="542" t="s">
        <v>2214</v>
      </c>
      <c r="C27" s="543">
        <f>VLOOKUP($C$11,'Equipment Profiles'!$A$6:$G$25,IF($C$26="OFF",6,7),FALSE)</f>
        <v>0</v>
      </c>
      <c r="D27" s="738" t="str">
        <f>IF($C$2="Metric","L/hr","qt/hr")</f>
        <v>qt/hr</v>
      </c>
      <c r="E27" s="1151"/>
      <c r="F27" s="1152"/>
      <c r="H27" s="606">
        <v>145</v>
      </c>
      <c r="I27" s="607">
        <v>158</v>
      </c>
      <c r="J27" s="607">
        <v>15</v>
      </c>
      <c r="K27" s="608"/>
      <c r="L27" s="754">
        <f>IF(OR(ISBLANK(H27),ISBLANK(I27),ISBLANK(J27),ISBLANK(K27)),,(I27-H27)*(IF($C$2="US Customary",0.2,0.41)*$C$82+L26)/(K27-I27))</f>
        <v>0</v>
      </c>
      <c r="M27" s="750">
        <f t="shared" ref="M27:M30" si="0">$I$31</f>
        <v>158</v>
      </c>
      <c r="N27" s="751">
        <f t="shared" ref="N27:N30" si="1">L27+L27*(I27-K27)*($C$59*AVERAGE(I27,L27)+$E$59)</f>
        <v>0</v>
      </c>
      <c r="O27" s="563">
        <f>$O$24-SUM(N26:N27)</f>
        <v>13.149999999999999</v>
      </c>
      <c r="P27" s="760">
        <f>SUM($L$26:L27)/$C$82</f>
        <v>1.4986733913749999</v>
      </c>
    </row>
    <row r="28" spans="1:16" ht="13.5" thickTop="1" x14ac:dyDescent="0.2">
      <c r="A28" s="1111" t="s">
        <v>2179</v>
      </c>
      <c r="B28" s="455" t="s">
        <v>2177</v>
      </c>
      <c r="C28" s="602">
        <v>60</v>
      </c>
      <c r="D28" s="728" t="s">
        <v>1110</v>
      </c>
      <c r="E28" s="1132"/>
      <c r="F28" s="1133"/>
      <c r="H28" s="606"/>
      <c r="I28" s="607"/>
      <c r="J28" s="607"/>
      <c r="K28" s="608"/>
      <c r="L28" s="754">
        <f>IF(OR(ISBLANK(H28),ISBLANK(I28),ISBLANK(J28),ISBLANK(K28)),,(I28-H28)*(IF($C$2="US Customary",0.2,0.41)*$C$82+L27)/(K28-I28))</f>
        <v>0</v>
      </c>
      <c r="M28" s="750">
        <f t="shared" si="0"/>
        <v>158</v>
      </c>
      <c r="N28" s="751">
        <f t="shared" si="1"/>
        <v>0</v>
      </c>
      <c r="O28" s="563">
        <f>$O$24-SUM(N26:N28)</f>
        <v>13.149999999999999</v>
      </c>
      <c r="P28" s="760">
        <f>SUM($L$26:L28)/$C$82</f>
        <v>1.4986733913749999</v>
      </c>
    </row>
    <row r="29" spans="1:16" ht="13.5" thickBot="1" x14ac:dyDescent="0.25">
      <c r="A29" s="1113"/>
      <c r="B29" s="468" t="s">
        <v>1660</v>
      </c>
      <c r="C29" s="603">
        <v>0.3</v>
      </c>
      <c r="D29" s="730" t="str">
        <f>IF($C$2="Metric","L/g","qt/oz")</f>
        <v>qt/oz</v>
      </c>
      <c r="E29" s="739">
        <f>IF($C$2="US Customary",C29/4*16,"")</f>
        <v>1.2</v>
      </c>
      <c r="F29" s="740" t="str">
        <f>IF($C$2="US Customary","USGal/lb","")</f>
        <v>USGal/lb</v>
      </c>
      <c r="H29" s="609"/>
      <c r="I29" s="610"/>
      <c r="J29" s="610"/>
      <c r="K29" s="611"/>
      <c r="L29" s="754">
        <f>IF(OR(ISBLANK(H29),ISBLANK(I29),ISBLANK(J29),ISBLANK(K29)),,(I29-H29)*(IF($C$2="US Customary",0.2,0.41)*$C$82+L28)/(K29-I29))</f>
        <v>0</v>
      </c>
      <c r="M29" s="750">
        <f t="shared" si="0"/>
        <v>158</v>
      </c>
      <c r="N29" s="751">
        <f t="shared" si="1"/>
        <v>0</v>
      </c>
      <c r="O29" s="563">
        <f>$O$24-SUM(N26:N29)</f>
        <v>13.149999999999999</v>
      </c>
      <c r="P29" s="760">
        <f>SUM($L$26:L29)/$C$82</f>
        <v>1.4986733913749999</v>
      </c>
    </row>
    <row r="30" spans="1:16" ht="14.25" customHeight="1" thickTop="1" thickBot="1" x14ac:dyDescent="0.25">
      <c r="A30" s="1111" t="s">
        <v>2199</v>
      </c>
      <c r="B30" s="482" t="s">
        <v>2207</v>
      </c>
      <c r="C30" s="1109" t="s">
        <v>2316</v>
      </c>
      <c r="D30" s="1110"/>
      <c r="E30" s="1185"/>
      <c r="F30" s="1186"/>
      <c r="H30" s="612"/>
      <c r="I30" s="613"/>
      <c r="J30" s="613"/>
      <c r="K30" s="614"/>
      <c r="L30" s="755">
        <f>IF(OR(ISBLANK(H30),ISBLANK(I30),ISBLANK(J30),ISBLANK(K30)),,(I30-H30)*(IF($C$2="US Customary",0.2,0.41)*$C$82+L29)/(K30-I30))</f>
        <v>0</v>
      </c>
      <c r="M30" s="756">
        <f t="shared" si="0"/>
        <v>158</v>
      </c>
      <c r="N30" s="757">
        <f t="shared" si="1"/>
        <v>0</v>
      </c>
      <c r="O30" s="564">
        <f>$O$24-SUM(N26:N30)</f>
        <v>13.149999999999999</v>
      </c>
      <c r="P30" s="761">
        <f>SUM($L$26:L30)/$C$82</f>
        <v>1.4986733913749999</v>
      </c>
    </row>
    <row r="31" spans="1:16" ht="14.25" thickTop="1" thickBot="1" x14ac:dyDescent="0.25">
      <c r="A31" s="1112"/>
      <c r="B31" s="456" t="s">
        <v>2208</v>
      </c>
      <c r="C31" s="604">
        <v>75</v>
      </c>
      <c r="D31" s="741" t="str">
        <f>$C$4</f>
        <v>°F</v>
      </c>
      <c r="E31" s="1187"/>
      <c r="F31" s="1188"/>
      <c r="I31" s="762">
        <f>MAX(I26:I30)</f>
        <v>158</v>
      </c>
      <c r="J31" s="763">
        <f>SUM(J26:J30)</f>
        <v>60</v>
      </c>
      <c r="L31" s="23"/>
      <c r="N31" s="758">
        <f>ROUND(SUM(N26:N30),1)</f>
        <v>30</v>
      </c>
    </row>
    <row r="32" spans="1:16" ht="14.25" thickTop="1" thickBot="1" x14ac:dyDescent="0.25">
      <c r="A32" s="178"/>
      <c r="B32" s="178"/>
      <c r="C32" s="472"/>
      <c r="D32" s="178"/>
      <c r="E32" s="470"/>
      <c r="F32" s="470"/>
      <c r="N32" s="1174" t="s">
        <v>2198</v>
      </c>
    </row>
    <row r="33" spans="1:14" ht="14.25" thickTop="1" thickBot="1" x14ac:dyDescent="0.25">
      <c r="A33" s="1104" t="s">
        <v>2230</v>
      </c>
      <c r="B33" s="1105"/>
      <c r="C33" s="1105"/>
      <c r="D33" s="1106"/>
      <c r="E33" s="470"/>
      <c r="F33" s="470"/>
      <c r="N33" s="1175"/>
    </row>
    <row r="34" spans="1:14" x14ac:dyDescent="0.2">
      <c r="A34" s="1048" t="s">
        <v>1658</v>
      </c>
      <c r="B34" s="473" t="s">
        <v>2184</v>
      </c>
      <c r="C34" s="540">
        <f>IF(ISBLANK($C$14),"",VLOOKUP($C$14,'Equipment Profiles'!AA6:AC25,2,FALSE))</f>
        <v>60</v>
      </c>
      <c r="D34" s="764" t="str">
        <f>$C$4</f>
        <v>°F</v>
      </c>
      <c r="E34" s="470"/>
      <c r="F34" s="470"/>
      <c r="N34" s="759">
        <f>$C$88-$N$31</f>
        <v>30.676377799274086</v>
      </c>
    </row>
    <row r="35" spans="1:14" ht="13.5" thickBot="1" x14ac:dyDescent="0.25">
      <c r="A35" s="1048"/>
      <c r="B35" s="468" t="s">
        <v>2185</v>
      </c>
      <c r="C35" s="474">
        <f>IF(ISBLANK($C$14),"",VLOOKUP($C$14,'Equipment Profiles'!AA6:AC25,3,FALSE))</f>
        <v>0</v>
      </c>
      <c r="D35" s="475"/>
      <c r="E35" s="470"/>
      <c r="F35" s="470"/>
      <c r="N35" s="1176" t="s">
        <v>1692</v>
      </c>
    </row>
    <row r="36" spans="1:14" ht="14.25" thickTop="1" thickBot="1" x14ac:dyDescent="0.25">
      <c r="A36" s="1134" t="s">
        <v>2197</v>
      </c>
      <c r="B36" s="1135"/>
      <c r="C36" s="605">
        <v>1.04</v>
      </c>
      <c r="D36" s="476"/>
      <c r="E36" s="470"/>
      <c r="F36" s="470"/>
      <c r="N36" s="1177"/>
    </row>
    <row r="37" spans="1:14" ht="14.25" thickTop="1" thickBot="1" x14ac:dyDescent="0.25">
      <c r="E37" s="470"/>
      <c r="F37" s="470"/>
      <c r="N37" s="23"/>
    </row>
    <row r="38" spans="1:14" ht="13.5" thickTop="1" x14ac:dyDescent="0.2">
      <c r="A38" s="1043" t="s">
        <v>1225</v>
      </c>
      <c r="B38" s="1044"/>
      <c r="C38" s="1044"/>
      <c r="D38" s="1044"/>
      <c r="E38" s="1044"/>
      <c r="F38" s="1045"/>
    </row>
    <row r="39" spans="1:14" ht="13.5" thickBot="1" x14ac:dyDescent="0.25">
      <c r="A39" s="1046" t="s">
        <v>1224</v>
      </c>
      <c r="B39" s="1047"/>
      <c r="C39" s="443" t="s">
        <v>101</v>
      </c>
      <c r="D39" s="443" t="s">
        <v>100</v>
      </c>
      <c r="E39" s="443" t="s">
        <v>101</v>
      </c>
      <c r="F39" s="453" t="s">
        <v>100</v>
      </c>
    </row>
    <row r="40" spans="1:14" ht="13.5" thickTop="1" x14ac:dyDescent="0.2">
      <c r="A40" s="1107" t="s">
        <v>2183</v>
      </c>
      <c r="B40" s="450" t="s">
        <v>2174</v>
      </c>
      <c r="C40" s="441">
        <f>IF(ISBLANK($C$11),"",VLOOKUP($C$11,'Equipment Profiles'!A6:O25,2,FALSE))</f>
        <v>52</v>
      </c>
      <c r="D40" s="765" t="str">
        <f>$C$5</f>
        <v>qt</v>
      </c>
      <c r="E40" s="768">
        <f>IF($C$2="US Customary",C40/4,"")</f>
        <v>13</v>
      </c>
      <c r="F40" s="769" t="str">
        <f>IF($C$2="US Customary","US Gal","")</f>
        <v>US Gal</v>
      </c>
    </row>
    <row r="41" spans="1:14" ht="12.75" customHeight="1" x14ac:dyDescent="0.2">
      <c r="A41" s="1108"/>
      <c r="B41" s="450" t="s">
        <v>2156</v>
      </c>
      <c r="C41" s="436">
        <f>IF(ISBLANK($C$11),"",VLOOKUP($C$11,'Equipment Profiles'!A6:O25,3,FALSE))</f>
        <v>0.95</v>
      </c>
      <c r="D41" s="766" t="s">
        <v>102</v>
      </c>
      <c r="E41" s="1041"/>
      <c r="F41" s="1042"/>
    </row>
    <row r="42" spans="1:14" x14ac:dyDescent="0.2">
      <c r="A42" s="1108"/>
      <c r="B42" s="50" t="s">
        <v>2169</v>
      </c>
      <c r="C42" s="437">
        <f>IF(ISBLANK($C$11),"",VLOOKUP($C$11,'Equipment Profiles'!A6:O25,4,FALSE))</f>
        <v>0</v>
      </c>
      <c r="D42" s="766" t="str">
        <f t="shared" ref="D42:D55" si="2">$C$5</f>
        <v>qt</v>
      </c>
      <c r="E42" s="771">
        <f>IF($C$2="US Customary",C42/4,"")</f>
        <v>0</v>
      </c>
      <c r="F42" s="770" t="str">
        <f>IF($C$2="US Customary","US Gal","")</f>
        <v>US Gal</v>
      </c>
    </row>
    <row r="43" spans="1:14" x14ac:dyDescent="0.2">
      <c r="A43" s="1108"/>
      <c r="B43" s="50" t="s">
        <v>1671</v>
      </c>
      <c r="C43" s="442">
        <f>IF(ISBLANK($C$11),"",VLOOKUP($C$11,'Equipment Profiles'!A6:O25,5,FALSE))</f>
        <v>0.4</v>
      </c>
      <c r="D43" s="767" t="str">
        <f>IF($C$2="Metric","L/kg","qt/lb")</f>
        <v>qt/lb</v>
      </c>
      <c r="E43" s="771">
        <f>IF($C$2="US Customary",C43/4,"")</f>
        <v>0.1</v>
      </c>
      <c r="F43" s="770" t="str">
        <f>IF($C$2="US Customary","USGal/lb","")</f>
        <v>USGal/lb</v>
      </c>
    </row>
    <row r="44" spans="1:14" x14ac:dyDescent="0.2">
      <c r="A44" s="1108"/>
      <c r="B44" s="450" t="s">
        <v>1860</v>
      </c>
      <c r="C44" s="1114" t="str">
        <f>IF(ISBLANK($C$11),"",VLOOKUP($C$11,'Equipment Profiles'!A6:O25,10,FALSE))</f>
        <v>Fly Sparge</v>
      </c>
      <c r="D44" s="1115"/>
      <c r="E44" s="1035"/>
      <c r="F44" s="1036"/>
    </row>
    <row r="45" spans="1:14" ht="12.6" customHeight="1" x14ac:dyDescent="0.2">
      <c r="A45" s="1108"/>
      <c r="B45" s="448" t="str">
        <f>IF(C44="Fly Sparge","Fly Sparge Flow Rate","-")</f>
        <v>Fly Sparge Flow Rate</v>
      </c>
      <c r="C45" s="447">
        <f>IF(ISBLANK($C$11),"",VLOOKUP($C$11,'Equipment Profiles'!A6:O25,11,FALSE))</f>
        <v>0</v>
      </c>
      <c r="D45" s="772" t="str">
        <f>CONCATENATE($C$5,"/min")</f>
        <v>qt/min</v>
      </c>
      <c r="E45" s="1037"/>
      <c r="F45" s="1038"/>
    </row>
    <row r="46" spans="1:14" ht="12.6" customHeight="1" thickBot="1" x14ac:dyDescent="0.25">
      <c r="A46" s="1108"/>
      <c r="B46" s="466" t="s">
        <v>96</v>
      </c>
      <c r="C46" s="444">
        <f>IF(ISBLANK($C$11),"",VLOOKUP($C$11,'Equipment Profiles'!A6:O25,8,FALSE))</f>
        <v>0.7</v>
      </c>
      <c r="D46" s="773" t="s">
        <v>102</v>
      </c>
      <c r="E46" s="1039"/>
      <c r="F46" s="1040"/>
    </row>
    <row r="47" spans="1:14" ht="13.5" thickTop="1" x14ac:dyDescent="0.2">
      <c r="A47" s="1063" t="s">
        <v>1223</v>
      </c>
      <c r="B47" s="494" t="s">
        <v>2174</v>
      </c>
      <c r="C47" s="495">
        <f>IF(ISBLANK($C$11),"",VLOOKUP($C$11,'Equipment Profiles'!A6:O25,12,FALSE))</f>
        <v>73</v>
      </c>
      <c r="D47" s="774" t="str">
        <f>$C$5</f>
        <v>qt</v>
      </c>
      <c r="E47" s="774">
        <f>IF($C$2="US Customary",C47/4,"")</f>
        <v>18.25</v>
      </c>
      <c r="F47" s="775" t="str">
        <f>IF($C$2="US Customary","US Gal","")</f>
        <v>US Gal</v>
      </c>
    </row>
    <row r="48" spans="1:14" x14ac:dyDescent="0.2">
      <c r="A48" s="1048"/>
      <c r="B48" s="50" t="s">
        <v>2156</v>
      </c>
      <c r="C48" s="436">
        <f>IF(ISBLANK($C$11),"",VLOOKUP($C$11,'Equipment Profiles'!A6:O25,13,FALSE))</f>
        <v>0.85</v>
      </c>
      <c r="D48" s="766" t="s">
        <v>102</v>
      </c>
      <c r="E48" s="1041"/>
      <c r="F48" s="1042"/>
    </row>
    <row r="49" spans="1:10" x14ac:dyDescent="0.2">
      <c r="A49" s="1048"/>
      <c r="B49" s="50" t="s">
        <v>2169</v>
      </c>
      <c r="C49" s="446">
        <f>IF(ISBLANK($C$11),"",VLOOKUP($C$11,'Equipment Profiles'!A6:O25,14,FALSE))</f>
        <v>1.25</v>
      </c>
      <c r="D49" s="772" t="str">
        <f t="shared" si="2"/>
        <v>qt</v>
      </c>
      <c r="E49" s="771">
        <f>IF($C$2="US Customary",C49/4,"")</f>
        <v>0.3125</v>
      </c>
      <c r="F49" s="770" t="str">
        <f>IF($C$2="US Customary","US Gal","")</f>
        <v>US Gal</v>
      </c>
    </row>
    <row r="50" spans="1:10" ht="13.5" thickBot="1" x14ac:dyDescent="0.25">
      <c r="A50" s="1060"/>
      <c r="B50" s="471" t="s">
        <v>1983</v>
      </c>
      <c r="C50" s="493">
        <f>IF(ISBLANK($C$11),"",VLOOKUP($C$11,'Equipment Profiles'!A6:O25,15,FALSE))</f>
        <v>5.25</v>
      </c>
      <c r="D50" s="773" t="str">
        <f>IF($C$2="Metric","L/hr","qt/hr")</f>
        <v>qt/hr</v>
      </c>
      <c r="E50" s="1056"/>
      <c r="F50" s="1057"/>
    </row>
    <row r="51" spans="1:10" ht="13.5" thickTop="1" x14ac:dyDescent="0.2">
      <c r="A51" s="1054" t="s">
        <v>2160</v>
      </c>
      <c r="B51" s="449" t="s">
        <v>66</v>
      </c>
      <c r="C51" s="1061" t="str">
        <f>IF(ISBLANK($C$12),"",VLOOKUP($C$12,'Equipment Profiles'!R6:T25,2,FALSE))</f>
        <v>Immersion</v>
      </c>
      <c r="D51" s="1062"/>
      <c r="E51" s="1058"/>
      <c r="F51" s="1059"/>
    </row>
    <row r="52" spans="1:10" ht="13.5" thickBot="1" x14ac:dyDescent="0.25">
      <c r="A52" s="1060"/>
      <c r="B52" s="454" t="s">
        <v>2164</v>
      </c>
      <c r="C52" s="502">
        <f>IF(ISBLANK($C$12),"",VLOOKUP($C$12,'Equipment Profiles'!R6:T25,3,FALSE))</f>
        <v>2</v>
      </c>
      <c r="D52" s="776" t="str">
        <f>IF($C$51="Immersion",$C$5,"")</f>
        <v>qt</v>
      </c>
      <c r="E52" s="777">
        <f>IF(AND($C$2="US Customary",C51="Immersion"),C52/4,"")</f>
        <v>0.5</v>
      </c>
      <c r="F52" s="778" t="str">
        <f>IF(AND($C$2="US Customary",C51="Immersion"),"US Gal","")</f>
        <v>US Gal</v>
      </c>
    </row>
    <row r="53" spans="1:10" ht="13.5" thickTop="1" x14ac:dyDescent="0.2">
      <c r="A53" s="1054" t="s">
        <v>2168</v>
      </c>
      <c r="B53" s="448" t="s">
        <v>2174</v>
      </c>
      <c r="C53" s="501">
        <f>IF(ISBLANK($C$13),"",VLOOKUP($C$13,'Equipment Profiles'!V5:Y24,2,FALSE))</f>
        <v>52.8</v>
      </c>
      <c r="D53" s="779" t="str">
        <f t="shared" si="2"/>
        <v>qt</v>
      </c>
      <c r="E53" s="780">
        <f>IF($C$2="US Customary",C53/4,"")</f>
        <v>13.2</v>
      </c>
      <c r="F53" s="781" t="str">
        <f>IF($C$2="US Customary","US Gal","")</f>
        <v>US Gal</v>
      </c>
    </row>
    <row r="54" spans="1:10" x14ac:dyDescent="0.2">
      <c r="A54" s="1048"/>
      <c r="B54" s="448" t="s">
        <v>2156</v>
      </c>
      <c r="C54" s="445">
        <f>IF(ISBLANK($C$13),"",VLOOKUP($C$13,'Equipment Profiles'!V5:Y24,3,FALSE))</f>
        <v>0.86</v>
      </c>
      <c r="D54" s="767" t="s">
        <v>102</v>
      </c>
      <c r="E54" s="1041"/>
      <c r="F54" s="1042"/>
    </row>
    <row r="55" spans="1:10" ht="13.5" thickBot="1" x14ac:dyDescent="0.25">
      <c r="A55" s="1055"/>
      <c r="B55" s="477" t="s">
        <v>2169</v>
      </c>
      <c r="C55" s="478">
        <f>IF(ISBLANK($C$13),"",VLOOKUP($C$13,'Equipment Profiles'!V6:Y25,4,FALSE))</f>
        <v>3</v>
      </c>
      <c r="D55" s="782" t="str">
        <f t="shared" si="2"/>
        <v>qt</v>
      </c>
      <c r="E55" s="783">
        <f>IF($C$2="US Customary",C55/4,"")</f>
        <v>0.75</v>
      </c>
      <c r="F55" s="784" t="str">
        <f>IF($C$2="US Customary","US Gal","")</f>
        <v>US Gal</v>
      </c>
    </row>
    <row r="56" spans="1:10" ht="14.25" thickTop="1" thickBot="1" x14ac:dyDescent="0.25"/>
    <row r="57" spans="1:10" ht="14.25" thickTop="1" thickBot="1" x14ac:dyDescent="0.25">
      <c r="A57" s="1049" t="s">
        <v>2261</v>
      </c>
      <c r="B57" s="1050"/>
      <c r="C57" s="1050"/>
      <c r="D57" s="1050"/>
      <c r="E57" s="1050"/>
      <c r="F57" s="1051"/>
    </row>
    <row r="58" spans="1:10" ht="13.5" thickTop="1" x14ac:dyDescent="0.2">
      <c r="A58" s="1052" t="s">
        <v>2262</v>
      </c>
      <c r="B58" s="500" t="s">
        <v>100</v>
      </c>
      <c r="C58" s="1069" t="s">
        <v>2258</v>
      </c>
      <c r="D58" s="1069"/>
      <c r="E58" s="1069" t="s">
        <v>2193</v>
      </c>
      <c r="F58" s="1131"/>
    </row>
    <row r="59" spans="1:10" ht="12.75" customHeight="1" thickBot="1" x14ac:dyDescent="0.25">
      <c r="A59" s="1053"/>
      <c r="B59" s="785" t="str">
        <f>C2</f>
        <v>US Customary</v>
      </c>
      <c r="C59" s="1070">
        <f>IF($B$59="US Customary",'Thermal Vol Exp Coef'!$E$29,'Thermal Vol Exp Coef'!$E$30)</f>
        <v>2.0499999999999999E-6</v>
      </c>
      <c r="D59" s="1070"/>
      <c r="E59" s="1070">
        <f>IF($B$59="US Customary",'Thermal Vol Exp Coef'!$G$29,'Thermal Vol Exp Coef'!$G$30)</f>
        <v>-1.596E-5</v>
      </c>
      <c r="F59" s="1077"/>
    </row>
    <row r="60" spans="1:10" ht="12.75" customHeight="1" thickTop="1" thickBot="1" x14ac:dyDescent="0.25"/>
    <row r="61" spans="1:10" ht="13.5" thickTop="1" x14ac:dyDescent="0.2">
      <c r="A61" s="1074" t="s">
        <v>2231</v>
      </c>
      <c r="B61" s="1075"/>
      <c r="C61" s="1075"/>
      <c r="D61" s="1075"/>
      <c r="E61" s="1075"/>
      <c r="F61" s="1076"/>
      <c r="J61"/>
    </row>
    <row r="62" spans="1:10" ht="13.5" thickBot="1" x14ac:dyDescent="0.25">
      <c r="A62" s="1127" t="s">
        <v>113</v>
      </c>
      <c r="B62" s="1128"/>
      <c r="C62" s="504" t="s">
        <v>101</v>
      </c>
      <c r="D62" s="504" t="s">
        <v>100</v>
      </c>
      <c r="E62" s="504" t="s">
        <v>101</v>
      </c>
      <c r="F62" s="505" t="s">
        <v>100</v>
      </c>
      <c r="J62"/>
    </row>
    <row r="63" spans="1:10" ht="13.5" thickTop="1" x14ac:dyDescent="0.2">
      <c r="A63" s="1120" t="s">
        <v>2263</v>
      </c>
      <c r="B63" s="1121"/>
      <c r="C63" s="1121"/>
      <c r="D63" s="1121"/>
      <c r="E63" s="1121"/>
      <c r="F63" s="1122"/>
      <c r="J63"/>
    </row>
    <row r="64" spans="1:10" x14ac:dyDescent="0.2">
      <c r="A64" s="808" t="str">
        <f>CONCATENATE("@ ",$C$19," ",$C$4)</f>
        <v>@ 60 °F</v>
      </c>
      <c r="B64" s="473" t="s">
        <v>2264</v>
      </c>
      <c r="C64" s="786">
        <f>$C$18</f>
        <v>42</v>
      </c>
      <c r="D64" s="787" t="str">
        <f t="shared" ref="D64:D79" si="3">$C$5</f>
        <v>qt</v>
      </c>
      <c r="E64" s="788">
        <f t="shared" ref="E64" si="4">IF($C$2="US Customary",C64/4,"")</f>
        <v>10.5</v>
      </c>
      <c r="F64" s="764" t="str">
        <f t="shared" ref="F64:F80" si="5">IF($C$2="US Customary","US Gal","")</f>
        <v>US Gal</v>
      </c>
      <c r="J64"/>
    </row>
    <row r="65" spans="1:10" x14ac:dyDescent="0.2">
      <c r="A65" s="809" t="str">
        <f>CONCATENATE($C$31," to ",$C$19," ",$C$4)</f>
        <v>75 to 60 °F</v>
      </c>
      <c r="B65" s="503" t="s">
        <v>2209</v>
      </c>
      <c r="C65" s="789">
        <f>C64*(C31-C19)*($C$59*AVERAGE($C$31,$C$19)+$E$59)</f>
        <v>7.7121449999999994E-2</v>
      </c>
      <c r="D65" s="790" t="str">
        <f t="shared" si="3"/>
        <v>qt</v>
      </c>
      <c r="E65" s="791">
        <f t="shared" ref="E65" si="6">IF($C$2="US Customary",C65/4,"")</f>
        <v>1.9280362499999999E-2</v>
      </c>
      <c r="F65" s="792" t="str">
        <f t="shared" si="5"/>
        <v>US Gal</v>
      </c>
      <c r="J65"/>
    </row>
    <row r="66" spans="1:10" ht="13.5" thickBot="1" x14ac:dyDescent="0.25">
      <c r="A66" s="810" t="str">
        <f>CONCATENATE("@ ",C31," ",C4)</f>
        <v>@ 75 °F</v>
      </c>
      <c r="B66" s="496" t="s">
        <v>2265</v>
      </c>
      <c r="C66" s="793">
        <f>C64+C65</f>
        <v>42.07712145</v>
      </c>
      <c r="D66" s="794" t="str">
        <f t="shared" si="3"/>
        <v>qt</v>
      </c>
      <c r="E66" s="795">
        <f t="shared" ref="E66" si="7">IF($C$2="US Customary",C66/4,"")</f>
        <v>10.5192803625</v>
      </c>
      <c r="F66" s="796" t="str">
        <f t="shared" si="5"/>
        <v>US Gal</v>
      </c>
      <c r="J66"/>
    </row>
    <row r="67" spans="1:10" ht="13.5" thickTop="1" x14ac:dyDescent="0.2">
      <c r="A67" s="1120" t="s">
        <v>2168</v>
      </c>
      <c r="B67" s="1121"/>
      <c r="C67" s="1121"/>
      <c r="D67" s="1121"/>
      <c r="E67" s="1121"/>
      <c r="F67" s="1122"/>
      <c r="J67"/>
    </row>
    <row r="68" spans="1:10" x14ac:dyDescent="0.2">
      <c r="A68" s="1071" t="str">
        <f>CONCATENATE("@ ",C31," ",C4)</f>
        <v>@ 75 °F</v>
      </c>
      <c r="B68" s="457" t="s">
        <v>2200</v>
      </c>
      <c r="C68" s="786">
        <f>$C$55</f>
        <v>3</v>
      </c>
      <c r="D68" s="787" t="str">
        <f t="shared" si="3"/>
        <v>qt</v>
      </c>
      <c r="E68" s="788">
        <f t="shared" ref="E68" si="8">IF($C$2="US Customary",C68/4,"")</f>
        <v>0.75</v>
      </c>
      <c r="F68" s="764" t="str">
        <f t="shared" si="5"/>
        <v>US Gal</v>
      </c>
      <c r="J68"/>
    </row>
    <row r="69" spans="1:10" x14ac:dyDescent="0.2">
      <c r="A69" s="1072"/>
      <c r="B69" s="457" t="s">
        <v>2366</v>
      </c>
      <c r="C69" s="797">
        <f>$C$29*'Hop Calcs'!G20</f>
        <v>0</v>
      </c>
      <c r="D69" s="787" t="str">
        <f t="shared" si="3"/>
        <v>qt</v>
      </c>
      <c r="E69" s="788">
        <f t="shared" ref="E69" si="9">IF($C$2="US Customary",C69/4,"")</f>
        <v>0</v>
      </c>
      <c r="F69" s="764" t="str">
        <f t="shared" si="5"/>
        <v>US Gal</v>
      </c>
      <c r="J69"/>
    </row>
    <row r="70" spans="1:10" ht="13.5" thickBot="1" x14ac:dyDescent="0.25">
      <c r="A70" s="1073"/>
      <c r="B70" s="457" t="s">
        <v>1097</v>
      </c>
      <c r="C70" s="798">
        <f>C66+C68</f>
        <v>45.07712145</v>
      </c>
      <c r="D70" s="798" t="str">
        <f t="shared" si="3"/>
        <v>qt</v>
      </c>
      <c r="E70" s="798">
        <f>IF($C$2="US Customary",C70/4,"")</f>
        <v>11.2692803625</v>
      </c>
      <c r="F70" s="799" t="str">
        <f t="shared" si="5"/>
        <v>US Gal</v>
      </c>
      <c r="J70"/>
    </row>
    <row r="71" spans="1:10" ht="13.5" thickTop="1" x14ac:dyDescent="0.2">
      <c r="A71" s="1120" t="s">
        <v>1223</v>
      </c>
      <c r="B71" s="1121"/>
      <c r="C71" s="1121"/>
      <c r="D71" s="1121"/>
      <c r="E71" s="1121"/>
      <c r="F71" s="1122"/>
      <c r="J71"/>
    </row>
    <row r="72" spans="1:10" x14ac:dyDescent="0.2">
      <c r="A72" s="1071" t="str">
        <f>CONCATENATE("@ ",C31," ",C4)</f>
        <v>@ 75 °F</v>
      </c>
      <c r="B72" s="469" t="s">
        <v>2202</v>
      </c>
      <c r="C72" s="800">
        <f>$C$29*'Hop Calcs'!G21</f>
        <v>0.6</v>
      </c>
      <c r="D72" s="801" t="str">
        <f t="shared" si="3"/>
        <v>qt</v>
      </c>
      <c r="E72" s="735">
        <f>IF($C$2="US Customary",C72/4,"")</f>
        <v>0.15</v>
      </c>
      <c r="F72" s="802" t="str">
        <f t="shared" si="5"/>
        <v>US Gal</v>
      </c>
      <c r="J72"/>
    </row>
    <row r="73" spans="1:10" ht="12.75" customHeight="1" x14ac:dyDescent="0.2">
      <c r="A73" s="1072"/>
      <c r="B73" s="469" t="s">
        <v>2200</v>
      </c>
      <c r="C73" s="800">
        <f>IF($C$30="Removed",$C$49,IF($C$49-$C$72&lt;0,0,$C$49-$C$72))</f>
        <v>0.65</v>
      </c>
      <c r="D73" s="801" t="str">
        <f t="shared" ref="D73:D80" si="10">$C$5</f>
        <v>qt</v>
      </c>
      <c r="E73" s="735">
        <f t="shared" ref="E73" si="11">IF($C$2="US Customary",C73/4,"")</f>
        <v>0.16250000000000001</v>
      </c>
      <c r="F73" s="802" t="str">
        <f t="shared" si="5"/>
        <v>US Gal</v>
      </c>
      <c r="J73"/>
    </row>
    <row r="74" spans="1:10" x14ac:dyDescent="0.2">
      <c r="A74" s="1073"/>
      <c r="B74" s="469" t="s">
        <v>2203</v>
      </c>
      <c r="C74" s="800">
        <f>C70+C72+C73</f>
        <v>46.32712145</v>
      </c>
      <c r="D74" s="801" t="str">
        <f t="shared" si="10"/>
        <v>qt</v>
      </c>
      <c r="E74" s="735">
        <f t="shared" ref="E74" si="12">IF($C$2="US Customary",C74/4,"")</f>
        <v>11.5817803625</v>
      </c>
      <c r="F74" s="802" t="str">
        <f t="shared" si="5"/>
        <v>US Gal</v>
      </c>
      <c r="J74"/>
    </row>
    <row r="75" spans="1:10" x14ac:dyDescent="0.2">
      <c r="A75" s="811" t="str">
        <f>CONCATENATE(C21," to ",C31," ",,C4)</f>
        <v>210.5 to 75 °F</v>
      </c>
      <c r="B75" s="457" t="s">
        <v>2209</v>
      </c>
      <c r="C75" s="800">
        <f>$C$74*($C$21-$C$31)*($C$59*AVERAGE($C$21,$C$31)+$E$59)</f>
        <v>1.7367945756451122</v>
      </c>
      <c r="D75" s="801" t="str">
        <f t="shared" si="10"/>
        <v>qt</v>
      </c>
      <c r="E75" s="735">
        <f t="shared" ref="E75:E79" si="13">IF($C$2="US Customary",C75/4,"")</f>
        <v>0.43419864391127805</v>
      </c>
      <c r="F75" s="802" t="str">
        <f t="shared" si="5"/>
        <v>US Gal</v>
      </c>
      <c r="J75"/>
    </row>
    <row r="76" spans="1:10" x14ac:dyDescent="0.2">
      <c r="A76" s="1071" t="str">
        <f>CONCATENATE("@ ",C21," ",C4)</f>
        <v>@ 210.5 °F</v>
      </c>
      <c r="B76" s="469" t="s">
        <v>2203</v>
      </c>
      <c r="C76" s="800">
        <f>$C$74+$C$75</f>
        <v>48.063916025645113</v>
      </c>
      <c r="D76" s="801" t="str">
        <f t="shared" si="10"/>
        <v>qt</v>
      </c>
      <c r="E76" s="735">
        <f t="shared" si="13"/>
        <v>12.015979006411278</v>
      </c>
      <c r="F76" s="802" t="str">
        <f t="shared" si="5"/>
        <v>US Gal</v>
      </c>
      <c r="J76"/>
    </row>
    <row r="77" spans="1:10" x14ac:dyDescent="0.2">
      <c r="A77" s="1072"/>
      <c r="B77" s="469" t="s">
        <v>2211</v>
      </c>
      <c r="C77" s="803">
        <f>$C$28/60*$C$50</f>
        <v>5.25</v>
      </c>
      <c r="D77" s="801" t="str">
        <f t="shared" si="3"/>
        <v>qt</v>
      </c>
      <c r="E77" s="735">
        <f t="shared" si="13"/>
        <v>1.3125</v>
      </c>
      <c r="F77" s="802" t="str">
        <f t="shared" si="5"/>
        <v>US Gal</v>
      </c>
      <c r="J77"/>
    </row>
    <row r="78" spans="1:10" x14ac:dyDescent="0.2">
      <c r="A78" s="1073"/>
      <c r="B78" s="469" t="s">
        <v>2147</v>
      </c>
      <c r="C78" s="803">
        <f>$C$76+$C$77</f>
        <v>53.313916025645113</v>
      </c>
      <c r="D78" s="801" t="str">
        <f t="shared" si="3"/>
        <v>qt</v>
      </c>
      <c r="E78" s="735">
        <f t="shared" si="13"/>
        <v>13.328479006411278</v>
      </c>
      <c r="F78" s="802" t="str">
        <f t="shared" si="5"/>
        <v>US Gal</v>
      </c>
      <c r="J78"/>
    </row>
    <row r="79" spans="1:10" x14ac:dyDescent="0.2">
      <c r="A79" s="812" t="str">
        <f>CONCATENATE($C$24," to ",$C$21," ",$C$4)</f>
        <v>158 to 210.5 °F</v>
      </c>
      <c r="B79" s="469" t="s">
        <v>2210</v>
      </c>
      <c r="C79" s="804">
        <f>$C$78*($C$21-$C$24)*($C$59*AVERAGE($C$21,$C$24)+$E$59)</f>
        <v>1.0125382263710272</v>
      </c>
      <c r="D79" s="801" t="str">
        <f t="shared" si="3"/>
        <v>qt</v>
      </c>
      <c r="E79" s="735">
        <f t="shared" si="13"/>
        <v>0.2531345565927568</v>
      </c>
      <c r="F79" s="802" t="str">
        <f t="shared" si="5"/>
        <v>US Gal</v>
      </c>
      <c r="J79"/>
    </row>
    <row r="80" spans="1:10" ht="13.5" thickBot="1" x14ac:dyDescent="0.25">
      <c r="A80" s="1116" t="str">
        <f>CONCATENATE("Pre-Boil Volume @ ",C24," ",C4)</f>
        <v>Pre-Boil Volume @ 158 °F</v>
      </c>
      <c r="B80" s="1117"/>
      <c r="C80" s="798">
        <f>$C$78-$C$79</f>
        <v>52.301377799274086</v>
      </c>
      <c r="D80" s="805" t="str">
        <f t="shared" si="10"/>
        <v>qt</v>
      </c>
      <c r="E80" s="806">
        <f t="shared" ref="E80" si="14">IF($C$2="US Customary",C80/4,"")</f>
        <v>13.075344449818521</v>
      </c>
      <c r="F80" s="807" t="str">
        <f t="shared" si="5"/>
        <v>US Gal</v>
      </c>
      <c r="J80"/>
    </row>
    <row r="81" spans="1:13" ht="13.5" thickTop="1" x14ac:dyDescent="0.2">
      <c r="A81" s="1120" t="s">
        <v>1560</v>
      </c>
      <c r="B81" s="1121"/>
      <c r="C81" s="1121"/>
      <c r="D81" s="1121"/>
      <c r="E81" s="1121"/>
      <c r="F81" s="1122"/>
      <c r="J81"/>
    </row>
    <row r="82" spans="1:13" x14ac:dyDescent="0.2">
      <c r="A82" s="1125" t="s">
        <v>2267</v>
      </c>
      <c r="B82" s="457" t="s">
        <v>123</v>
      </c>
      <c r="C82" s="813">
        <f>'Grain &amp; Sugar Calcs'!$C$15</f>
        <v>20</v>
      </c>
      <c r="D82" s="730" t="str">
        <f>'Grain &amp; Sugar Calcs'!C4</f>
        <v>lb</v>
      </c>
      <c r="E82" s="1136"/>
      <c r="F82" s="1137"/>
      <c r="J82"/>
      <c r="M82" s="19"/>
    </row>
    <row r="83" spans="1:13" x14ac:dyDescent="0.2">
      <c r="A83" s="1126"/>
      <c r="B83" s="457" t="s">
        <v>2266</v>
      </c>
      <c r="C83" s="800">
        <f>IF($D$83="qt",0.3125*$C$82,IF($D$83="Liters",0.652*$C$82,""))</f>
        <v>6.25</v>
      </c>
      <c r="D83" s="729" t="str">
        <f>'Brewhouse Setup &amp; Calcs'!$C$5</f>
        <v>qt</v>
      </c>
      <c r="E83" s="735">
        <f>IF($C$2="US Customary",C83/4,"")</f>
        <v>1.5625</v>
      </c>
      <c r="F83" s="802" t="str">
        <f>IF($C$2="US Customary","US Gal","")</f>
        <v>US Gal</v>
      </c>
      <c r="J83"/>
    </row>
    <row r="84" spans="1:13" ht="12.75" customHeight="1" x14ac:dyDescent="0.2">
      <c r="A84" s="1064" t="str">
        <f>CONCATENATE("@ ",$C$24," ",$C$4)</f>
        <v>@ 158 °F</v>
      </c>
      <c r="B84" s="457" t="s">
        <v>2215</v>
      </c>
      <c r="C84" s="814">
        <f>$C$43*$C$82</f>
        <v>8</v>
      </c>
      <c r="D84" s="731" t="str">
        <f>'Brewhouse Setup &amp; Calcs'!$C$5</f>
        <v>qt</v>
      </c>
      <c r="E84" s="788">
        <f>IF($C$2="US Customary",C84/4,"")</f>
        <v>2</v>
      </c>
      <c r="F84" s="764" t="str">
        <f>IF($C$2="US Customary","US Gal","")</f>
        <v>US Gal</v>
      </c>
      <c r="J84"/>
    </row>
    <row r="85" spans="1:13" x14ac:dyDescent="0.2">
      <c r="A85" s="1065"/>
      <c r="B85" s="457" t="s">
        <v>2216</v>
      </c>
      <c r="C85" s="815">
        <f>$C$42</f>
        <v>0</v>
      </c>
      <c r="D85" s="731" t="str">
        <f>'Brewhouse Setup &amp; Calcs'!$C$5</f>
        <v>qt</v>
      </c>
      <c r="E85" s="788">
        <f>IF($C$2="US Customary",C85/4,"")</f>
        <v>0</v>
      </c>
      <c r="F85" s="764" t="str">
        <f>IF($C$2="US Customary","US Gal","")</f>
        <v>US Gal</v>
      </c>
      <c r="J85"/>
    </row>
    <row r="86" spans="1:13" x14ac:dyDescent="0.2">
      <c r="A86" s="1065"/>
      <c r="B86" s="469" t="s">
        <v>103</v>
      </c>
      <c r="C86" s="800">
        <f>IF($C$26="OFF",$C$27,"0")</f>
        <v>0</v>
      </c>
      <c r="D86" s="729" t="str">
        <f>'Brewhouse Setup &amp; Calcs'!$C$5</f>
        <v>qt</v>
      </c>
      <c r="E86" s="735">
        <f t="shared" ref="E86" si="15">IF($C$2="US Customary",C86/4,"")</f>
        <v>0</v>
      </c>
      <c r="F86" s="802" t="str">
        <f t="shared" ref="F86:F91" si="16">IF($C$2="US Customary","US Gal","")</f>
        <v>US Gal</v>
      </c>
      <c r="I86" s="19"/>
      <c r="J86"/>
    </row>
    <row r="87" spans="1:13" ht="13.5" thickBot="1" x14ac:dyDescent="0.25">
      <c r="A87" s="1065"/>
      <c r="B87" s="581" t="s">
        <v>2359</v>
      </c>
      <c r="C87" s="816">
        <f>VLOOKUP(C11,'Equipment Profiles'!A6:P25,16,FALSE)</f>
        <v>0.375</v>
      </c>
      <c r="D87" s="729" t="str">
        <f>'Brewhouse Setup &amp; Calcs'!$C$5</f>
        <v>qt</v>
      </c>
      <c r="E87" s="735">
        <f t="shared" ref="E87" si="17">IF($C$2="US Customary",C87/4,"")</f>
        <v>9.375E-2</v>
      </c>
      <c r="F87" s="802" t="str">
        <f t="shared" si="16"/>
        <v>US Gal</v>
      </c>
      <c r="I87" s="19"/>
      <c r="J87"/>
    </row>
    <row r="88" spans="1:13" ht="13.5" thickBot="1" x14ac:dyDescent="0.25">
      <c r="A88" s="1066"/>
      <c r="B88" s="545" t="s">
        <v>2271</v>
      </c>
      <c r="C88" s="817">
        <f>$C$80+SUM(C84:C87)</f>
        <v>60.676377799274086</v>
      </c>
      <c r="D88" s="818" t="str">
        <f>'Brewhouse Setup &amp; Calcs'!$C$5</f>
        <v>qt</v>
      </c>
      <c r="E88" s="735">
        <f t="shared" ref="E88" si="18">IF($C$2="US Customary",C88/4,"")</f>
        <v>15.169094449818521</v>
      </c>
      <c r="F88" s="802" t="str">
        <f t="shared" si="16"/>
        <v>US Gal</v>
      </c>
      <c r="J88"/>
    </row>
    <row r="89" spans="1:13" ht="13.5" thickBot="1" x14ac:dyDescent="0.25">
      <c r="A89" s="1067" t="str">
        <f>CONCATENATE("Total Water Req'd @ ",$C$20," ",$C$4)</f>
        <v>Total Water Req'd @ 51 °F</v>
      </c>
      <c r="B89" s="1068"/>
      <c r="C89" s="819">
        <f>$C$88-$C$88*($C$24-$C$20)*($C$59*AVERAGE($C$24,$C$20)+$E$59)</f>
        <v>59.38916758052617</v>
      </c>
      <c r="D89" s="818" t="str">
        <f>'Brewhouse Setup &amp; Calcs'!$C$5</f>
        <v>qt</v>
      </c>
      <c r="E89" s="735">
        <f t="shared" ref="E89" si="19">IF($C$2="US Customary",C89/4,"")</f>
        <v>14.847291895131542</v>
      </c>
      <c r="F89" s="802" t="str">
        <f t="shared" si="16"/>
        <v>US Gal</v>
      </c>
      <c r="J89"/>
    </row>
    <row r="90" spans="1:13" x14ac:dyDescent="0.2">
      <c r="A90" s="506" t="s">
        <v>2275</v>
      </c>
      <c r="B90" s="457" t="s">
        <v>2276</v>
      </c>
      <c r="C90" s="786">
        <f>(N31+$C$83)</f>
        <v>36.25</v>
      </c>
      <c r="D90" s="729" t="str">
        <f>'Brewhouse Setup &amp; Calcs'!$C$5</f>
        <v>qt</v>
      </c>
      <c r="E90" s="735">
        <f>IF($C$2="US Customary",C90/4,"")</f>
        <v>9.0625</v>
      </c>
      <c r="F90" s="802" t="str">
        <f>IF($C$2="US Customary","US Gal","")</f>
        <v>US Gal</v>
      </c>
      <c r="J90"/>
    </row>
    <row r="91" spans="1:13" ht="13.5" thickBot="1" x14ac:dyDescent="0.25">
      <c r="A91" s="507" t="s">
        <v>2274</v>
      </c>
      <c r="B91" s="457" t="s">
        <v>2277</v>
      </c>
      <c r="C91" s="800">
        <f>$C$90-$C$86</f>
        <v>36.25</v>
      </c>
      <c r="D91" s="818" t="str">
        <f>'Brewhouse Setup &amp; Calcs'!$C$5</f>
        <v>qt</v>
      </c>
      <c r="E91" s="735">
        <f>IF($C$2="US Customary",C91/4,"")</f>
        <v>9.0625</v>
      </c>
      <c r="F91" s="802" t="str">
        <f t="shared" si="16"/>
        <v>US Gal</v>
      </c>
      <c r="J91"/>
    </row>
    <row r="92" spans="1:13" ht="12.75" customHeight="1" thickTop="1" x14ac:dyDescent="0.2">
      <c r="A92" s="1120" t="s">
        <v>1561</v>
      </c>
      <c r="B92" s="1121"/>
      <c r="C92" s="1121"/>
      <c r="D92" s="1121"/>
      <c r="E92" s="1121"/>
      <c r="F92" s="1122"/>
      <c r="J92"/>
    </row>
    <row r="93" spans="1:13" ht="12.75" customHeight="1" x14ac:dyDescent="0.2">
      <c r="A93" s="1157" t="str">
        <f>CONCATENATE("Collectible Wort in Mash @ ",$C$24," ",$C$4)</f>
        <v>Collectible Wort in Mash @ 158 °F</v>
      </c>
      <c r="B93" s="1158"/>
      <c r="C93" s="815">
        <f>N31-$C$84-$C$85-$C$86</f>
        <v>22</v>
      </c>
      <c r="D93" s="729" t="str">
        <f>'Brewhouse Setup &amp; Calcs'!$C$5</f>
        <v>qt</v>
      </c>
      <c r="E93" s="735">
        <f>IF($C$2="US Customary",C93/4,"")</f>
        <v>5.5</v>
      </c>
      <c r="F93" s="802" t="str">
        <f>IF($C$2="US Customary","US Gal","")</f>
        <v>US Gal</v>
      </c>
      <c r="J93"/>
    </row>
    <row r="94" spans="1:13" x14ac:dyDescent="0.2">
      <c r="A94" s="811" t="str">
        <f>CONCATENATE($C$24," ",$C$4)</f>
        <v>158 °F</v>
      </c>
      <c r="B94" s="457" t="s">
        <v>2221</v>
      </c>
      <c r="C94" s="800">
        <f>$C$88-N31</f>
        <v>30.676377799274086</v>
      </c>
      <c r="D94" s="729" t="str">
        <f>'Brewhouse Setup &amp; Calcs'!$C$5</f>
        <v>qt</v>
      </c>
      <c r="E94" s="735">
        <f>IF($C$2="US Customary",C94/4,"")</f>
        <v>7.6690944498185214</v>
      </c>
      <c r="F94" s="802" t="str">
        <f>IF($C$2="US Customary","US Gal","")</f>
        <v>US Gal</v>
      </c>
      <c r="J94"/>
    </row>
    <row r="95" spans="1:13" x14ac:dyDescent="0.2">
      <c r="A95" s="1123" t="s">
        <v>2278</v>
      </c>
      <c r="B95" s="457" t="s">
        <v>2309</v>
      </c>
      <c r="C95" s="786">
        <f>$C$40*$C$41-$C$91</f>
        <v>13.149999999999999</v>
      </c>
      <c r="D95" s="731" t="str">
        <f>'Brewhouse Setup &amp; Calcs'!$C$5</f>
        <v>qt</v>
      </c>
      <c r="E95" s="735">
        <f>IF($C$2="US Customary",C95/4,"")</f>
        <v>3.2874999999999996</v>
      </c>
      <c r="F95" s="802" t="str">
        <f>IF($C$2="US Customary","US Gal","")</f>
        <v>US Gal</v>
      </c>
      <c r="J95"/>
    </row>
    <row r="96" spans="1:13" x14ac:dyDescent="0.2">
      <c r="A96" s="1124"/>
      <c r="B96" s="457" t="s">
        <v>2310</v>
      </c>
      <c r="C96" s="786">
        <f>$C$40*$C$41-$C$83-$C$84-$C$85-$C$86</f>
        <v>35.15</v>
      </c>
      <c r="D96" s="731" t="str">
        <f>'Brewhouse Setup &amp; Calcs'!$C$5</f>
        <v>qt</v>
      </c>
      <c r="E96" s="735">
        <f>IF($C$2="US Customary",C96/4,"")</f>
        <v>8.7874999999999996</v>
      </c>
      <c r="F96" s="802" t="str">
        <f>IF($C$2="US Customary","US Gal","")</f>
        <v>US Gal</v>
      </c>
      <c r="J96"/>
    </row>
    <row r="97" spans="1:10" x14ac:dyDescent="0.2">
      <c r="A97" s="1129" t="s">
        <v>2279</v>
      </c>
      <c r="B97" s="1138"/>
      <c r="C97" s="800">
        <f>$C$80/$C$96</f>
        <v>1.4879481592965602</v>
      </c>
      <c r="D97" s="1146"/>
      <c r="E97" s="1153"/>
      <c r="F97" s="1147"/>
      <c r="J97"/>
    </row>
    <row r="98" spans="1:10" x14ac:dyDescent="0.2">
      <c r="A98" s="1159" t="s">
        <v>108</v>
      </c>
      <c r="B98" s="1138"/>
      <c r="C98" s="800">
        <f>ROUNDUP($C$97,0)</f>
        <v>2</v>
      </c>
      <c r="D98" s="1154"/>
      <c r="E98" s="1155"/>
      <c r="F98" s="1156"/>
      <c r="J98"/>
    </row>
    <row r="99" spans="1:10" x14ac:dyDescent="0.2">
      <c r="A99" s="1129" t="s">
        <v>1220</v>
      </c>
      <c r="B99" s="1130"/>
      <c r="C99" s="800">
        <f>C80/C98</f>
        <v>26.150688899637043</v>
      </c>
      <c r="D99" s="729" t="str">
        <f>'Brewhouse Setup &amp; Calcs'!$C$5</f>
        <v>qt</v>
      </c>
      <c r="E99" s="735">
        <f>IF($C$2="US Customary",C99/4,"")</f>
        <v>6.5376722249092607</v>
      </c>
      <c r="F99" s="802" t="str">
        <f t="shared" ref="F99:F103" si="20">IF($C$2="US Customary","US Gal","")</f>
        <v>US Gal</v>
      </c>
      <c r="J99"/>
    </row>
    <row r="100" spans="1:10" x14ac:dyDescent="0.2">
      <c r="A100" s="1125" t="s">
        <v>2268</v>
      </c>
      <c r="B100" s="457" t="s">
        <v>2280</v>
      </c>
      <c r="C100" s="800">
        <f>IF($C$99&gt;=$C$93,$C$99-$C$93,0)</f>
        <v>4.1506888996370428</v>
      </c>
      <c r="D100" s="729" t="str">
        <f>'Brewhouse Setup &amp; Calcs'!$C$5</f>
        <v>qt</v>
      </c>
      <c r="E100" s="735">
        <f>IF($C$2="US Customary",C100/4,"")</f>
        <v>1.0376722249092607</v>
      </c>
      <c r="F100" s="802" t="str">
        <f t="shared" si="20"/>
        <v>US Gal</v>
      </c>
      <c r="J100"/>
    </row>
    <row r="101" spans="1:10" x14ac:dyDescent="0.2">
      <c r="A101" s="1113"/>
      <c r="B101" s="457" t="s">
        <v>2269</v>
      </c>
      <c r="C101" s="815">
        <f>$C$93+$C$100</f>
        <v>26.150688899637043</v>
      </c>
      <c r="D101" s="729" t="str">
        <f>'Brewhouse Setup &amp; Calcs'!$C$5</f>
        <v>qt</v>
      </c>
      <c r="E101" s="735">
        <f>IF($C$2="US Customary",C101/4,"")</f>
        <v>6.5376722249092607</v>
      </c>
      <c r="F101" s="802" t="str">
        <f t="shared" si="20"/>
        <v>US Gal</v>
      </c>
      <c r="J101"/>
    </row>
    <row r="102" spans="1:10" x14ac:dyDescent="0.2">
      <c r="A102" s="1113"/>
      <c r="B102" s="468" t="s">
        <v>2270</v>
      </c>
      <c r="C102" s="804">
        <f>IF($C$98=2,$C$80-$C$101,0)</f>
        <v>26.150688899637043</v>
      </c>
      <c r="D102" s="730" t="str">
        <f>'Brewhouse Setup &amp; Calcs'!$C$5</f>
        <v>qt</v>
      </c>
      <c r="E102" s="739">
        <f>IF($C$2="US Customary",C102/4,"")</f>
        <v>6.5376722249092607</v>
      </c>
      <c r="F102" s="740" t="str">
        <f t="shared" si="20"/>
        <v>US Gal</v>
      </c>
      <c r="J102"/>
    </row>
    <row r="103" spans="1:10" ht="13.5" thickBot="1" x14ac:dyDescent="0.25">
      <c r="A103" s="1116" t="str">
        <f>CONCATENATE("Pre-Boil Volume @ ",C24," ",C4)</f>
        <v>Pre-Boil Volume @ 158 °F</v>
      </c>
      <c r="B103" s="1117"/>
      <c r="C103" s="820">
        <f>$C$101+$C$102</f>
        <v>52.301377799274086</v>
      </c>
      <c r="D103" s="785" t="str">
        <f>'Brewhouse Setup &amp; Calcs'!$C$5</f>
        <v>qt</v>
      </c>
      <c r="E103" s="806">
        <f t="shared" ref="E103" si="21">IF($C$2="US Customary",C103/4,"")</f>
        <v>13.075344449818521</v>
      </c>
      <c r="F103" s="807" t="str">
        <f t="shared" si="20"/>
        <v>US Gal</v>
      </c>
      <c r="J103"/>
    </row>
    <row r="104" spans="1:10" ht="13.5" thickTop="1" x14ac:dyDescent="0.2">
      <c r="J104"/>
    </row>
    <row r="105" spans="1:10" ht="13.15" customHeight="1" x14ac:dyDescent="0.2">
      <c r="J105"/>
    </row>
    <row r="106" spans="1:10" x14ac:dyDescent="0.2">
      <c r="J106"/>
    </row>
    <row r="107" spans="1:10" x14ac:dyDescent="0.2">
      <c r="J107"/>
    </row>
    <row r="108" spans="1:10" x14ac:dyDescent="0.2">
      <c r="J108"/>
    </row>
    <row r="109" spans="1:10" x14ac:dyDescent="0.2">
      <c r="J109"/>
    </row>
    <row r="110" spans="1:10" ht="12.75" customHeight="1" x14ac:dyDescent="0.2">
      <c r="J110"/>
    </row>
    <row r="111" spans="1:10" ht="12.75" customHeight="1" x14ac:dyDescent="0.2">
      <c r="J111"/>
    </row>
    <row r="112" spans="1:10" ht="12.75" customHeight="1" x14ac:dyDescent="0.2">
      <c r="J112"/>
    </row>
    <row r="113" spans="10:10" ht="12.75" customHeight="1" x14ac:dyDescent="0.2">
      <c r="J113"/>
    </row>
    <row r="114" spans="10:10" ht="12.75" customHeight="1" x14ac:dyDescent="0.2">
      <c r="J114"/>
    </row>
    <row r="115" spans="10:10" ht="12.75" customHeight="1" x14ac:dyDescent="0.2">
      <c r="J115"/>
    </row>
    <row r="116" spans="10:10" ht="12.75" customHeight="1" x14ac:dyDescent="0.2">
      <c r="J116"/>
    </row>
    <row r="117" spans="10:10" ht="12.75" customHeight="1" x14ac:dyDescent="0.2">
      <c r="J117"/>
    </row>
    <row r="118" spans="10:10" x14ac:dyDescent="0.2">
      <c r="J118"/>
    </row>
    <row r="119" spans="10:10" x14ac:dyDescent="0.2">
      <c r="J119"/>
    </row>
    <row r="120" spans="10:10" x14ac:dyDescent="0.2">
      <c r="J120"/>
    </row>
    <row r="121" spans="10:10" x14ac:dyDescent="0.2">
      <c r="J121"/>
    </row>
    <row r="122" spans="10:10" x14ac:dyDescent="0.2">
      <c r="J122"/>
    </row>
  </sheetData>
  <sheetProtection sheet="1" formatCells="0"/>
  <dataConsolidate/>
  <mergeCells count="90">
    <mergeCell ref="P23:P25"/>
    <mergeCell ref="M23:N24"/>
    <mergeCell ref="F5:H5"/>
    <mergeCell ref="N32:N33"/>
    <mergeCell ref="N35:N36"/>
    <mergeCell ref="H23:L23"/>
    <mergeCell ref="K14:L14"/>
    <mergeCell ref="K11:M11"/>
    <mergeCell ref="K12:L12"/>
    <mergeCell ref="E30:F31"/>
    <mergeCell ref="I21:O21"/>
    <mergeCell ref="E19:F22"/>
    <mergeCell ref="A100:A102"/>
    <mergeCell ref="A97:B97"/>
    <mergeCell ref="K1:N1"/>
    <mergeCell ref="L2:N2"/>
    <mergeCell ref="L3:N3"/>
    <mergeCell ref="L4:N4"/>
    <mergeCell ref="L8:N8"/>
    <mergeCell ref="L5:N5"/>
    <mergeCell ref="L6:N6"/>
    <mergeCell ref="L7:N7"/>
    <mergeCell ref="E24:F27"/>
    <mergeCell ref="D97:F98"/>
    <mergeCell ref="A93:B93"/>
    <mergeCell ref="A98:B98"/>
    <mergeCell ref="K13:L13"/>
    <mergeCell ref="F4:H4"/>
    <mergeCell ref="A103:B103"/>
    <mergeCell ref="K24:L24"/>
    <mergeCell ref="A81:F81"/>
    <mergeCell ref="A92:F92"/>
    <mergeCell ref="A95:A96"/>
    <mergeCell ref="A80:B80"/>
    <mergeCell ref="A63:F63"/>
    <mergeCell ref="A67:F67"/>
    <mergeCell ref="A71:F71"/>
    <mergeCell ref="A82:A83"/>
    <mergeCell ref="A62:B62"/>
    <mergeCell ref="A99:B99"/>
    <mergeCell ref="E58:F58"/>
    <mergeCell ref="E28:F28"/>
    <mergeCell ref="A36:B36"/>
    <mergeCell ref="E82:F82"/>
    <mergeCell ref="A33:D33"/>
    <mergeCell ref="A40:A46"/>
    <mergeCell ref="C30:D30"/>
    <mergeCell ref="A30:A31"/>
    <mergeCell ref="A28:A29"/>
    <mergeCell ref="C44:D44"/>
    <mergeCell ref="A17:B17"/>
    <mergeCell ref="A23:A27"/>
    <mergeCell ref="C2:D2"/>
    <mergeCell ref="A11:B11"/>
    <mergeCell ref="A14:B14"/>
    <mergeCell ref="A12:B12"/>
    <mergeCell ref="A13:B13"/>
    <mergeCell ref="A16:F16"/>
    <mergeCell ref="A10:I10"/>
    <mergeCell ref="A19:A22"/>
    <mergeCell ref="C11:I11"/>
    <mergeCell ref="C12:I12"/>
    <mergeCell ref="C13:I13"/>
    <mergeCell ref="C14:I14"/>
    <mergeCell ref="A18:B18"/>
    <mergeCell ref="C26:D26"/>
    <mergeCell ref="A84:A88"/>
    <mergeCell ref="A89:B89"/>
    <mergeCell ref="C58:D58"/>
    <mergeCell ref="C59:D59"/>
    <mergeCell ref="A72:A74"/>
    <mergeCell ref="A76:A78"/>
    <mergeCell ref="A68:A70"/>
    <mergeCell ref="A61:F61"/>
    <mergeCell ref="E59:F59"/>
    <mergeCell ref="A57:F57"/>
    <mergeCell ref="A58:A59"/>
    <mergeCell ref="A53:A55"/>
    <mergeCell ref="E48:F48"/>
    <mergeCell ref="E50:F50"/>
    <mergeCell ref="E51:F51"/>
    <mergeCell ref="A51:A52"/>
    <mergeCell ref="C51:D51"/>
    <mergeCell ref="A47:A50"/>
    <mergeCell ref="E54:F54"/>
    <mergeCell ref="E44:F46"/>
    <mergeCell ref="E41:F41"/>
    <mergeCell ref="A38:F38"/>
    <mergeCell ref="A39:B39"/>
    <mergeCell ref="A34:A35"/>
  </mergeCells>
  <conditionalFormatting sqref="C18">
    <cfRule type="expression" dxfId="49" priority="168">
      <formula>IF($M$12="FAIL",TRUE,FALSE)</formula>
    </cfRule>
  </conditionalFormatting>
  <conditionalFormatting sqref="C23">
    <cfRule type="expression" dxfId="48" priority="276">
      <formula>$P$26&gt;$C$23</formula>
    </cfRule>
  </conditionalFormatting>
  <conditionalFormatting sqref="C24">
    <cfRule type="expression" dxfId="47" priority="157">
      <formula>IF(OR(#REF!="Single Infusion",$C$24=$I$31),FALSE,TRUE)</formula>
    </cfRule>
  </conditionalFormatting>
  <conditionalFormatting sqref="C40">
    <cfRule type="expression" dxfId="46" priority="266">
      <formula>$M$12="PASS"</formula>
    </cfRule>
    <cfRule type="expression" dxfId="45" priority="267">
      <formula>AND(IF(#REF!&lt;=C40*C41,FALSE,TRUE),NOT(ISBLANK($C$40)))</formula>
    </cfRule>
  </conditionalFormatting>
  <conditionalFormatting sqref="C45:C46">
    <cfRule type="expression" dxfId="44" priority="44">
      <formula>AND(IF(C44="Fly",TRUE,FALSE),NOT($C$45&gt;0))</formula>
    </cfRule>
  </conditionalFormatting>
  <conditionalFormatting sqref="C47">
    <cfRule type="expression" dxfId="43" priority="169">
      <formula>IF($M$13="FAIL",TRUE,FALSE)</formula>
    </cfRule>
  </conditionalFormatting>
  <conditionalFormatting sqref="C53">
    <cfRule type="expression" dxfId="42" priority="170">
      <formula>IF($M$14="FAIL",TRUE,FALSE)</formula>
    </cfRule>
  </conditionalFormatting>
  <conditionalFormatting sqref="C80">
    <cfRule type="expression" dxfId="41" priority="255">
      <formula>$C$103=$C$80</formula>
    </cfRule>
  </conditionalFormatting>
  <conditionalFormatting sqref="C103">
    <cfRule type="expression" dxfId="40" priority="32">
      <formula>$C$103=$C$80</formula>
    </cfRule>
    <cfRule type="expression" dxfId="39" priority="33">
      <formula>NOT($C$103=$C$80)</formula>
    </cfRule>
  </conditionalFormatting>
  <conditionalFormatting sqref="I31:J31">
    <cfRule type="expression" dxfId="38" priority="9">
      <formula>IF($C$24=$I$31,FALSE,TRUE)</formula>
    </cfRule>
  </conditionalFormatting>
  <conditionalFormatting sqref="K26 M26:M30">
    <cfRule type="expression" dxfId="37" priority="23">
      <formula>$K$26&gt;$C$21</formula>
    </cfRule>
  </conditionalFormatting>
  <conditionalFormatting sqref="M12:M14">
    <cfRule type="cellIs" dxfId="36" priority="52" operator="equal">
      <formula>"PASS"</formula>
    </cfRule>
    <cfRule type="cellIs" dxfId="35" priority="53" operator="equal">
      <formula>"FAIL"</formula>
    </cfRule>
  </conditionalFormatting>
  <conditionalFormatting sqref="N31">
    <cfRule type="cellIs" dxfId="34" priority="273" operator="greaterThan">
      <formula>$O$24</formula>
    </cfRule>
  </conditionalFormatting>
  <conditionalFormatting sqref="N34">
    <cfRule type="cellIs" dxfId="33" priority="4" operator="lessThan">
      <formula>0</formula>
    </cfRule>
  </conditionalFormatting>
  <conditionalFormatting sqref="O26:O30">
    <cfRule type="cellIs" dxfId="32" priority="24" operator="between">
      <formula>0</formula>
      <formula>$O$24*0.1</formula>
    </cfRule>
    <cfRule type="cellIs" dxfId="31" priority="25" operator="greaterThanOrEqual">
      <formula>0</formula>
    </cfRule>
    <cfRule type="cellIs" dxfId="30" priority="26" operator="lessThan">
      <formula>0</formula>
    </cfRule>
  </conditionalFormatting>
  <conditionalFormatting sqref="X23">
    <cfRule type="expression" priority="265">
      <formula>#REF!="Hydrometer"</formula>
    </cfRule>
  </conditionalFormatting>
  <dataValidations xWindow="358" yWindow="264" count="39">
    <dataValidation type="decimal" operator="lessThan" showInputMessage="1" showErrorMessage="1" promptTitle="Grain Absorption Rate" prompt="Rate of water absorption into dry grain._x000a_Default setting: .5 for US units, 1.043 for Metric units._x000a_BIAB is closer to .35 US units." sqref="C43" xr:uid="{00000000-0002-0000-0200-000000000000}">
      <formula1>100</formula1>
    </dataValidation>
    <dataValidation type="list" showInputMessage="1" showErrorMessage="1" errorTitle="System of Measure" error="Select from the list" promptTitle="System Units" prompt="Select units system for this spreadsheet." sqref="C2" xr:uid="{00000000-0002-0000-0200-000002000000}">
      <formula1>"US Customary,Metric"</formula1>
    </dataValidation>
    <dataValidation allowBlank="1" showInputMessage="1" showErrorMessage="1" promptTitle="Suggested Values" prompt="Blichmann 15G: .5 qt_x000a_Coleman 70qt: 1.5 when pumped, 3.5 when gravity drained._x000a_Grainfather: 0" sqref="C43" xr:uid="{54049D58-E5DE-422F-87B4-CEC8F0470D16}"/>
    <dataValidation type="decimal" operator="lessThan" showInputMessage="1" showErrorMessage="1" promptTitle="Suggested Values" prompt="Grain bill &gt;80% 2-row pale malt: .5 qt/lb (1.043 Metric)_x000a_Large ratios of kilned/roasted malts (such as Vienna) require a larger value approaching .7 qt/lb" sqref="C43" xr:uid="{FF1DA645-20AF-4D83-9833-F4B159BF4AF2}">
      <formula1>100</formula1>
    </dataValidation>
    <dataValidation allowBlank="1" showInputMessage="1" showErrorMessage="1" promptTitle="Mash Temperature" prompt="Single Infusion (typical range): 148-156°F (64-69°C)_x000a_Step Mash: Enter the final step temperature_x000a_Higher temp promotes a fuller bodied beer. Lower temp promotes a lighter bodied beer." sqref="C24" xr:uid="{92D4475F-C9A4-433A-B92D-596C2DEB4063}"/>
    <dataValidation allowBlank="1" showInputMessage="1" showErrorMessage="1" promptTitle="Hop Absorption Rate" prompt="rate of water absorption in hops. Contributes to kettle losses._x000a_If not known, try .3 qt/oz (.010 L/g)." sqref="C29" xr:uid="{2E091B22-6DC8-4421-A10C-35C16940C7C9}"/>
    <dataValidation allowBlank="1" showInputMessage="1" showErrorMessage="1" promptTitle="Hydrometer Calibration Temp" prompt="Typical US Value: 60 deg F_x000a_Check your hydrometer." sqref="C34" xr:uid="{3EAEFCF7-DE5F-4133-81D0-A74F50E36DA3}"/>
    <dataValidation type="decimal" operator="lessThanOrEqual" showInputMessage="1" showErrorMessage="1" promptTitle="Mash Time" prompt="Expected length of mash." sqref="C25" xr:uid="{D2BEA3AF-1FF1-4995-822C-CAD0A3EFE820}">
      <formula1>120</formula1>
    </dataValidation>
    <dataValidation type="list" operator="lessThan" showInputMessage="1" showErrorMessage="1" sqref="C24" xr:uid="{267DA435-49C2-4283-B1FC-1B7F538FFAA9}">
      <formula1>"Single Infusion,Step Profile,Other"</formula1>
    </dataValidation>
    <dataValidation operator="lessThan" showInputMessage="1" showErrorMessage="1" promptTitle="Liquid-to-Grist Ratio" prompt="Strike water volume divided by the grain bill mass._x000a_Typical range: 1.25-1.5 qt/lb (2.6-3.1 L/kg)" sqref="C23" xr:uid="{FA0A5DC3-7014-4E39-A49F-4FB1159C0600}"/>
    <dataValidation allowBlank="1" showInputMessage="1" showErrorMessage="1" promptTitle="Cooled Post Boil Temperature" prompt="Expected temperature after chilling." sqref="C31:C32 C34" xr:uid="{E50BD46A-6DD1-44FC-A31B-9A8AD971FD05}"/>
    <dataValidation type="list" allowBlank="1" showInputMessage="1" showErrorMessage="1" promptTitle="Hops Handling" prompt="Whether hops are left in the kettle prior to racking or are removed via hop bags or hop spiders. This value impacts kettle loss calculations._x000a_Loose - free hops (&quot;going commando&quot;)_x000a_Removed - hops bags or spiders used to remove hops from kettle" sqref="C30:D30" xr:uid="{DAAF97BE-56A1-4A32-B797-EC31544B7D8F}">
      <formula1>"Loose,Removed"</formula1>
    </dataValidation>
    <dataValidation type="list" allowBlank="1" showInputMessage="1" showErrorMessage="1" promptTitle="Mashtun Lid" prompt="OFF - Open mashtun resulting in evaporation loss._x000a_ ON - Closed mashtun resulting in no evaporation loss." sqref="C26:D26" xr:uid="{805A2529-E535-474F-9125-5DC6F0EC039F}">
      <formula1>"OFF,ON"</formula1>
    </dataValidation>
    <dataValidation type="decimal" operator="lessThan" showInputMessage="1" showErrorMessage="1" promptTitle="Mash Time" prompt="Expected length of time to mash." sqref="C25" xr:uid="{A25EDE9F-CA16-40BA-AD77-8462EAB4D161}">
      <formula1>100</formula1>
    </dataValidation>
    <dataValidation allowBlank="1" showInputMessage="1" showErrorMessage="1" promptTitle="Target Batch Size (Packaged)" prompt="Final volume of finished beer in bottles or kegs" sqref="C18" xr:uid="{94FF8357-388D-4994-B0A4-0512467DE06C}"/>
    <dataValidation allowBlank="1" showInputMessage="1" showErrorMessage="1" promptTitle="Room Temperature" prompt="Ambient brew space temperature_x000a_Default: 68 F (20 C)" sqref="C19" xr:uid="{C59275E4-D9CF-4ED5-93B9-671AC3624E8E}"/>
    <dataValidation allowBlank="1" showInputMessage="1" showErrorMessage="1" promptTitle="Water Temperature" prompt="Ambient temperature of total brewing water (or supply)" sqref="C20" xr:uid="{77AB3879-16BC-405F-87F5-85F819B47C0B}"/>
    <dataValidation allowBlank="1" showInputMessage="1" showErrorMessage="1" promptTitle="Boil Temperature" prompt="Temperature at which water boils at your elevation._x000a_Examples:_x000a_           Sea Level: 212F (100C)_x000a_South Park, CO: 193F (89.6C)" sqref="C21" xr:uid="{C0660C29-FA4A-46B8-AC33-560E4D133C22}"/>
    <dataValidation operator="lessThan" showInputMessage="1" showErrorMessage="1" promptTitle="Grain Temperature" prompt="Temperature within milled grains just prior to mashing." sqref="C22" xr:uid="{29806F38-11CB-494C-B247-1C76D27B855A}"/>
    <dataValidation allowBlank="1" showInputMessage="1" showErrorMessage="1" promptTitle="Boil Time" prompt="Length of boil" sqref="C28" xr:uid="{E59E303B-1CE2-45F4-8648-64F5EF4BAE56}"/>
    <dataValidation allowBlank="1" showInputMessage="1" showErrorMessage="1" promptTitle="Mashtun Capacity" prompt="Volume available to fill with liquid._x000a_If using a cooler, beware this is less than the stated capacity of most coolers." sqref="C40" xr:uid="{17584D60-A38F-4160-80A4-BF22F22B15C3}"/>
    <dataValidation operator="lessThan" showInputMessage="1" showErrorMessage="1" promptTitle="Mashtun Max Fill Percentage" prompt="Maximum desired fill for mash tun. Should be less &lt; 95% to avoid spills." sqref="C41" xr:uid="{5429466B-CC50-466F-A8D0-BF3780C0EE4A}"/>
    <dataValidation type="decimal" operator="lessThan" showInputMessage="1" showErrorMessage="1" promptTitle="Mashtun Deadspace" prompt="Amount of wort remaining in mash tun after draining it." sqref="C42" xr:uid="{D96B777E-5D6D-4B01-A024-00D20C17E4E8}">
      <formula1>100</formula1>
    </dataValidation>
    <dataValidation allowBlank="1" showInputMessage="1" showErrorMessage="1" promptTitle="Tun Dead Space" sqref="C42" xr:uid="{4045F96F-302C-4F4A-813B-270C41B336C1}"/>
    <dataValidation operator="lessThan" showDropDown="1" showInputMessage="1" showErrorMessage="1" promptTitle="Sparge Method" prompt="Batch - Batch Sparge_x000a_Fly - Continous Sparge_x000a_No Sparge - Strike &amp; Sparge Water previously combined._x000a_NA - An extract brew" sqref="C44:D44" xr:uid="{9FF5001D-2257-4814-B3F9-5E0EBE5320E9}"/>
    <dataValidation allowBlank="1" showInputMessage="1" showErrorMessage="1" promptTitle="Fly Sparge Flow Rate" prompt="Desired flow rate if fly sparging. Leave blank if using other method." sqref="C45" xr:uid="{C2958027-F82F-49EE-B380-96C15A2E49F6}"/>
    <dataValidation allowBlank="1" showInputMessage="1" showErrorMessage="1" promptTitle="Expected Mash Extract Efficiency" prompt="Calculated from previous batches on a given system._x000a_Not to be confused with brewhouse efficiency._x000a_Batch &amp; No Sparge: 65-80% typical_x000a_Fly Sparge: 80-90% tyical" sqref="C46" xr:uid="{665BF534-E976-4104-BAEB-91D653B7ED29}"/>
    <dataValidation allowBlank="1" showInputMessage="1" showErrorMessage="1" promptTitle="Kettle Capacity" prompt="Max volume of boil kettle." sqref="C47" xr:uid="{93830AD3-5AFC-41EF-A584-34FD47C5D8F4}"/>
    <dataValidation allowBlank="1" showInputMessage="1" showErrorMessage="1" promptTitle="Kettle Max Fill" prompt="Max desired fill capacity for boil kettle. Should allow room for foaming and possibility of boil over." sqref="C48" xr:uid="{AB40D7E7-CBEA-4D18-9D9C-0790CDC9D98C}"/>
    <dataValidation allowBlank="1" showInputMessage="1" showErrorMessage="1" promptTitle="Kettle Dead Space" prompt="Amount of wort left in kettle after racking to fermenter." sqref="C49" xr:uid="{97C987F2-D124-42A0-AFB0-6D185AF96A3B}"/>
    <dataValidation allowBlank="1" showInputMessage="1" showErrorMessage="1" promptTitle="Boil-Off Rate" prompt="Rate of evaporation during the boil." sqref="C50" xr:uid="{2C436EFC-17EC-4628-BEF6-97D20A7EB88A}"/>
    <dataValidation allowBlank="1" showInputMessage="1" showErrorMessage="1" promptTitle="Chiller Displacement" prompt="Only used with Immersion Chillers. Can be left blank if Chiller Type is 'Other'." sqref="C52" xr:uid="{C1BFEA51-6D09-4E0E-938D-88E11EBE6ADE}"/>
    <dataValidation allowBlank="1" showInputMessage="1" showErrorMessage="1" promptTitle="Fermenter Max Fill" prompt="Limit amount of wort to reserve space for krausen (foam) during fermentation to avoid a clogged airlock." sqref="C54" xr:uid="{A95D152C-5857-4B5E-830B-9D086B64C8BD}"/>
    <dataValidation allowBlank="1" showInputMessage="1" showErrorMessage="1" promptTitle="Fermenter Dead Space" prompt="Amount of beer left behind in fermenter(s)." sqref="C55" xr:uid="{914A8F29-CEBB-4653-B85D-88C66F57D377}"/>
    <dataValidation allowBlank="1" showInputMessage="1" showErrorMessage="1" promptTitle="Hydrometer Correction Offset" prompt="Hydrometer calibration offset value. (Be sure to test/calibrate your hydrometer in distilled water.)" sqref="C35" xr:uid="{C5B358C6-61C4-4FD1-8A5D-59CDCCDCA9E4}"/>
    <dataValidation allowBlank="1" showInputMessage="1" showErrorMessage="1" promptTitle="Wort Correction Factor" prompt="For use with a refractometer. (Ignore if not using one)" sqref="C36" xr:uid="{CB1D7876-958E-4E27-9B78-F39C3EF2DC46}"/>
    <dataValidation allowBlank="1" showInputMessage="1" showErrorMessage="1" promptTitle="Wort Correction Factor" prompt="for refractometers only" sqref="C36" xr:uid="{B32EECC8-91D8-40FB-8541-467D16C98C54}"/>
    <dataValidation allowBlank="1" showInputMessage="1" showErrorMessage="1" promptTitle="Evaporation Rate" prompt="Applies only when lid is OFF. If lid is ON, then enter zero since no evaporation will occur during the mash." sqref="C27" xr:uid="{18EC44F4-FF02-4EE7-8FC9-F04E83B8EDE0}"/>
    <dataValidation allowBlank="1" showInputMessage="1" showErrorMessage="1" promptTitle="Dry Grain Volume" prompt="Assumes dry grain occupies .3125 qt/lb (.652 L/kg) of volume" sqref="C83" xr:uid="{80DDE414-004B-44F1-9D8F-A80D0AF5364C}"/>
  </dataValidations>
  <hyperlinks>
    <hyperlink ref="F5" r:id="rId1" display="Brewing Recipe Template Playlist" xr:uid="{00000000-0004-0000-0200-000000000000}"/>
    <hyperlink ref="J3" r:id="rId2" display="Brewing Recipe Template Playlist" xr:uid="{00000000-0004-0000-0200-000001000000}"/>
  </hyperlinks>
  <pageMargins left="0.7" right="0.7" top="0.75" bottom="0.75" header="0.3" footer="0.3"/>
  <pageSetup scale="57" orientation="portrait" r:id="rId3"/>
  <ignoredErrors>
    <ignoredError sqref="D21 C46 J31 D23" formula="1"/>
  </ignoredErrors>
  <drawing r:id="rId4"/>
  <extLst>
    <ext xmlns:x14="http://schemas.microsoft.com/office/spreadsheetml/2009/9/main" uri="{CCE6A557-97BC-4b89-ADB6-D9C93CAAB3DF}">
      <x14:dataValidations xmlns:xm="http://schemas.microsoft.com/office/excel/2006/main" xWindow="358" yWindow="264" count="4">
        <x14:dataValidation type="list" allowBlank="1" showInputMessage="1" showErrorMessage="1" xr:uid="{97F13312-3340-4B6C-A941-78CC1FDC1C45}">
          <x14:formula1>
            <xm:f>'Equipment Profiles'!$A$6:$A$26</xm:f>
          </x14:formula1>
          <xm:sqref>C11</xm:sqref>
        </x14:dataValidation>
        <x14:dataValidation type="list" allowBlank="1" showInputMessage="1" showErrorMessage="1" xr:uid="{91A05987-A450-4812-8627-9DEDABD98903}">
          <x14:formula1>
            <xm:f>'Equipment Profiles'!$R$6:$R$26</xm:f>
          </x14:formula1>
          <xm:sqref>C12</xm:sqref>
        </x14:dataValidation>
        <x14:dataValidation type="list" allowBlank="1" showInputMessage="1" showErrorMessage="1" xr:uid="{C3802722-6CF6-4341-B165-3A4FC9B31173}">
          <x14:formula1>
            <xm:f>'Equipment Profiles'!$V$6:$V$26</xm:f>
          </x14:formula1>
          <xm:sqref>C13</xm:sqref>
        </x14:dataValidation>
        <x14:dataValidation type="list" allowBlank="1" showInputMessage="1" showErrorMessage="1" xr:uid="{367AD141-93C4-45EC-B474-AC1E8B09A9F7}">
          <x14:formula1>
            <xm:f>'Equipment Profiles'!$AA$6:$AA$25</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47D98-CCCD-437C-9DEC-D6E998008519}">
  <dimension ref="A1:AC26"/>
  <sheetViews>
    <sheetView zoomScaleNormal="100" workbookViewId="0">
      <selection activeCell="A19" sqref="A19"/>
    </sheetView>
  </sheetViews>
  <sheetFormatPr defaultRowHeight="12.75" x14ac:dyDescent="0.2"/>
  <cols>
    <col min="1" max="1" width="48" customWidth="1"/>
    <col min="2" max="2" width="5.7109375" customWidth="1"/>
    <col min="3" max="3" width="6.5703125" style="435" customWidth="1"/>
    <col min="4" max="4" width="5.7109375" customWidth="1"/>
    <col min="5" max="7" width="6.28515625" customWidth="1"/>
    <col min="8" max="8" width="5.7109375" customWidth="1"/>
    <col min="9" max="9" width="9.7109375" customWidth="1"/>
    <col min="10" max="10" width="9.85546875" bestFit="1" customWidth="1"/>
    <col min="11" max="11" width="6.7109375" customWidth="1"/>
    <col min="12" max="12" width="5.7109375" customWidth="1"/>
    <col min="13" max="13" width="5.7109375" style="438" customWidth="1"/>
    <col min="14" max="15" width="5.7109375" customWidth="1"/>
    <col min="16" max="16" width="6.7109375" customWidth="1"/>
    <col min="17" max="17" width="1.7109375" customWidth="1"/>
    <col min="18" max="18" width="30.140625" customWidth="1"/>
    <col min="19" max="19" width="10" customWidth="1"/>
    <col min="20" max="20" width="5.7109375" customWidth="1"/>
    <col min="21" max="21" width="1.7109375" customWidth="1"/>
    <col min="22" max="22" width="29.28515625" customWidth="1"/>
    <col min="23" max="25" width="5.7109375" customWidth="1"/>
    <col min="26" max="26" width="1.7109375" customWidth="1"/>
    <col min="27" max="27" width="29.7109375" customWidth="1"/>
    <col min="28" max="28" width="5.7109375" customWidth="1"/>
    <col min="29" max="29" width="6.7109375" customWidth="1"/>
  </cols>
  <sheetData>
    <row r="1" spans="1:29" ht="19.5" thickTop="1" thickBot="1" x14ac:dyDescent="0.3">
      <c r="A1" s="1201" t="s">
        <v>2182</v>
      </c>
      <c r="B1" s="1202"/>
      <c r="C1" s="1202"/>
      <c r="D1" s="1202"/>
      <c r="E1" s="1202"/>
      <c r="F1" s="1202"/>
      <c r="G1" s="1202"/>
      <c r="H1" s="1202"/>
      <c r="I1" s="1202"/>
      <c r="J1" s="1202"/>
      <c r="K1" s="1202"/>
      <c r="L1" s="1202"/>
      <c r="M1" s="1202"/>
      <c r="N1" s="1202"/>
      <c r="O1" s="1202"/>
      <c r="P1" s="1203"/>
      <c r="R1" s="1201" t="s">
        <v>2181</v>
      </c>
      <c r="S1" s="1202"/>
      <c r="T1" s="1203"/>
      <c r="V1" s="1201" t="s">
        <v>2180</v>
      </c>
      <c r="W1" s="1202"/>
      <c r="X1" s="1202"/>
      <c r="Y1" s="1203"/>
      <c r="AA1" s="1201" t="s">
        <v>2191</v>
      </c>
      <c r="AB1" s="1202"/>
      <c r="AC1" s="1203"/>
    </row>
    <row r="2" spans="1:29" ht="12.75" customHeight="1" x14ac:dyDescent="0.2">
      <c r="A2" s="1210" t="s">
        <v>2161</v>
      </c>
      <c r="B2" s="1194" t="s">
        <v>2158</v>
      </c>
      <c r="C2" s="1195"/>
      <c r="D2" s="1195"/>
      <c r="E2" s="1195"/>
      <c r="F2" s="1195"/>
      <c r="G2" s="1195"/>
      <c r="H2" s="1195"/>
      <c r="I2" s="1195"/>
      <c r="J2" s="1195"/>
      <c r="K2" s="1196"/>
      <c r="L2" s="1194" t="s">
        <v>2167</v>
      </c>
      <c r="M2" s="1195"/>
      <c r="N2" s="1195"/>
      <c r="O2" s="1218"/>
      <c r="P2" s="582" t="s">
        <v>2360</v>
      </c>
      <c r="R2" s="1204" t="s">
        <v>2247</v>
      </c>
      <c r="S2" s="1213" t="s">
        <v>66</v>
      </c>
      <c r="T2" s="1197" t="s">
        <v>2246</v>
      </c>
      <c r="V2" s="1204" t="s">
        <v>2249</v>
      </c>
      <c r="W2" s="1208" t="s">
        <v>2174</v>
      </c>
      <c r="X2" s="1208" t="s">
        <v>2156</v>
      </c>
      <c r="Y2" s="1197" t="s">
        <v>2169</v>
      </c>
      <c r="AA2" s="1204" t="s">
        <v>2192</v>
      </c>
      <c r="AB2" s="1208" t="s">
        <v>1648</v>
      </c>
      <c r="AC2" s="1197" t="s">
        <v>2193</v>
      </c>
    </row>
    <row r="3" spans="1:29" ht="46.5" customHeight="1" x14ac:dyDescent="0.2">
      <c r="A3" s="1211"/>
      <c r="B3" s="1224" t="s">
        <v>2174</v>
      </c>
      <c r="C3" s="1223" t="s">
        <v>2156</v>
      </c>
      <c r="D3" s="1209" t="s">
        <v>2169</v>
      </c>
      <c r="E3" s="1222" t="s">
        <v>1671</v>
      </c>
      <c r="F3" s="1219" t="s">
        <v>2239</v>
      </c>
      <c r="G3" s="1220"/>
      <c r="H3" s="1221" t="s">
        <v>96</v>
      </c>
      <c r="I3" s="1192" t="s">
        <v>2291</v>
      </c>
      <c r="J3" s="1216" t="s">
        <v>1860</v>
      </c>
      <c r="K3" s="1225" t="s">
        <v>2157</v>
      </c>
      <c r="L3" s="1226" t="s">
        <v>2174</v>
      </c>
      <c r="M3" s="1199" t="s">
        <v>2156</v>
      </c>
      <c r="N3" s="1209" t="s">
        <v>2169</v>
      </c>
      <c r="O3" s="1198" t="s">
        <v>2159</v>
      </c>
      <c r="P3" s="1200" t="s">
        <v>2361</v>
      </c>
      <c r="R3" s="1205"/>
      <c r="S3" s="1214"/>
      <c r="T3" s="1198"/>
      <c r="V3" s="1205"/>
      <c r="W3" s="1209"/>
      <c r="X3" s="1209"/>
      <c r="Y3" s="1198"/>
      <c r="AA3" s="1205"/>
      <c r="AB3" s="1209"/>
      <c r="AC3" s="1198"/>
    </row>
    <row r="4" spans="1:29" x14ac:dyDescent="0.2">
      <c r="A4" s="1211"/>
      <c r="B4" s="1224"/>
      <c r="C4" s="1223"/>
      <c r="D4" s="1209"/>
      <c r="E4" s="1222"/>
      <c r="F4" s="467" t="s">
        <v>2213</v>
      </c>
      <c r="G4" s="467" t="s">
        <v>2233</v>
      </c>
      <c r="H4" s="1221"/>
      <c r="I4" s="1192"/>
      <c r="J4" s="1216"/>
      <c r="K4" s="1225"/>
      <c r="L4" s="1226"/>
      <c r="M4" s="1199"/>
      <c r="N4" s="1209"/>
      <c r="O4" s="1198"/>
      <c r="P4" s="1200"/>
      <c r="R4" s="1205"/>
      <c r="S4" s="1214"/>
      <c r="T4" s="1198"/>
      <c r="V4" s="1205"/>
      <c r="W4" s="1209"/>
      <c r="X4" s="1209"/>
      <c r="Y4" s="1198"/>
      <c r="AA4" s="1205"/>
      <c r="AB4" s="1209"/>
      <c r="AC4" s="1198"/>
    </row>
    <row r="5" spans="1:29" ht="13.5" thickBot="1" x14ac:dyDescent="0.25">
      <c r="A5" s="1212"/>
      <c r="B5" s="821" t="str">
        <f>'Brewhouse Setup &amp; Calcs'!D40</f>
        <v>qt</v>
      </c>
      <c r="C5" s="480" t="s">
        <v>102</v>
      </c>
      <c r="D5" s="822" t="str">
        <f>'Brewhouse Setup &amp; Calcs'!D42</f>
        <v>qt</v>
      </c>
      <c r="E5" s="822" t="str">
        <f>'Brewhouse Setup &amp; Calcs'!D43</f>
        <v>qt/lb</v>
      </c>
      <c r="F5" s="822" t="str">
        <f>'Brewhouse Setup &amp; Calcs'!$D$27</f>
        <v>qt/hr</v>
      </c>
      <c r="G5" s="822" t="str">
        <f>'Brewhouse Setup &amp; Calcs'!$D$27</f>
        <v>qt/hr</v>
      </c>
      <c r="H5" s="481" t="s">
        <v>102</v>
      </c>
      <c r="I5" s="1193"/>
      <c r="J5" s="1217"/>
      <c r="K5" s="823" t="str">
        <f>'Brewhouse Setup &amp; Calcs'!D45</f>
        <v>qt/min</v>
      </c>
      <c r="L5" s="824" t="str">
        <f>'Brewhouse Setup &amp; Calcs'!D47</f>
        <v>qt</v>
      </c>
      <c r="M5" s="481" t="s">
        <v>102</v>
      </c>
      <c r="N5" s="822" t="str">
        <f>'Brewhouse Setup &amp; Calcs'!D49</f>
        <v>qt</v>
      </c>
      <c r="O5" s="825" t="str">
        <f>'Brewhouse Setup &amp; Calcs'!D50</f>
        <v>qt/hr</v>
      </c>
      <c r="P5" s="826" t="str">
        <f>'Brewhouse Setup &amp; Calcs'!D47</f>
        <v>qt</v>
      </c>
      <c r="R5" s="1206"/>
      <c r="S5" s="1215"/>
      <c r="T5" s="825" t="str">
        <f>'Brewhouse Setup &amp; Calcs'!D52</f>
        <v>qt</v>
      </c>
      <c r="V5" s="1206"/>
      <c r="W5" s="822" t="str">
        <f>'Brewhouse Setup &amp; Calcs'!D55</f>
        <v>qt</v>
      </c>
      <c r="X5" s="443" t="s">
        <v>102</v>
      </c>
      <c r="Y5" s="825" t="str">
        <f>'Brewhouse Setup &amp; Calcs'!D55</f>
        <v>qt</v>
      </c>
      <c r="AA5" s="1206"/>
      <c r="AB5" s="822" t="str">
        <f>'Brewhouse Setup &amp; Calcs'!D34</f>
        <v>°F</v>
      </c>
      <c r="AC5" s="1207"/>
    </row>
    <row r="6" spans="1:29" ht="13.5" thickTop="1" x14ac:dyDescent="0.2">
      <c r="A6" s="617" t="s">
        <v>2235</v>
      </c>
      <c r="B6" s="618">
        <v>65</v>
      </c>
      <c r="C6" s="619">
        <v>0.9</v>
      </c>
      <c r="D6" s="620">
        <v>1.5</v>
      </c>
      <c r="E6" s="621">
        <v>0.5</v>
      </c>
      <c r="F6" s="622">
        <v>0.8</v>
      </c>
      <c r="G6" s="620">
        <v>0</v>
      </c>
      <c r="H6" s="623">
        <v>0.75</v>
      </c>
      <c r="I6" s="491" t="s">
        <v>2293</v>
      </c>
      <c r="J6" s="491" t="s">
        <v>2272</v>
      </c>
      <c r="K6" s="640"/>
      <c r="L6" s="618">
        <v>80</v>
      </c>
      <c r="M6" s="623">
        <v>0.85</v>
      </c>
      <c r="N6" s="620">
        <v>5</v>
      </c>
      <c r="O6" s="641">
        <v>4</v>
      </c>
      <c r="P6" s="642"/>
      <c r="R6" s="652" t="s">
        <v>2162</v>
      </c>
      <c r="S6" s="491" t="s">
        <v>2152</v>
      </c>
      <c r="T6" s="655">
        <v>1.5</v>
      </c>
      <c r="V6" s="658" t="s">
        <v>2170</v>
      </c>
      <c r="W6" s="659">
        <v>26</v>
      </c>
      <c r="X6" s="660">
        <v>0.9</v>
      </c>
      <c r="Y6" s="661">
        <v>2</v>
      </c>
      <c r="AA6" s="652" t="s">
        <v>2195</v>
      </c>
      <c r="AB6" s="665">
        <v>60</v>
      </c>
      <c r="AC6" s="666">
        <v>0</v>
      </c>
    </row>
    <row r="7" spans="1:29" x14ac:dyDescent="0.2">
      <c r="A7" s="624" t="s">
        <v>2236</v>
      </c>
      <c r="B7" s="625">
        <v>65</v>
      </c>
      <c r="C7" s="626">
        <v>0.9</v>
      </c>
      <c r="D7" s="598">
        <v>3.5</v>
      </c>
      <c r="E7" s="621">
        <v>0.5</v>
      </c>
      <c r="F7" s="620">
        <v>0.8</v>
      </c>
      <c r="G7" s="620">
        <v>0</v>
      </c>
      <c r="H7" s="623">
        <v>0.75</v>
      </c>
      <c r="I7" s="491" t="s">
        <v>2293</v>
      </c>
      <c r="J7" s="491" t="s">
        <v>2272</v>
      </c>
      <c r="K7" s="643"/>
      <c r="L7" s="625">
        <v>80</v>
      </c>
      <c r="M7" s="628">
        <v>0.85</v>
      </c>
      <c r="N7" s="598">
        <v>8</v>
      </c>
      <c r="O7" s="643">
        <v>4</v>
      </c>
      <c r="P7" s="644"/>
      <c r="R7" s="653" t="s">
        <v>2380</v>
      </c>
      <c r="S7" s="491" t="s">
        <v>2165</v>
      </c>
      <c r="T7" s="656">
        <v>0</v>
      </c>
      <c r="V7" s="653" t="s">
        <v>2204</v>
      </c>
      <c r="W7" s="662">
        <v>52</v>
      </c>
      <c r="X7" s="660">
        <v>0.9</v>
      </c>
      <c r="Y7" s="656">
        <v>4</v>
      </c>
      <c r="AA7" s="653" t="s">
        <v>2196</v>
      </c>
      <c r="AB7" s="667">
        <v>60</v>
      </c>
      <c r="AC7" s="668">
        <v>-1E-3</v>
      </c>
    </row>
    <row r="8" spans="1:29" x14ac:dyDescent="0.2">
      <c r="A8" s="624" t="s">
        <v>2155</v>
      </c>
      <c r="B8" s="625">
        <v>32</v>
      </c>
      <c r="C8" s="626">
        <v>0.95</v>
      </c>
      <c r="D8" s="598">
        <v>0</v>
      </c>
      <c r="E8" s="621">
        <v>0.5</v>
      </c>
      <c r="F8" s="620">
        <v>0.3</v>
      </c>
      <c r="G8" s="620">
        <v>0</v>
      </c>
      <c r="H8" s="623">
        <v>0.85</v>
      </c>
      <c r="I8" s="491" t="s">
        <v>2293</v>
      </c>
      <c r="J8" s="491" t="s">
        <v>2273</v>
      </c>
      <c r="K8" s="643">
        <v>3</v>
      </c>
      <c r="L8" s="625">
        <v>32</v>
      </c>
      <c r="M8" s="628">
        <v>0.95</v>
      </c>
      <c r="N8" s="598">
        <v>2.25</v>
      </c>
      <c r="O8" s="643">
        <v>2</v>
      </c>
      <c r="P8" s="645"/>
      <c r="R8" s="653" t="s">
        <v>2188</v>
      </c>
      <c r="S8" s="491" t="s">
        <v>2152</v>
      </c>
      <c r="T8" s="656">
        <v>2</v>
      </c>
      <c r="V8" s="653" t="s">
        <v>2171</v>
      </c>
      <c r="W8" s="662">
        <v>28</v>
      </c>
      <c r="X8" s="660">
        <v>0.85</v>
      </c>
      <c r="Y8" s="656">
        <v>2</v>
      </c>
      <c r="AA8" s="653" t="s">
        <v>2194</v>
      </c>
      <c r="AB8" s="667">
        <v>60</v>
      </c>
      <c r="AC8" s="668">
        <v>0</v>
      </c>
    </row>
    <row r="9" spans="1:29" x14ac:dyDescent="0.2">
      <c r="A9" s="624" t="s">
        <v>2238</v>
      </c>
      <c r="B9" s="625">
        <v>80</v>
      </c>
      <c r="C9" s="626">
        <v>0.9</v>
      </c>
      <c r="D9" s="598">
        <v>0</v>
      </c>
      <c r="E9" s="621">
        <v>0.35</v>
      </c>
      <c r="F9" s="622">
        <v>0.8</v>
      </c>
      <c r="G9" s="620">
        <v>0</v>
      </c>
      <c r="H9" s="623">
        <v>0.75</v>
      </c>
      <c r="I9" s="491" t="s">
        <v>2292</v>
      </c>
      <c r="J9" s="491" t="s">
        <v>2234</v>
      </c>
      <c r="K9" s="643"/>
      <c r="L9" s="625">
        <v>80</v>
      </c>
      <c r="M9" s="628">
        <v>0.85</v>
      </c>
      <c r="N9" s="646">
        <v>5</v>
      </c>
      <c r="O9" s="643">
        <v>5</v>
      </c>
      <c r="P9" s="645"/>
      <c r="R9" s="653" t="s">
        <v>2166</v>
      </c>
      <c r="S9" s="491" t="s">
        <v>2152</v>
      </c>
      <c r="T9" s="656">
        <v>2</v>
      </c>
      <c r="V9" s="653" t="s">
        <v>2172</v>
      </c>
      <c r="W9" s="662"/>
      <c r="X9" s="660">
        <v>0.85</v>
      </c>
      <c r="Y9" s="656">
        <v>2</v>
      </c>
      <c r="AA9" s="653" t="s">
        <v>2386</v>
      </c>
      <c r="AB9" s="667">
        <v>60</v>
      </c>
      <c r="AC9" s="668">
        <v>0</v>
      </c>
    </row>
    <row r="10" spans="1:29" x14ac:dyDescent="0.2">
      <c r="A10" s="624" t="s">
        <v>2237</v>
      </c>
      <c r="B10" s="625">
        <v>60</v>
      </c>
      <c r="C10" s="626">
        <v>0.9</v>
      </c>
      <c r="D10" s="598">
        <v>0.5</v>
      </c>
      <c r="E10" s="621">
        <v>0.4</v>
      </c>
      <c r="F10" s="620">
        <v>0.8</v>
      </c>
      <c r="G10" s="620">
        <v>0</v>
      </c>
      <c r="H10" s="623">
        <v>0.75</v>
      </c>
      <c r="I10" s="491" t="s">
        <v>2293</v>
      </c>
      <c r="J10" s="491" t="s">
        <v>2234</v>
      </c>
      <c r="K10" s="643"/>
      <c r="L10" s="625">
        <v>80</v>
      </c>
      <c r="M10" s="628">
        <v>0.85</v>
      </c>
      <c r="N10" s="646">
        <v>1.5</v>
      </c>
      <c r="O10" s="643">
        <v>4</v>
      </c>
      <c r="P10" s="645">
        <v>0.5</v>
      </c>
      <c r="R10" s="653" t="s">
        <v>2189</v>
      </c>
      <c r="S10" s="491" t="s">
        <v>2152</v>
      </c>
      <c r="T10" s="656">
        <v>2</v>
      </c>
      <c r="V10" s="653" t="s">
        <v>2173</v>
      </c>
      <c r="W10" s="662"/>
      <c r="X10" s="660">
        <v>0.85</v>
      </c>
      <c r="Y10" s="656">
        <v>2</v>
      </c>
      <c r="AA10" s="653"/>
      <c r="AB10" s="667"/>
      <c r="AC10" s="668"/>
    </row>
    <row r="11" spans="1:29" x14ac:dyDescent="0.2">
      <c r="A11" s="624" t="s">
        <v>2317</v>
      </c>
      <c r="B11" s="625">
        <v>65</v>
      </c>
      <c r="C11" s="626">
        <v>0.9</v>
      </c>
      <c r="D11" s="598">
        <v>1.5</v>
      </c>
      <c r="E11" s="627">
        <v>0.5</v>
      </c>
      <c r="F11" s="598">
        <v>0.8</v>
      </c>
      <c r="G11" s="598">
        <v>0</v>
      </c>
      <c r="H11" s="628">
        <v>0.75</v>
      </c>
      <c r="I11" s="491" t="s">
        <v>2293</v>
      </c>
      <c r="J11" s="491" t="s">
        <v>2272</v>
      </c>
      <c r="K11" s="643"/>
      <c r="L11" s="625">
        <v>80</v>
      </c>
      <c r="M11" s="628">
        <v>0.85</v>
      </c>
      <c r="N11" s="598">
        <v>1.5</v>
      </c>
      <c r="O11" s="643">
        <v>4</v>
      </c>
      <c r="P11" s="645">
        <v>0.5</v>
      </c>
      <c r="R11" s="653" t="s">
        <v>2190</v>
      </c>
      <c r="S11" s="491" t="s">
        <v>2152</v>
      </c>
      <c r="T11" s="656">
        <v>2</v>
      </c>
      <c r="V11" s="653" t="s">
        <v>2307</v>
      </c>
      <c r="W11" s="662">
        <v>31.7</v>
      </c>
      <c r="X11" s="660">
        <v>0.85</v>
      </c>
      <c r="Y11" s="656">
        <v>2</v>
      </c>
      <c r="AA11" s="653"/>
      <c r="AB11" s="667"/>
      <c r="AC11" s="668"/>
    </row>
    <row r="12" spans="1:29" x14ac:dyDescent="0.2">
      <c r="A12" s="624" t="s">
        <v>2319</v>
      </c>
      <c r="B12" s="618">
        <v>65</v>
      </c>
      <c r="C12" s="619">
        <v>0.9</v>
      </c>
      <c r="D12" s="620">
        <v>1.5</v>
      </c>
      <c r="E12" s="621">
        <v>0.5</v>
      </c>
      <c r="F12" s="622">
        <v>0.8</v>
      </c>
      <c r="G12" s="620">
        <v>0</v>
      </c>
      <c r="H12" s="623">
        <v>0.75</v>
      </c>
      <c r="I12" s="491" t="s">
        <v>2293</v>
      </c>
      <c r="J12" s="491" t="s">
        <v>2272</v>
      </c>
      <c r="K12" s="640"/>
      <c r="L12" s="618">
        <v>80</v>
      </c>
      <c r="M12" s="623">
        <v>0.85</v>
      </c>
      <c r="N12" s="620">
        <v>5</v>
      </c>
      <c r="O12" s="640">
        <v>5</v>
      </c>
      <c r="P12" s="645"/>
      <c r="R12" s="653" t="s">
        <v>2163</v>
      </c>
      <c r="S12" s="491" t="s">
        <v>2152</v>
      </c>
      <c r="T12" s="656">
        <v>2</v>
      </c>
      <c r="V12" s="653" t="s">
        <v>2308</v>
      </c>
      <c r="W12" s="662">
        <v>59.7</v>
      </c>
      <c r="X12" s="660">
        <v>0.85</v>
      </c>
      <c r="Y12" s="656">
        <v>4</v>
      </c>
      <c r="AA12" s="653"/>
      <c r="AB12" s="667"/>
      <c r="AC12" s="668"/>
    </row>
    <row r="13" spans="1:29" x14ac:dyDescent="0.2">
      <c r="A13" s="624" t="s">
        <v>2328</v>
      </c>
      <c r="B13" s="625">
        <v>60</v>
      </c>
      <c r="C13" s="626">
        <v>0.9</v>
      </c>
      <c r="D13" s="598">
        <v>0.5</v>
      </c>
      <c r="E13" s="621">
        <v>0.4</v>
      </c>
      <c r="F13" s="620">
        <v>0.8</v>
      </c>
      <c r="G13" s="620">
        <v>0</v>
      </c>
      <c r="H13" s="623">
        <v>0.6</v>
      </c>
      <c r="I13" s="491" t="s">
        <v>2293</v>
      </c>
      <c r="J13" s="491" t="s">
        <v>2234</v>
      </c>
      <c r="K13" s="643"/>
      <c r="L13" s="625">
        <v>80</v>
      </c>
      <c r="M13" s="628">
        <v>0.85</v>
      </c>
      <c r="N13" s="646">
        <v>1.5</v>
      </c>
      <c r="O13" s="643">
        <v>4</v>
      </c>
      <c r="P13" s="645">
        <v>0.5</v>
      </c>
      <c r="R13" s="653" t="s">
        <v>2248</v>
      </c>
      <c r="S13" s="491" t="s">
        <v>2152</v>
      </c>
      <c r="T13" s="656">
        <v>2</v>
      </c>
      <c r="V13" s="653" t="s">
        <v>2323</v>
      </c>
      <c r="W13" s="662">
        <v>37</v>
      </c>
      <c r="X13" s="660">
        <v>0.85</v>
      </c>
      <c r="Y13" s="656">
        <v>3</v>
      </c>
      <c r="AA13" s="653"/>
      <c r="AB13" s="667"/>
      <c r="AC13" s="668"/>
    </row>
    <row r="14" spans="1:29" x14ac:dyDescent="0.2">
      <c r="A14" s="624" t="s">
        <v>2391</v>
      </c>
      <c r="B14" s="625">
        <v>18</v>
      </c>
      <c r="C14" s="626">
        <v>0.9</v>
      </c>
      <c r="D14" s="598">
        <v>1</v>
      </c>
      <c r="E14" s="627">
        <v>0.35</v>
      </c>
      <c r="F14" s="598">
        <v>0.3</v>
      </c>
      <c r="G14" s="598">
        <v>0</v>
      </c>
      <c r="H14" s="628">
        <v>0.7</v>
      </c>
      <c r="I14" s="491" t="s">
        <v>2292</v>
      </c>
      <c r="J14" s="491" t="s">
        <v>125</v>
      </c>
      <c r="K14" s="643"/>
      <c r="L14" s="625">
        <v>18</v>
      </c>
      <c r="M14" s="628">
        <v>0.85</v>
      </c>
      <c r="N14" s="598">
        <v>0.5</v>
      </c>
      <c r="O14" s="643">
        <v>3</v>
      </c>
      <c r="P14" s="645"/>
      <c r="R14" s="653" t="s">
        <v>2320</v>
      </c>
      <c r="S14" s="491" t="s">
        <v>2152</v>
      </c>
      <c r="T14" s="656">
        <v>2.2000000000000002</v>
      </c>
      <c r="V14" s="653" t="s">
        <v>2324</v>
      </c>
      <c r="W14" s="662">
        <v>68.7</v>
      </c>
      <c r="X14" s="660">
        <v>0.85</v>
      </c>
      <c r="Y14" s="656">
        <v>5</v>
      </c>
      <c r="AA14" s="653"/>
      <c r="AB14" s="667"/>
      <c r="AC14" s="668"/>
    </row>
    <row r="15" spans="1:29" x14ac:dyDescent="0.2">
      <c r="A15" s="624" t="s">
        <v>2392</v>
      </c>
      <c r="B15" s="625">
        <v>32</v>
      </c>
      <c r="C15" s="626">
        <v>0.9</v>
      </c>
      <c r="D15" s="598">
        <v>1</v>
      </c>
      <c r="E15" s="627">
        <v>0.35</v>
      </c>
      <c r="F15" s="598">
        <v>0.3</v>
      </c>
      <c r="G15" s="598">
        <v>0</v>
      </c>
      <c r="H15" s="628">
        <v>0.7</v>
      </c>
      <c r="I15" s="491" t="s">
        <v>2292</v>
      </c>
      <c r="J15" s="491" t="s">
        <v>125</v>
      </c>
      <c r="K15" s="643"/>
      <c r="L15" s="625">
        <v>32</v>
      </c>
      <c r="M15" s="628">
        <v>0.85</v>
      </c>
      <c r="N15" s="598">
        <v>0.5</v>
      </c>
      <c r="O15" s="643">
        <v>3</v>
      </c>
      <c r="P15" s="645"/>
      <c r="R15" s="653" t="s">
        <v>2373</v>
      </c>
      <c r="S15" s="491" t="s">
        <v>2165</v>
      </c>
      <c r="T15" s="656">
        <v>0</v>
      </c>
      <c r="V15" s="653" t="s">
        <v>2327</v>
      </c>
      <c r="W15" s="662">
        <v>65</v>
      </c>
      <c r="X15" s="660">
        <v>0.85</v>
      </c>
      <c r="Y15" s="656">
        <v>5</v>
      </c>
      <c r="AA15" s="653"/>
      <c r="AB15" s="667"/>
      <c r="AC15" s="668"/>
    </row>
    <row r="16" spans="1:29" x14ac:dyDescent="0.2">
      <c r="A16" s="624" t="s">
        <v>2437</v>
      </c>
      <c r="B16" s="625">
        <v>37</v>
      </c>
      <c r="C16" s="626">
        <v>0.95</v>
      </c>
      <c r="D16" s="598">
        <v>0.625</v>
      </c>
      <c r="E16" s="627">
        <v>0.4</v>
      </c>
      <c r="F16" s="598">
        <v>0.4</v>
      </c>
      <c r="G16" s="598">
        <v>0</v>
      </c>
      <c r="H16" s="628">
        <v>0.7</v>
      </c>
      <c r="I16" s="491" t="s">
        <v>2293</v>
      </c>
      <c r="J16" s="491" t="s">
        <v>2273</v>
      </c>
      <c r="K16" s="643">
        <v>0.75</v>
      </c>
      <c r="L16" s="625">
        <v>40</v>
      </c>
      <c r="M16" s="628">
        <v>0.85</v>
      </c>
      <c r="N16" s="598">
        <v>0.625</v>
      </c>
      <c r="O16" s="643">
        <v>3.2</v>
      </c>
      <c r="P16" s="645">
        <v>0.2</v>
      </c>
      <c r="R16" s="653" t="s">
        <v>2374</v>
      </c>
      <c r="S16" s="491" t="s">
        <v>2375</v>
      </c>
      <c r="T16" s="656">
        <v>0</v>
      </c>
      <c r="V16" s="653" t="s">
        <v>2387</v>
      </c>
      <c r="W16" s="662">
        <v>20</v>
      </c>
      <c r="X16" s="660">
        <v>0.85</v>
      </c>
      <c r="Y16" s="656">
        <v>0.5</v>
      </c>
      <c r="AA16" s="653"/>
      <c r="AB16" s="667"/>
      <c r="AC16" s="668"/>
    </row>
    <row r="17" spans="1:29" x14ac:dyDescent="0.2">
      <c r="A17" s="624" t="s">
        <v>2438</v>
      </c>
      <c r="B17" s="625">
        <v>37</v>
      </c>
      <c r="C17" s="626">
        <v>0.95</v>
      </c>
      <c r="D17" s="598">
        <v>0.625</v>
      </c>
      <c r="E17" s="627">
        <v>0.4</v>
      </c>
      <c r="F17" s="598">
        <v>0.4</v>
      </c>
      <c r="G17" s="598">
        <v>0</v>
      </c>
      <c r="H17" s="628">
        <v>0.7</v>
      </c>
      <c r="I17" s="491" t="s">
        <v>2292</v>
      </c>
      <c r="J17" s="491" t="s">
        <v>2234</v>
      </c>
      <c r="K17" s="643">
        <v>0.8</v>
      </c>
      <c r="L17" s="625">
        <v>40</v>
      </c>
      <c r="M17" s="628">
        <v>0.85</v>
      </c>
      <c r="N17" s="598">
        <v>0.625</v>
      </c>
      <c r="O17" s="643">
        <v>3.2</v>
      </c>
      <c r="P17" s="645">
        <v>0.2</v>
      </c>
      <c r="R17" s="653" t="s">
        <v>2388</v>
      </c>
      <c r="S17" s="491"/>
      <c r="T17" s="656">
        <v>0</v>
      </c>
      <c r="V17" s="653" t="s">
        <v>2394</v>
      </c>
      <c r="W17" s="662">
        <v>52.8</v>
      </c>
      <c r="X17" s="660">
        <v>0.86</v>
      </c>
      <c r="Y17" s="656">
        <v>3</v>
      </c>
      <c r="AA17" s="653"/>
      <c r="AB17" s="667"/>
      <c r="AC17" s="668"/>
    </row>
    <row r="18" spans="1:29" x14ac:dyDescent="0.2">
      <c r="A18" s="624" t="s">
        <v>2445</v>
      </c>
      <c r="B18" s="625">
        <v>52</v>
      </c>
      <c r="C18" s="626">
        <v>0.95</v>
      </c>
      <c r="D18" s="598">
        <v>0</v>
      </c>
      <c r="E18" s="627">
        <v>0.4</v>
      </c>
      <c r="F18" s="598"/>
      <c r="G18" s="598">
        <v>0</v>
      </c>
      <c r="H18" s="628">
        <v>0.7</v>
      </c>
      <c r="I18" s="491" t="s">
        <v>2292</v>
      </c>
      <c r="J18" s="491" t="s">
        <v>2234</v>
      </c>
      <c r="K18" s="643"/>
      <c r="L18" s="625">
        <v>73</v>
      </c>
      <c r="M18" s="628">
        <v>0.85</v>
      </c>
      <c r="N18" s="598">
        <v>1.25</v>
      </c>
      <c r="O18" s="643">
        <v>5.25</v>
      </c>
      <c r="P18" s="645">
        <v>0.375</v>
      </c>
      <c r="R18" s="653" t="s">
        <v>2390</v>
      </c>
      <c r="S18" s="491" t="s">
        <v>2152</v>
      </c>
      <c r="T18" s="656">
        <v>0.75</v>
      </c>
      <c r="V18" s="653" t="s">
        <v>2428</v>
      </c>
      <c r="W18" s="662">
        <v>64</v>
      </c>
      <c r="X18" s="660">
        <v>0.85</v>
      </c>
      <c r="Y18" s="656">
        <v>4</v>
      </c>
      <c r="AA18" s="653"/>
      <c r="AB18" s="667"/>
      <c r="AC18" s="668"/>
    </row>
    <row r="19" spans="1:29" x14ac:dyDescent="0.2">
      <c r="A19" s="624" t="s">
        <v>2446</v>
      </c>
      <c r="B19" s="625">
        <v>52</v>
      </c>
      <c r="C19" s="626">
        <v>0.95</v>
      </c>
      <c r="D19" s="598">
        <v>0</v>
      </c>
      <c r="E19" s="627">
        <v>0.4</v>
      </c>
      <c r="F19" s="598"/>
      <c r="G19" s="598">
        <v>0</v>
      </c>
      <c r="H19" s="628">
        <v>0.7</v>
      </c>
      <c r="I19" s="491" t="s">
        <v>2293</v>
      </c>
      <c r="J19" s="491" t="s">
        <v>2273</v>
      </c>
      <c r="K19" s="643"/>
      <c r="L19" s="625">
        <v>73</v>
      </c>
      <c r="M19" s="628">
        <v>0.85</v>
      </c>
      <c r="N19" s="598">
        <v>1.25</v>
      </c>
      <c r="O19" s="643">
        <v>5.25</v>
      </c>
      <c r="P19" s="645">
        <v>0.375</v>
      </c>
      <c r="R19" s="653" t="s">
        <v>2430</v>
      </c>
      <c r="S19" s="491" t="s">
        <v>2165</v>
      </c>
      <c r="T19" s="656">
        <v>0</v>
      </c>
      <c r="V19" s="653" t="s">
        <v>2439</v>
      </c>
      <c r="W19" s="662">
        <v>64</v>
      </c>
      <c r="X19" s="660">
        <v>0.85</v>
      </c>
      <c r="Y19" s="656">
        <v>4</v>
      </c>
      <c r="AA19" s="653"/>
      <c r="AB19" s="667"/>
      <c r="AC19" s="668"/>
    </row>
    <row r="20" spans="1:29" x14ac:dyDescent="0.2">
      <c r="A20" s="624"/>
      <c r="B20" s="625"/>
      <c r="C20" s="626"/>
      <c r="D20" s="598"/>
      <c r="E20" s="627"/>
      <c r="F20" s="598"/>
      <c r="G20" s="598"/>
      <c r="H20" s="628"/>
      <c r="I20" s="491"/>
      <c r="J20" s="491"/>
      <c r="K20" s="643"/>
      <c r="L20" s="625"/>
      <c r="M20" s="628"/>
      <c r="N20" s="598"/>
      <c r="O20" s="643"/>
      <c r="P20" s="645"/>
      <c r="R20" s="653" t="s">
        <v>2434</v>
      </c>
      <c r="S20" s="491" t="s">
        <v>2375</v>
      </c>
      <c r="T20" s="656">
        <v>0</v>
      </c>
      <c r="V20" s="653"/>
      <c r="W20" s="662"/>
      <c r="X20" s="660"/>
      <c r="Y20" s="656"/>
      <c r="AA20" s="653"/>
      <c r="AB20" s="667"/>
      <c r="AC20" s="668"/>
    </row>
    <row r="21" spans="1:29" x14ac:dyDescent="0.2">
      <c r="A21" s="624"/>
      <c r="B21" s="625"/>
      <c r="C21" s="626"/>
      <c r="D21" s="598"/>
      <c r="E21" s="627"/>
      <c r="F21" s="598"/>
      <c r="G21" s="598"/>
      <c r="H21" s="628"/>
      <c r="I21" s="491"/>
      <c r="J21" s="491"/>
      <c r="K21" s="643"/>
      <c r="L21" s="625"/>
      <c r="M21" s="628"/>
      <c r="N21" s="598"/>
      <c r="O21" s="643"/>
      <c r="P21" s="645"/>
      <c r="R21" s="653" t="s">
        <v>2448</v>
      </c>
      <c r="S21" s="491" t="s">
        <v>2152</v>
      </c>
      <c r="T21" s="656">
        <v>1</v>
      </c>
      <c r="V21" s="653"/>
      <c r="W21" s="662"/>
      <c r="X21" s="660"/>
      <c r="Y21" s="656"/>
      <c r="AA21" s="653"/>
      <c r="AB21" s="667"/>
      <c r="AC21" s="668"/>
    </row>
    <row r="22" spans="1:29" x14ac:dyDescent="0.2">
      <c r="A22" s="624"/>
      <c r="B22" s="625"/>
      <c r="C22" s="626"/>
      <c r="D22" s="598"/>
      <c r="E22" s="627"/>
      <c r="F22" s="598"/>
      <c r="G22" s="598"/>
      <c r="H22" s="628"/>
      <c r="I22" s="491"/>
      <c r="J22" s="491"/>
      <c r="K22" s="643"/>
      <c r="L22" s="625"/>
      <c r="M22" s="628"/>
      <c r="N22" s="598"/>
      <c r="O22" s="643"/>
      <c r="P22" s="645"/>
      <c r="R22" s="653"/>
      <c r="S22" s="491"/>
      <c r="T22" s="656"/>
      <c r="V22" s="653"/>
      <c r="W22" s="662"/>
      <c r="X22" s="660"/>
      <c r="Y22" s="656"/>
      <c r="AA22" s="653"/>
      <c r="AB22" s="667"/>
      <c r="AC22" s="668"/>
    </row>
    <row r="23" spans="1:29" x14ac:dyDescent="0.2">
      <c r="A23" s="624"/>
      <c r="B23" s="625"/>
      <c r="C23" s="626"/>
      <c r="D23" s="598"/>
      <c r="E23" s="627"/>
      <c r="F23" s="598"/>
      <c r="G23" s="598"/>
      <c r="H23" s="628"/>
      <c r="I23" s="491"/>
      <c r="J23" s="491"/>
      <c r="K23" s="643"/>
      <c r="L23" s="625"/>
      <c r="M23" s="628"/>
      <c r="N23" s="598"/>
      <c r="O23" s="643"/>
      <c r="P23" s="645"/>
      <c r="R23" s="653"/>
      <c r="S23" s="491"/>
      <c r="T23" s="656"/>
      <c r="V23" s="653"/>
      <c r="W23" s="662"/>
      <c r="X23" s="660"/>
      <c r="Y23" s="656"/>
      <c r="AA23" s="653"/>
      <c r="AB23" s="667"/>
      <c r="AC23" s="668"/>
    </row>
    <row r="24" spans="1:29" x14ac:dyDescent="0.2">
      <c r="A24" s="624"/>
      <c r="B24" s="629"/>
      <c r="C24" s="630"/>
      <c r="D24" s="631"/>
      <c r="E24" s="632"/>
      <c r="F24" s="631"/>
      <c r="G24" s="631"/>
      <c r="H24" s="633"/>
      <c r="I24" s="491"/>
      <c r="J24" s="491"/>
      <c r="K24" s="647"/>
      <c r="L24" s="629"/>
      <c r="M24" s="628"/>
      <c r="N24" s="631"/>
      <c r="O24" s="647"/>
      <c r="P24" s="648"/>
      <c r="R24" s="653"/>
      <c r="S24" s="491"/>
      <c r="T24" s="656"/>
      <c r="V24" s="653"/>
      <c r="W24" s="662"/>
      <c r="X24" s="660"/>
      <c r="Y24" s="656"/>
      <c r="AA24" s="653"/>
      <c r="AB24" s="667"/>
      <c r="AC24" s="668"/>
    </row>
    <row r="25" spans="1:29" ht="13.5" thickBot="1" x14ac:dyDescent="0.25">
      <c r="A25" s="634"/>
      <c r="B25" s="635"/>
      <c r="C25" s="636"/>
      <c r="D25" s="637"/>
      <c r="E25" s="638"/>
      <c r="F25" s="637"/>
      <c r="G25" s="637"/>
      <c r="H25" s="639"/>
      <c r="I25" s="492"/>
      <c r="J25" s="492"/>
      <c r="K25" s="649"/>
      <c r="L25" s="635"/>
      <c r="M25" s="650"/>
      <c r="N25" s="637"/>
      <c r="O25" s="649"/>
      <c r="P25" s="651"/>
      <c r="R25" s="654"/>
      <c r="S25" s="492"/>
      <c r="T25" s="657"/>
      <c r="V25" s="654"/>
      <c r="W25" s="663"/>
      <c r="X25" s="664"/>
      <c r="Y25" s="657"/>
      <c r="AA25" s="654"/>
      <c r="AB25" s="669"/>
      <c r="AC25" s="670"/>
    </row>
    <row r="26" spans="1:29" ht="13.5" thickTop="1" x14ac:dyDescent="0.2">
      <c r="C26" s="439"/>
      <c r="J26" s="28"/>
      <c r="M26" s="440"/>
      <c r="S26" s="19"/>
      <c r="T26" s="4"/>
      <c r="Y26" s="4"/>
    </row>
  </sheetData>
  <sheetProtection sheet="1" objects="1" scenarios="1"/>
  <dataConsolidate/>
  <mergeCells count="31">
    <mergeCell ref="A1:P1"/>
    <mergeCell ref="A2:A5"/>
    <mergeCell ref="R2:R5"/>
    <mergeCell ref="S2:S5"/>
    <mergeCell ref="J3:J5"/>
    <mergeCell ref="L2:O2"/>
    <mergeCell ref="F3:G3"/>
    <mergeCell ref="H3:H4"/>
    <mergeCell ref="E3:E4"/>
    <mergeCell ref="D3:D4"/>
    <mergeCell ref="C3:C4"/>
    <mergeCell ref="B3:B4"/>
    <mergeCell ref="K3:K4"/>
    <mergeCell ref="L3:L4"/>
    <mergeCell ref="N3:N4"/>
    <mergeCell ref="O3:O4"/>
    <mergeCell ref="AA1:AC1"/>
    <mergeCell ref="AA2:AA5"/>
    <mergeCell ref="AC2:AC5"/>
    <mergeCell ref="R1:T1"/>
    <mergeCell ref="V1:Y1"/>
    <mergeCell ref="V2:V5"/>
    <mergeCell ref="W2:W4"/>
    <mergeCell ref="X2:X4"/>
    <mergeCell ref="Y2:Y4"/>
    <mergeCell ref="AB2:AB4"/>
    <mergeCell ref="I3:I5"/>
    <mergeCell ref="B2:K2"/>
    <mergeCell ref="T2:T4"/>
    <mergeCell ref="M3:M4"/>
    <mergeCell ref="P3:P4"/>
  </mergeCells>
  <phoneticPr fontId="21" type="noConversion"/>
  <conditionalFormatting sqref="M31">
    <cfRule type="expression" priority="1">
      <formula>"VLOOKUP($C$11,'Equipment Profiles'!$A$6:$O$25,9)=""1 Vessel"""</formula>
    </cfRule>
    <cfRule type="expression" priority="2">
      <formula>"vlookup($C$11,'Equipment Profiles'!$A$6:$O$25"</formula>
    </cfRule>
  </conditionalFormatting>
  <dataValidations xWindow="765" yWindow="363" count="30">
    <dataValidation type="list" allowBlank="1" showInputMessage="1" showErrorMessage="1" sqref="S6:S26" xr:uid="{70B3E34D-515C-404E-A985-9B875D41179F}">
      <formula1>"Immersion,Counterflow,Plate"</formula1>
    </dataValidation>
    <dataValidation type="list" allowBlank="1" showInputMessage="1" showErrorMessage="1" sqref="J26" xr:uid="{09E4E34E-5E6C-49F1-A46F-B30757A0063B}">
      <formula1>"Batch,Fly,BIAB,Extract"</formula1>
    </dataValidation>
    <dataValidation type="list" allowBlank="1" showInputMessage="1" showErrorMessage="1" sqref="J6:J25" xr:uid="{4CE5ECD9-3142-46A4-9C5F-1DAD13A4BE02}">
      <formula1>"Batch Sparge,Fly Sparge,No Sparge,NA"</formula1>
    </dataValidation>
    <dataValidation operator="lessThanOrEqual" showInputMessage="1" showErrorMessage="1" promptTitle="Mashtun Max Fill Percentage" prompt="Maximum desired fill for mash tun._x000a_Guideline(s):_x000a_Should be less &lt; 95% to avoid spills." sqref="C3:C4" xr:uid="{8B91749B-24CD-44E4-AB3D-C48900AAFB5D}"/>
    <dataValidation type="whole" operator="greaterThan" allowBlank="1" showInputMessage="1" showErrorMessage="1" sqref="B6:B25 L6:L25" xr:uid="{09C41F35-E9DC-451A-9C75-8E8504AEC1DF}">
      <formula1>0</formula1>
    </dataValidation>
    <dataValidation operator="greaterThanOrEqual" allowBlank="1" showInputMessage="1" showErrorMessage="1" promptTitle="Mashtun Dead Space" prompt="Amount of inaccessible wort remaining in mash tun that cannot be drained._x000a_For BIAB and &quot;Almost-In-One&quot; systems, this should be '0'. This is because the mashtun and boil kettle are the same. " sqref="D3:D4" xr:uid="{E81886E8-DA14-4120-99A1-7E65C6A56E02}"/>
    <dataValidation allowBlank="1" showInputMessage="1" showErrorMessage="1" promptTitle="Grain Absorption Rate" prompt="Rate of water absorption into dry grain during mash._x000a_Guideline(s):_x000a_.5 US  (1.043 Metric) is common for traditional brewing methods._x000a_BIAB method can be closer to .35 US (.73 Metric)." sqref="E3:E4" xr:uid="{C71D2671-A408-4045-A0E5-B22AA82C90CD}"/>
    <dataValidation allowBlank="1" showInputMessage="1" showErrorMessage="1" promptTitle="Mashtun Capacity" prompt="Volume available to fill with liquid._x000a_Guideline(s):_x000a_If using a cooler, this is less than the stated capacity of most coolers." sqref="B3:B4" xr:uid="{38615C34-AECA-4BD9-8A54-954C3EE99DDD}"/>
    <dataValidation type="decimal" allowBlank="1" showInputMessage="1" showErrorMessage="1" sqref="C6:C25 M6:M25 X6:X25 H6:H25" xr:uid="{EA78C879-28A0-4B40-A6F3-6FF36944B2DB}">
      <formula1>0</formula1>
      <formula2>1</formula2>
    </dataValidation>
    <dataValidation type="decimal" operator="greaterThanOrEqual" allowBlank="1" showInputMessage="1" showErrorMessage="1" sqref="D6:G25 N6:N25 T6:T25 Y6:Y25" xr:uid="{792A6720-CC46-40F8-B9C8-59D9D24FB790}">
      <formula1>0</formula1>
    </dataValidation>
    <dataValidation allowBlank="1" showInputMessage="1" showErrorMessage="1" promptTitle="Mash Tun Evaporation Rate" prompt="Mashes have an evaporation rate if the mash tun is open to the air._x000a_Guideline(s):_x000a_For an open mash tun (without a lid), enter an evaporation rate in the OFF column._x000a_For a closed mash tun (with a lid), enter &quot;0&quot; in the ON column." sqref="F3:G3" xr:uid="{90AE16FE-D78A-463F-A48C-E3E5779D07CF}"/>
    <dataValidation allowBlank="1" showInputMessage="1" showErrorMessage="1" promptTitle="Mash Extract Efficiency" prompt="Percentage of sugars extracted from a mash._x000a_Guideline(s):_x000a_Batch Sparge - 65-80% typical_x000a_     Fly Sparge - 75-90% typical_x000a_     No Sparge - 60-75% typical" sqref="H3:H4" xr:uid="{66789386-8797-42D6-B8F1-CAA8E8C67E56}"/>
    <dataValidation allowBlank="1" showInputMessage="1" showErrorMessage="1" promptTitle="Sparge Method" prompt="Method used to lauter (separate) the wort from the grains." sqref="J3" xr:uid="{3E15FD2F-D297-4BA7-8FC4-5CCFDB6FF17A}"/>
    <dataValidation type="decimal" operator="greaterThanOrEqual" allowBlank="1" showInputMessage="1" showErrorMessage="1" promptTitle="Fly Sparge Flow Rate" prompt="Flow rate through grain bed._x000a_Guidelines(s)_x000a_For fly sparging only._x000a_Does not apply to other sparge methods._x000a_" sqref="K3:K4" xr:uid="{AE45C357-E545-4425-B1A0-038923553C29}">
      <formula1>0</formula1>
    </dataValidation>
    <dataValidation allowBlank="1" showInputMessage="1" showErrorMessage="1" promptTitle="Boil Kettle Capacity" prompt="Volume available to fill with liquid." sqref="L3:L4" xr:uid="{BCDBD5BA-E45A-4973-B06C-7961A70DA052}"/>
    <dataValidation allowBlank="1" showInputMessage="1" showErrorMessage="1" promptTitle="Boil Kettle Max Fill Percentage" prompt="Maximum desired fill level for the boil kettle. Allows room for foaming and possibility of boil over._x000a_Guideline(s):_x000a_Should be less &lt;&lt; 90% to avoid boil overs. _x000a_Lower is better._x000a_" sqref="M3:M4" xr:uid="{E0000001-E8AD-4A76-886E-B634112F6C5D}"/>
    <dataValidation allowBlank="1" showInputMessage="1" showErrorMessage="1" promptTitle="Boil Kettle Dead Space" prompt="Amount of wort left behind in kettle after draining." sqref="N3:N4" xr:uid="{49867FC7-317D-44EE-B6A3-E79C560630D8}"/>
    <dataValidation allowBlank="1" showInputMessage="1" showErrorMessage="1" promptTitle="Boil-Off Rate" prompt="Rate of evaporation during the boil._x000a_Guideline(s):_x000a_Varies with vessel geometry, applied heat, and environmental factors." sqref="O3:O4 P3" xr:uid="{4B706591-F50C-427E-823D-DE3818DABCE2}"/>
    <dataValidation allowBlank="1" showInputMessage="1" showErrorMessage="1" promptTitle="Chiller Type" prompt="Select the type of chiller." sqref="S2:S5" xr:uid="{4BA0F955-ECE0-4231-90BC-16B03FC47080}"/>
    <dataValidation allowBlank="1" showInputMessage="1" showErrorMessage="1" promptTitle="Chiller Displacement Volume" prompt="For immersion chillers only._x000a_Amount of wort displaced by chiller in boil kettle." sqref="T2:T4" xr:uid="{A0F6E003-A67B-4EF9-9E5F-AE2BBDF68D6D}"/>
    <dataValidation allowBlank="1" showInputMessage="1" showErrorMessage="1" promptTitle="Fermenter Capacity" prompt="Size of fermenter." sqref="W2:W4" xr:uid="{BA77F3C6-76E8-45F4-919C-C6EF59D15A4A}"/>
    <dataValidation allowBlank="1" showInputMessage="1" showErrorMessage="1" promptTitle="Fermenter Max Fill Percentage" prompt="Limits fermenter capacity to provide head space for krausening (foaming)." sqref="X2:X4" xr:uid="{CC0B5F95-3FBA-437C-91FA-EBEFD915508F}"/>
    <dataValidation allowBlank="1" showInputMessage="1" showErrorMessage="1" promptTitle="Fermenter Dead Space" prompt="Amount of wort left behind in fermenter after racking." sqref="Y2:Y4" xr:uid="{D5E095F9-AE3A-4B71-B163-B67B2B3E744D}"/>
    <dataValidation allowBlank="1" showInputMessage="1" showErrorMessage="1" promptTitle="Calibration Temperature" prompt="Temperature for which the hydrometer is calibrated." sqref="AB2:AB4" xr:uid="{D246D435-0D70-491A-BBC0-BACB6C5C09CE}"/>
    <dataValidation allowBlank="1" showInputMessage="1" showErrorMessage="1" promptTitle="Hydrometer Offset" prompt="Adjustment value for hydrometers that do not read 1.000 in distilled water at calibration temperature." sqref="AC2:AC5" xr:uid="{998C2645-444D-4BD7-86FE-376F8F48B8D0}"/>
    <dataValidation type="decimal" allowBlank="1" showInputMessage="1" showErrorMessage="1" sqref="AC6:AC25" xr:uid="{AB7136CD-0D22-406E-9874-38132B2F82D3}">
      <formula1>-0.02</formula1>
      <formula2>0.02</formula2>
    </dataValidation>
    <dataValidation type="list" allowBlank="1" showInputMessage="1" showErrorMessage="1" sqref="I6:I25" xr:uid="{2E9A0339-E3D8-48DC-89E1-F9F84332A90D}">
      <formula1>"1 Vessel,2 Vessel"</formula1>
    </dataValidation>
    <dataValidation type="list" allowBlank="1" showInputMessage="1" showErrorMessage="1" sqref="I6:I25" xr:uid="{F2A504B7-EBAF-4BA5-ABDE-05080858DD4B}">
      <formula1>"1 Vessl,2 Vessel"</formula1>
    </dataValidation>
    <dataValidation type="decimal" operator="greaterThan" allowBlank="1" showInputMessage="1" showErrorMessage="1" sqref="W6:W25" xr:uid="{77A93CC4-B6F7-4FEE-8922-9DFDB6CA5886}">
      <formula1>0</formula1>
    </dataValidation>
    <dataValidation allowBlank="1" showInputMessage="1" showErrorMessage="1" promptTitle="Water Allocation" prompt="# of vessels storing the total water during the mash._x000a_1 Vessel - Describes BIAB and no sparge systems where all water is added in the mash._x000a_2 Vessel - Traditional brewing systems with separate mash tuns and hot liquor tanks. Includes the BrewEasy." sqref="I3:I5" xr:uid="{8707B5BD-CD62-4987-818C-33868A66AF30}"/>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O32"/>
  <sheetViews>
    <sheetView topLeftCell="B1" zoomScaleNormal="100" workbookViewId="0">
      <selection activeCell="C6" sqref="C6"/>
    </sheetView>
  </sheetViews>
  <sheetFormatPr defaultRowHeight="12.75" x14ac:dyDescent="0.2"/>
  <cols>
    <col min="1" max="1" width="5.7109375" customWidth="1"/>
    <col min="2" max="2" width="51.85546875" customWidth="1"/>
    <col min="3" max="3" width="7.7109375" bestFit="1" customWidth="1"/>
    <col min="4" max="4" width="7.7109375" customWidth="1"/>
    <col min="5" max="5" width="8.5703125" customWidth="1"/>
    <col min="6" max="6" width="8.7109375" bestFit="1" customWidth="1"/>
    <col min="7" max="7" width="9.5703125" customWidth="1"/>
    <col min="8" max="8" width="6.42578125" customWidth="1"/>
    <col min="9" max="9" width="8.7109375" customWidth="1"/>
    <col min="10" max="10" width="7.85546875" customWidth="1"/>
    <col min="11" max="11" width="9" customWidth="1"/>
    <col min="12" max="39" width="9.42578125" customWidth="1"/>
  </cols>
  <sheetData>
    <row r="1" spans="2:15" x14ac:dyDescent="0.2">
      <c r="B1" s="24"/>
      <c r="C1" s="24"/>
      <c r="D1" s="24"/>
      <c r="G1" s="25"/>
      <c r="H1" s="25"/>
      <c r="I1" s="24"/>
      <c r="J1" s="24"/>
      <c r="K1" s="24"/>
      <c r="L1" s="24"/>
      <c r="M1" s="24"/>
    </row>
    <row r="2" spans="2:15" x14ac:dyDescent="0.2">
      <c r="B2" s="1232" t="s">
        <v>116</v>
      </c>
      <c r="C2" s="1233"/>
      <c r="D2" s="1233"/>
      <c r="E2" s="1233"/>
      <c r="F2" s="1233"/>
      <c r="G2" s="1233"/>
      <c r="H2" s="1233"/>
      <c r="I2" s="1233"/>
      <c r="J2" s="1233"/>
      <c r="K2" s="1233"/>
      <c r="L2" s="1233"/>
      <c r="M2" s="1233"/>
      <c r="N2" s="1233"/>
    </row>
    <row r="3" spans="2:15" s="22" customFormat="1" ht="26.45" customHeight="1" x14ac:dyDescent="0.2">
      <c r="B3" s="1230" t="s">
        <v>701</v>
      </c>
      <c r="C3" s="30" t="s">
        <v>123</v>
      </c>
      <c r="D3" s="1234" t="s">
        <v>95</v>
      </c>
      <c r="E3" s="1230" t="s">
        <v>66</v>
      </c>
      <c r="F3" s="30" t="s">
        <v>2009</v>
      </c>
      <c r="G3" s="1230" t="s">
        <v>703</v>
      </c>
      <c r="H3" s="30" t="s">
        <v>1117</v>
      </c>
      <c r="I3" s="1230" t="s">
        <v>1106</v>
      </c>
      <c r="J3" s="1230" t="s">
        <v>97</v>
      </c>
      <c r="K3" s="1230" t="s">
        <v>1115</v>
      </c>
      <c r="L3" s="1230" t="s">
        <v>1116</v>
      </c>
      <c r="M3" s="30" t="s">
        <v>1866</v>
      </c>
      <c r="N3"/>
      <c r="O3"/>
    </row>
    <row r="4" spans="2:15" s="22" customFormat="1" x14ac:dyDescent="0.2">
      <c r="B4" s="1231"/>
      <c r="C4" s="832" t="str">
        <f>'Brewhouse Setup &amp; Calcs'!$C$6</f>
        <v>lb</v>
      </c>
      <c r="D4" s="1235"/>
      <c r="E4" s="1231"/>
      <c r="F4" s="31" t="s">
        <v>2014</v>
      </c>
      <c r="G4" s="1231"/>
      <c r="H4" s="31" t="s">
        <v>1105</v>
      </c>
      <c r="I4" s="1231"/>
      <c r="J4" s="1231"/>
      <c r="K4" s="1231"/>
      <c r="L4" s="1231"/>
      <c r="M4" s="47"/>
      <c r="N4"/>
      <c r="O4"/>
    </row>
    <row r="5" spans="2:15" x14ac:dyDescent="0.2">
      <c r="B5" s="671" t="s">
        <v>1378</v>
      </c>
      <c r="C5" s="672">
        <v>14</v>
      </c>
      <c r="D5" s="827">
        <f t="shared" ref="D5:D14" si="0">IF(ISBLANK(C5),"",C5/$C$17)</f>
        <v>0.7</v>
      </c>
      <c r="E5" s="767" t="str">
        <f>IF(ISBLANK(B5),"",VLOOKUP(B5,'Grain &amp; Sugar List'!$A$2:$H$307,3,FALSE))</f>
        <v>Grain</v>
      </c>
      <c r="F5" s="828">
        <f>IF(ISBLANK(B5),"",VLOOKUP(B5,'Grain &amp; Sugar List'!$A$2:$H$307,8,FALSE)*IF('Brewhouse Setup &amp; Calcs'!$C$2="US Customary",C5,C5*2.204623))</f>
        <v>1960</v>
      </c>
      <c r="G5" s="829">
        <f>IF(ISBLANK(B5),"",VLOOKUP(B5,'Grain &amp; Sugar List'!$A$2:$H$307,6,FALSE))</f>
        <v>1.03743334</v>
      </c>
      <c r="H5" s="766">
        <f t="shared" ref="H5:H14" si="1">IF(ISBLANK(B5),"",(G5-1)*1000)</f>
        <v>37.43333999999998</v>
      </c>
      <c r="I5" s="830">
        <f>IF(ISBLANK(B5),"",IF('Brewhouse Setup &amp; Calcs'!$C$2="Metric",2.20462262185*H5*C5,H5*C5))</f>
        <v>524.0667599999997</v>
      </c>
      <c r="J5" s="831">
        <f>IF(ISBLANK(B5),"",IF(E5="Grain",'Brewhouse Setup &amp; Calcs'!$C$46,IF(E5="Sugar",1,)))</f>
        <v>0.7</v>
      </c>
      <c r="K5" s="830">
        <f>IF(ISBLANK(B5),"",IF('Brewhouse Setup &amp; Calcs'!$C$2="Metric",I5*J5/(0.264172*'Brewhouse Setup &amp; Calcs'!$C$80),I5*J5/'Brewhouse Setup &amp; Calcs'!$C$80*4))</f>
        <v>28.056372312630845</v>
      </c>
      <c r="L5" s="830">
        <f>IF(ISBLANK(B5),"",IF('Brewhouse Setup &amp; Calcs'!$C$2="Metric",I5*J5/(0.264172*'Brewhouse Setup &amp; Calcs'!$C$76),I5*J5/'Brewhouse Setup &amp; Calcs'!$C$76*4))</f>
        <v>30.529907867204496</v>
      </c>
      <c r="M5" s="771">
        <f>IF(ISBLANK(C5),"",(IF('Brewhouse Setup &amp; Calcs'!$C$2="US Customary",((VLOOKUP(B5,grains_table[[Ingredient Name]:[Color (° L)]],7,FALSE)*C5)/('Brewhouse Setup &amp; Calcs'!$C$76/4)),((VLOOKUP(B5,grains_table[[Ingredient Name]:[Color (° L)]],7,FALSE)*C5*2.204623)/('Brewhouse Setup &amp; Calcs'!$C$76*1.056688/4)))))</f>
        <v>2.097207392469163</v>
      </c>
    </row>
    <row r="6" spans="2:15" x14ac:dyDescent="0.2">
      <c r="B6" s="671" t="s">
        <v>1238</v>
      </c>
      <c r="C6" s="672">
        <v>5</v>
      </c>
      <c r="D6" s="827">
        <f t="shared" si="0"/>
        <v>0.25</v>
      </c>
      <c r="E6" s="767" t="str">
        <f>IF(ISBLANK(B6),"",VLOOKUP(B6,'Grain &amp; Sugar List'!$A$2:$H$307,3,FALSE))</f>
        <v>Grain</v>
      </c>
      <c r="F6" s="828">
        <f>IF(ISBLANK(B6),"",VLOOKUP(B6,'Grain &amp; Sugar List'!$A$2:$H$307,8,FALSE)*IF('Brewhouse Setup &amp; Calcs'!$C$2="US Customary",C6,C6*2.204623))</f>
        <v>0</v>
      </c>
      <c r="G6" s="829">
        <f>IF(ISBLANK(B6),"",VLOOKUP(B6,'Grain &amp; Sugar List'!$A$2:$H$307,6,FALSE))</f>
        <v>1.0346605</v>
      </c>
      <c r="H6" s="766">
        <f t="shared" si="1"/>
        <v>34.660499999999985</v>
      </c>
      <c r="I6" s="830">
        <f>IF(ISBLANK(B6),"",IF('Brewhouse Setup &amp; Calcs'!$C$2="Metric",2.20462262185*H6*C6,H6*C6))</f>
        <v>173.30249999999992</v>
      </c>
      <c r="J6" s="831">
        <f>IF(ISBLANK(B6),"",IF(E6="Grain",'Brewhouse Setup &amp; Calcs'!$C$46,IF(E6="Sugar",1,)))</f>
        <v>0.7</v>
      </c>
      <c r="K6" s="830">
        <f>IF(ISBLANK(B6),"",IF('Brewhouse Setup &amp; Calcs'!$C$2="Metric",I6*J6/(0.264172*'Brewhouse Setup &amp; Calcs'!$C$80),I6*J6/'Brewhouse Setup &amp; Calcs'!$C$80*4))</f>
        <v>9.2779008970340104</v>
      </c>
      <c r="L6" s="830">
        <f>IF(ISBLANK(B6),"",IF('Brewhouse Setup &amp; Calcs'!$C$2="Metric",I6*J6/(0.264172*'Brewhouse Setup &amp; Calcs'!$C$76),I6*J6/'Brewhouse Setup &amp; Calcs'!$C$76*4))</f>
        <v>10.095869003705191</v>
      </c>
      <c r="M6" s="771">
        <f>IF(ISBLANK(C6),"",(IF('Brewhouse Setup &amp; Calcs'!$C$2="US Customary",((VLOOKUP(B6,grains_table[[Ingredient Name]:[Color (° L)]],7,FALSE)*C6)/('Brewhouse Setup &amp; Calcs'!$C$76/4)),((VLOOKUP(B6,grains_table[[Ingredient Name]:[Color (° L)]],7,FALSE)*C6*2.204623)/('Brewhouse Setup &amp; Calcs'!$C$76*1.056688/4)))))</f>
        <v>0.33289006229669255</v>
      </c>
    </row>
    <row r="7" spans="2:15" x14ac:dyDescent="0.2">
      <c r="B7" s="671" t="s">
        <v>1626</v>
      </c>
      <c r="C7" s="672">
        <v>1</v>
      </c>
      <c r="D7" s="827">
        <f t="shared" si="0"/>
        <v>0.05</v>
      </c>
      <c r="E7" s="767" t="str">
        <f>IF(ISBLANK(B7),"",VLOOKUP(B7,'Grain &amp; Sugar List'!$A$2:$H$307,3,FALSE))</f>
        <v>Grain</v>
      </c>
      <c r="F7" s="828">
        <f>IF(ISBLANK(B7),"",VLOOKUP(B7,'Grain &amp; Sugar List'!$A$2:$H$307,8,FALSE)*IF('Brewhouse Setup &amp; Calcs'!$C$2="US Customary",C7,C7*2.204623))</f>
        <v>0</v>
      </c>
      <c r="G7" s="829">
        <f>IF(ISBLANK(B7),"",VLOOKUP(B7,'Grain &amp; Sugar List'!$A$2:$H$307,6,FALSE))</f>
        <v>1</v>
      </c>
      <c r="H7" s="766">
        <f t="shared" si="1"/>
        <v>0</v>
      </c>
      <c r="I7" s="830">
        <f>IF(ISBLANK(B7),"",IF('Brewhouse Setup &amp; Calcs'!$C$2="Metric",2.20462262185*H7*C7,H7*C7))</f>
        <v>0</v>
      </c>
      <c r="J7" s="831">
        <f>IF(ISBLANK(B7),"",IF(E7="Grain",'Brewhouse Setup &amp; Calcs'!$C$46,IF(E7="Sugar",1,)))</f>
        <v>0.7</v>
      </c>
      <c r="K7" s="830">
        <f>IF(ISBLANK(B7),"",IF('Brewhouse Setup &amp; Calcs'!$C$2="Metric",I7*J7/(0.264172*'Brewhouse Setup &amp; Calcs'!$C$80),I7*J7/'Brewhouse Setup &amp; Calcs'!$C$80*4))</f>
        <v>0</v>
      </c>
      <c r="L7" s="830">
        <f>IF(ISBLANK(B7),"",IF('Brewhouse Setup &amp; Calcs'!$C$2="Metric",I7*J7/(0.264172*'Brewhouse Setup &amp; Calcs'!$C$76),I7*J7/'Brewhouse Setup &amp; Calcs'!$C$76*4))</f>
        <v>0</v>
      </c>
      <c r="M7" s="771">
        <f>IF(ISBLANK(C7),"",(IF('Brewhouse Setup &amp; Calcs'!$C$2="US Customary",((VLOOKUP(B7,grains_table[[Ingredient Name]:[Color (° L)]],7,FALSE)*C7)/('Brewhouse Setup &amp; Calcs'!$C$76/4)),((VLOOKUP(B7,grains_table[[Ingredient Name]:[Color (° L)]],7,FALSE)*C7*2.204623)/('Brewhouse Setup &amp; Calcs'!$C$76*1.056688/4)))))</f>
        <v>0</v>
      </c>
    </row>
    <row r="8" spans="2:15" x14ac:dyDescent="0.2">
      <c r="B8" s="671"/>
      <c r="C8" s="672"/>
      <c r="D8" s="827" t="str">
        <f t="shared" si="0"/>
        <v/>
      </c>
      <c r="E8" s="767" t="str">
        <f>IF(ISBLANK(B8),"",VLOOKUP(B8,'Grain &amp; Sugar List'!$A$2:$H$307,3,FALSE))</f>
        <v/>
      </c>
      <c r="F8" s="828" t="str">
        <f>IF(ISBLANK(B8),"",VLOOKUP(B8,'Grain &amp; Sugar List'!$A$2:$H$307,8,FALSE)*IF('Brewhouse Setup &amp; Calcs'!$C$2="US Customary",C8,C8*2.204623))</f>
        <v/>
      </c>
      <c r="G8" s="829" t="str">
        <f>IF(ISBLANK(B8),"",VLOOKUP(B8,'Grain &amp; Sugar List'!$A$2:$H$307,6,FALSE))</f>
        <v/>
      </c>
      <c r="H8" s="766" t="str">
        <f t="shared" si="1"/>
        <v/>
      </c>
      <c r="I8" s="830" t="str">
        <f>IF(ISBLANK(B8),"",IF('Brewhouse Setup &amp; Calcs'!$C$2="Metric",2.20462262185*H8*C8,H8*C8))</f>
        <v/>
      </c>
      <c r="J8" s="831" t="str">
        <f>IF(ISBLANK(B8),"",IF(E8="Grain",'Brewhouse Setup &amp; Calcs'!$C$46,IF(E8="Sugar",1,)))</f>
        <v/>
      </c>
      <c r="K8" s="830" t="str">
        <f>IF(ISBLANK(B8),"",IF('Brewhouse Setup &amp; Calcs'!$C$2="Metric",I8*J8/(0.264172*'Brewhouse Setup &amp; Calcs'!$C$80),I8*J8/'Brewhouse Setup &amp; Calcs'!$C$80*4))</f>
        <v/>
      </c>
      <c r="L8" s="830" t="str">
        <f>IF(ISBLANK(B8),"",IF('Brewhouse Setup &amp; Calcs'!$C$2="Metric",I8*J8/(0.264172*'Brewhouse Setup &amp; Calcs'!$C$76),I8*J8/'Brewhouse Setup &amp; Calcs'!$C$76*4))</f>
        <v/>
      </c>
      <c r="M8" s="771" t="str">
        <f>IF(ISBLANK(C8),"",(IF('Brewhouse Setup &amp; Calcs'!$C$2="US Customary",((VLOOKUP(B8,grains_table[[Ingredient Name]:[Color (° L)]],7,FALSE)*C8)/('Brewhouse Setup &amp; Calcs'!$C$76/4)),((VLOOKUP(B8,grains_table[[Ingredient Name]:[Color (° L)]],7,FALSE)*C8*2.204623)/('Brewhouse Setup &amp; Calcs'!$C$76*1.056688/4)))))</f>
        <v/>
      </c>
    </row>
    <row r="9" spans="2:15" x14ac:dyDescent="0.2">
      <c r="B9" s="671"/>
      <c r="C9" s="672"/>
      <c r="D9" s="827" t="str">
        <f t="shared" si="0"/>
        <v/>
      </c>
      <c r="E9" s="767" t="str">
        <f>IF(ISBLANK(B9),"",VLOOKUP(B9,'Grain &amp; Sugar List'!$A$2:$H$307,3,FALSE))</f>
        <v/>
      </c>
      <c r="F9" s="828" t="str">
        <f>IF(ISBLANK(B9),"",VLOOKUP(B9,'Grain &amp; Sugar List'!$A$2:$H$307,8,FALSE)*IF('Brewhouse Setup &amp; Calcs'!$C$2="US Customary",C9,C9*2.204623))</f>
        <v/>
      </c>
      <c r="G9" s="829" t="str">
        <f>IF(ISBLANK(B9),"",VLOOKUP(B9,'Grain &amp; Sugar List'!$A$2:$H$307,6,FALSE))</f>
        <v/>
      </c>
      <c r="H9" s="766" t="str">
        <f t="shared" si="1"/>
        <v/>
      </c>
      <c r="I9" s="830" t="str">
        <f>IF(ISBLANK(B9),"",IF('Brewhouse Setup &amp; Calcs'!$C$2="Metric",2.20462262185*H9*C9,H9*C9))</f>
        <v/>
      </c>
      <c r="J9" s="831" t="str">
        <f>IF(ISBLANK(B9),"",IF(E9="Grain",'Brewhouse Setup &amp; Calcs'!$C$46,IF(E9="Sugar",1,)))</f>
        <v/>
      </c>
      <c r="K9" s="830" t="str">
        <f>IF(ISBLANK(B9),"",IF('Brewhouse Setup &amp; Calcs'!$C$2="Metric",I9*J9/(0.264172*'Brewhouse Setup &amp; Calcs'!$C$80),I9*J9/'Brewhouse Setup &amp; Calcs'!$C$80*4))</f>
        <v/>
      </c>
      <c r="L9" s="830" t="str">
        <f>IF(ISBLANK(B9),"",IF('Brewhouse Setup &amp; Calcs'!$C$2="Metric",I9*J9/(0.264172*'Brewhouse Setup &amp; Calcs'!$C$76),I9*J9/'Brewhouse Setup &amp; Calcs'!$C$76*4))</f>
        <v/>
      </c>
      <c r="M9" s="771" t="str">
        <f>IF(ISBLANK(C9),"",(IF('Brewhouse Setup &amp; Calcs'!$C$2="US Customary",((VLOOKUP(B9,grains_table[[Ingredient Name]:[Color (° L)]],7,FALSE)*C9)/('Brewhouse Setup &amp; Calcs'!$C$76/4)),((VLOOKUP(B9,grains_table[[Ingredient Name]:[Color (° L)]],7,FALSE)*C9*2.204623)/('Brewhouse Setup &amp; Calcs'!$C$76*1.056688/4)))))</f>
        <v/>
      </c>
    </row>
    <row r="10" spans="2:15" x14ac:dyDescent="0.2">
      <c r="B10" s="671"/>
      <c r="C10" s="672"/>
      <c r="D10" s="827" t="str">
        <f t="shared" si="0"/>
        <v/>
      </c>
      <c r="E10" s="767" t="str">
        <f>IF(ISBLANK(B10),"",VLOOKUP(B10,'Grain &amp; Sugar List'!$A$2:$H$307,3,FALSE))</f>
        <v/>
      </c>
      <c r="F10" s="828" t="str">
        <f>IF(ISBLANK(B10),"",VLOOKUP(B10,'Grain &amp; Sugar List'!$A$2:$H$307,8,FALSE)*IF('Brewhouse Setup &amp; Calcs'!$C$2="US Customary",C10,C10*2.204623))</f>
        <v/>
      </c>
      <c r="G10" s="829" t="str">
        <f>IF(ISBLANK(B10),"",VLOOKUP(B10,'Grain &amp; Sugar List'!$A$2:$H$307,6,FALSE))</f>
        <v/>
      </c>
      <c r="H10" s="766" t="str">
        <f t="shared" si="1"/>
        <v/>
      </c>
      <c r="I10" s="830" t="str">
        <f>IF(ISBLANK(B10),"",IF('Brewhouse Setup &amp; Calcs'!$C$2="Metric",2.20462262185*H10*C10,H10*C10))</f>
        <v/>
      </c>
      <c r="J10" s="831" t="str">
        <f>IF(ISBLANK(B10),"",IF(E10="Grain",'Brewhouse Setup &amp; Calcs'!$C$46,IF(E10="Sugar",1,)))</f>
        <v/>
      </c>
      <c r="K10" s="830" t="str">
        <f>IF(ISBLANK(B10),"",IF('Brewhouse Setup &amp; Calcs'!$C$2="Metric",I10*J10/(0.264172*'Brewhouse Setup &amp; Calcs'!$C$80),I10*J10/'Brewhouse Setup &amp; Calcs'!$C$80*4))</f>
        <v/>
      </c>
      <c r="L10" s="830" t="str">
        <f>IF(ISBLANK(B10),"",IF('Brewhouse Setup &amp; Calcs'!$C$2="Metric",I10*J10/(0.264172*'Brewhouse Setup &amp; Calcs'!$C$76),I10*J10/'Brewhouse Setup &amp; Calcs'!$C$76*4))</f>
        <v/>
      </c>
      <c r="M10" s="771" t="str">
        <f>IF(ISBLANK(C10),"",(IF('Brewhouse Setup &amp; Calcs'!$C$2="US Customary",((VLOOKUP(B10,grains_table[[Ingredient Name]:[Color (° L)]],7,FALSE)*C10)/('Brewhouse Setup &amp; Calcs'!$C$76/4)),((VLOOKUP(B10,grains_table[[Ingredient Name]:[Color (° L)]],7,FALSE)*C10*2.204623)/('Brewhouse Setup &amp; Calcs'!$C$76*1.056688/4)))))</f>
        <v/>
      </c>
    </row>
    <row r="11" spans="2:15" x14ac:dyDescent="0.2">
      <c r="B11" s="671"/>
      <c r="C11" s="672"/>
      <c r="D11" s="827" t="str">
        <f t="shared" si="0"/>
        <v/>
      </c>
      <c r="E11" s="767" t="str">
        <f>IF(ISBLANK(B11),"",VLOOKUP(B11,'Grain &amp; Sugar List'!$A$2:$H$307,3,FALSE))</f>
        <v/>
      </c>
      <c r="F11" s="828" t="str">
        <f>IF(ISBLANK(B11),"",VLOOKUP(B11,'Grain &amp; Sugar List'!$A$2:$H$307,8,FALSE)*IF('Brewhouse Setup &amp; Calcs'!$C$2="US Customary",C11,C11*2.204623))</f>
        <v/>
      </c>
      <c r="G11" s="829" t="str">
        <f>IF(ISBLANK(B11),"",VLOOKUP(B11,'Grain &amp; Sugar List'!$A$2:$H$307,6,FALSE))</f>
        <v/>
      </c>
      <c r="H11" s="766" t="str">
        <f t="shared" si="1"/>
        <v/>
      </c>
      <c r="I11" s="830" t="str">
        <f>IF(ISBLANK(B11),"",IF('Brewhouse Setup &amp; Calcs'!$C$2="Metric",2.20462262185*H11*C11,H11*C11))</f>
        <v/>
      </c>
      <c r="J11" s="831" t="str">
        <f>IF(ISBLANK(B11),"",IF(E11="Grain",'Brewhouse Setup &amp; Calcs'!$C$46,IF(E11="Sugar",1,)))</f>
        <v/>
      </c>
      <c r="K11" s="830" t="str">
        <f>IF(ISBLANK(B11),"",IF('Brewhouse Setup &amp; Calcs'!$C$2="Metric",I11*J11/(0.264172*'Brewhouse Setup &amp; Calcs'!$C$80),I11*J11/'Brewhouse Setup &amp; Calcs'!$C$80*4))</f>
        <v/>
      </c>
      <c r="L11" s="830" t="str">
        <f>IF(ISBLANK(B11),"",IF('Brewhouse Setup &amp; Calcs'!$C$2="Metric",I11*J11/(0.264172*'Brewhouse Setup &amp; Calcs'!$C$76),I11*J11/'Brewhouse Setup &amp; Calcs'!$C$76*4))</f>
        <v/>
      </c>
      <c r="M11" s="771" t="str">
        <f>IF(ISBLANK(C11),"",(IF('Brewhouse Setup &amp; Calcs'!$C$2="US Customary",((VLOOKUP(B11,grains_table[[Ingredient Name]:[Color (° L)]],7,FALSE)*C11)/('Brewhouse Setup &amp; Calcs'!$C$76/4)),((VLOOKUP(B11,grains_table[[Ingredient Name]:[Color (° L)]],7,FALSE)*C11*2.204623)/('Brewhouse Setup &amp; Calcs'!$C$76*1.056688/4)))))</f>
        <v/>
      </c>
    </row>
    <row r="12" spans="2:15" x14ac:dyDescent="0.2">
      <c r="B12" s="671"/>
      <c r="C12" s="672"/>
      <c r="D12" s="827" t="str">
        <f t="shared" ref="D12" si="2">IF(ISBLANK(C12),"",C12/$C$17)</f>
        <v/>
      </c>
      <c r="E12" s="767" t="str">
        <f>IF(ISBLANK(B12),"",VLOOKUP(B12,'Grain &amp; Sugar List'!$A$2:$H$307,3,FALSE))</f>
        <v/>
      </c>
      <c r="F12" s="828" t="str">
        <f>IF(ISBLANK(B12),"",VLOOKUP(B12,'Grain &amp; Sugar List'!$A$2:$H$307,8,FALSE)*IF('Brewhouse Setup &amp; Calcs'!$C$2="US Customary",C12,C12*2.204623))</f>
        <v/>
      </c>
      <c r="G12" s="829" t="str">
        <f>IF(ISBLANK(B12),"",VLOOKUP(B12,'Grain &amp; Sugar List'!$A$2:$H$307,6,FALSE))</f>
        <v/>
      </c>
      <c r="H12" s="766" t="str">
        <f t="shared" ref="H12" si="3">IF(ISBLANK(B12),"",(G12-1)*1000)</f>
        <v/>
      </c>
      <c r="I12" s="830" t="str">
        <f>IF(ISBLANK(B12),"",IF('Brewhouse Setup &amp; Calcs'!$C$2="Metric",2.20462262185*H12*C12,H12*C12))</f>
        <v/>
      </c>
      <c r="J12" s="831" t="str">
        <f>IF(ISBLANK(B12),"",IF(E12="Grain",'Brewhouse Setup &amp; Calcs'!$C$46,IF(E12="Sugar",1,)))</f>
        <v/>
      </c>
      <c r="K12" s="830" t="str">
        <f>IF(ISBLANK(B12),"",IF('Brewhouse Setup &amp; Calcs'!$C$2="Metric",I12*J12/(0.264172*'Brewhouse Setup &amp; Calcs'!$C$80),I12*J12/'Brewhouse Setup &amp; Calcs'!$C$80*4))</f>
        <v/>
      </c>
      <c r="L12" s="830" t="str">
        <f>IF(ISBLANK(B12),"",IF('Brewhouse Setup &amp; Calcs'!$C$2="Metric",I12*J12/(0.264172*'Brewhouse Setup &amp; Calcs'!$C$76),I12*J12/'Brewhouse Setup &amp; Calcs'!$C$76*4))</f>
        <v/>
      </c>
      <c r="M12" s="771" t="str">
        <f>IF(ISBLANK(C12),"",(IF('Brewhouse Setup &amp; Calcs'!$C$2="US Customary",((VLOOKUP(B12,grains_table[[Ingredient Name]:[Color (° L)]],7,FALSE)*C12)/('Brewhouse Setup &amp; Calcs'!$C$76/4)),((VLOOKUP(B12,grains_table[[Ingredient Name]:[Color (° L)]],7,FALSE)*C12*2.204623)/('Brewhouse Setup &amp; Calcs'!$C$76*1.056688/4)))))</f>
        <v/>
      </c>
    </row>
    <row r="13" spans="2:15" x14ac:dyDescent="0.2">
      <c r="B13" s="671"/>
      <c r="C13" s="672"/>
      <c r="D13" s="827" t="str">
        <f t="shared" si="0"/>
        <v/>
      </c>
      <c r="E13" s="767" t="str">
        <f>IF(ISBLANK(B13),"",VLOOKUP(B13,'Grain &amp; Sugar List'!$A$2:$H$307,3,FALSE))</f>
        <v/>
      </c>
      <c r="F13" s="828" t="str">
        <f>IF(ISBLANK(B13),"",VLOOKUP(B13,'Grain &amp; Sugar List'!$A$2:$H$307,8,FALSE)*IF('Brewhouse Setup &amp; Calcs'!$C$2="US Customary",C13,C13*2.204623))</f>
        <v/>
      </c>
      <c r="G13" s="829" t="str">
        <f>IF(ISBLANK(B13),"",VLOOKUP(B13,'Grain &amp; Sugar List'!$A$2:$H$307,6,FALSE))</f>
        <v/>
      </c>
      <c r="H13" s="766" t="str">
        <f t="shared" si="1"/>
        <v/>
      </c>
      <c r="I13" s="830" t="str">
        <f>IF(ISBLANK(B13),"",IF('Brewhouse Setup &amp; Calcs'!$C$2="Metric",2.20462262185*H13*C13,H13*C13))</f>
        <v/>
      </c>
      <c r="J13" s="831" t="str">
        <f>IF(ISBLANK(B13),"",IF(E13="Grain",'Brewhouse Setup &amp; Calcs'!$C$46,IF(E13="Sugar",1,)))</f>
        <v/>
      </c>
      <c r="K13" s="830" t="str">
        <f>IF(ISBLANK(B13),"",IF('Brewhouse Setup &amp; Calcs'!$C$2="Metric",I13*J13/(0.264172*'Brewhouse Setup &amp; Calcs'!$C$80),I13*J13/'Brewhouse Setup &amp; Calcs'!$C$80*4))</f>
        <v/>
      </c>
      <c r="L13" s="830" t="str">
        <f>IF(ISBLANK(B13),"",IF('Brewhouse Setup &amp; Calcs'!$C$2="Metric",I13*J13/(0.264172*'Brewhouse Setup &amp; Calcs'!$C$76),I13*J13/'Brewhouse Setup &amp; Calcs'!$C$76*4))</f>
        <v/>
      </c>
      <c r="M13" s="771" t="str">
        <f>IF(ISBLANK(C13),"",(IF('Brewhouse Setup &amp; Calcs'!$C$2="US Customary",((VLOOKUP(B13,grains_table[[Ingredient Name]:[Color (° L)]],7,FALSE)*C13)/('Brewhouse Setup &amp; Calcs'!$C$76/4)),((VLOOKUP(B13,grains_table[[Ingredient Name]:[Color (° L)]],7,FALSE)*C13*2.204623)/('Brewhouse Setup &amp; Calcs'!$C$76*1.056688/4)))))</f>
        <v/>
      </c>
    </row>
    <row r="14" spans="2:15" x14ac:dyDescent="0.2">
      <c r="B14" s="671"/>
      <c r="C14" s="672"/>
      <c r="D14" s="827" t="str">
        <f t="shared" si="0"/>
        <v/>
      </c>
      <c r="E14" s="767" t="str">
        <f>IF(ISBLANK(B14),"",VLOOKUP(B14,'Grain &amp; Sugar List'!$A$2:$H$307,3,FALSE))</f>
        <v/>
      </c>
      <c r="F14" s="828" t="str">
        <f>IF(ISBLANK(B14),"",VLOOKUP(B14,'Grain &amp; Sugar List'!$A$2:$H$307,8,FALSE)*IF('Brewhouse Setup &amp; Calcs'!$C$2="US Customary",C14,C14*2.204623))</f>
        <v/>
      </c>
      <c r="G14" s="829" t="str">
        <f>IF(ISBLANK(B14),"",VLOOKUP(B14,'Grain &amp; Sugar List'!$A$2:$H$307,6,FALSE))</f>
        <v/>
      </c>
      <c r="H14" s="766" t="str">
        <f t="shared" si="1"/>
        <v/>
      </c>
      <c r="I14" s="830" t="str">
        <f>IF(ISBLANK(B14),"",IF('Brewhouse Setup &amp; Calcs'!$C$2="Metric",2.20462262185*H14*C14,H14*C14))</f>
        <v/>
      </c>
      <c r="J14" s="831" t="str">
        <f>IF(ISBLANK(B14),"",IF(E14="Grain",'Brewhouse Setup &amp; Calcs'!$C$46,IF(E14="Sugar",1,)))</f>
        <v/>
      </c>
      <c r="K14" s="830" t="str">
        <f>IF(ISBLANK(B14),"",IF('Brewhouse Setup &amp; Calcs'!$C$2="Metric",I14*J14/(0.264172*'Brewhouse Setup &amp; Calcs'!$C$80),I14*J14/'Brewhouse Setup &amp; Calcs'!$C$80*4))</f>
        <v/>
      </c>
      <c r="L14" s="830" t="str">
        <f>IF(ISBLANK(B14),"",IF('Brewhouse Setup &amp; Calcs'!$C$2="Metric",I14*J14/(0.264172*'Brewhouse Setup &amp; Calcs'!$C$76),I14*J14/'Brewhouse Setup &amp; Calcs'!$C$76*4))</f>
        <v/>
      </c>
      <c r="M14" s="771" t="str">
        <f>IF(ISBLANK(C14),"",(IF('Brewhouse Setup &amp; Calcs'!$C$2="US Customary",((VLOOKUP(B14,grains_table[[Ingredient Name]:[Color (° L)]],7,FALSE)*C14)/('Brewhouse Setup &amp; Calcs'!$C$76/4)),((VLOOKUP(B14,grains_table[[Ingredient Name]:[Color (° L)]],7,FALSE)*C14*2.204623)/('Brewhouse Setup &amp; Calcs'!$C$76*1.056688/4)))))</f>
        <v/>
      </c>
    </row>
    <row r="15" spans="2:15" x14ac:dyDescent="0.2">
      <c r="B15" s="20" t="s">
        <v>99</v>
      </c>
      <c r="C15" s="768">
        <f>SUMIF($E$5:$E$14,"Grain",$C$5:$C$14)</f>
        <v>20</v>
      </c>
      <c r="D15" s="833">
        <f>SUMIF($E$5:$E$14,"Grain",$D$5:$D$14)</f>
        <v>1</v>
      </c>
      <c r="F15" s="374">
        <f>ROUND(SUM(F5:F14)/($C$15*IF('Brewhouse Setup &amp; Calcs'!C2="US Customary",1,2.204623)),0)</f>
        <v>98</v>
      </c>
      <c r="H15" s="20" t="s">
        <v>1100</v>
      </c>
      <c r="I15" s="834">
        <f>SUMIF($E$5:$E$14,"Grain",$I$5:$I$14)</f>
        <v>697.3692599999996</v>
      </c>
      <c r="J15" s="20"/>
      <c r="K15" s="834">
        <f>SUMIF($E$5:$E$14,"Grain",$K$5:$K$14)</f>
        <v>37.334273209664858</v>
      </c>
      <c r="L15" s="834">
        <f>SUMIF($E$5:$E$14,"Grain",$L$5:$L$14)</f>
        <v>40.625776870909689</v>
      </c>
      <c r="M15" s="369"/>
    </row>
    <row r="16" spans="2:15" x14ac:dyDescent="0.2">
      <c r="B16" s="20" t="s">
        <v>857</v>
      </c>
      <c r="C16" s="768">
        <f>SUMIF($E$5:$E$14,"Sugar",$C$5:$C$14)</f>
        <v>0</v>
      </c>
      <c r="D16" s="833">
        <f>SUMIF($E$5:$E$14,"Sugar",$D$5:$D$14)</f>
        <v>0</v>
      </c>
      <c r="F16" s="1227" t="s">
        <v>2242</v>
      </c>
      <c r="H16" s="20" t="s">
        <v>1101</v>
      </c>
      <c r="I16" s="834">
        <f>SUMIF($E$5:$E$14,"Sugar",$I$5:$I$14)</f>
        <v>0</v>
      </c>
      <c r="J16" s="20"/>
      <c r="K16" s="834">
        <f>SUMIF($E$5:$E$14,"Sugar",$K$5:$K$14)</f>
        <v>0</v>
      </c>
      <c r="L16" s="834">
        <f>SUMIF($E$5:$E$14,"Sugar",$L$5:$L$14)</f>
        <v>0</v>
      </c>
      <c r="M16" s="370" t="s">
        <v>1867</v>
      </c>
    </row>
    <row r="17" spans="2:13" x14ac:dyDescent="0.2">
      <c r="B17" s="20" t="s">
        <v>117</v>
      </c>
      <c r="C17" s="768">
        <f>C15+C16</f>
        <v>20</v>
      </c>
      <c r="D17" s="833">
        <f>D15+D16</f>
        <v>1</v>
      </c>
      <c r="F17" s="1228"/>
      <c r="H17" s="20" t="s">
        <v>117</v>
      </c>
      <c r="I17" s="834">
        <f>SUM(I5:I14)</f>
        <v>697.3692599999996</v>
      </c>
      <c r="K17" s="834">
        <f>SUM(K5:K14)</f>
        <v>37.334273209664858</v>
      </c>
      <c r="L17" s="834">
        <f>SUM(L5:L14)</f>
        <v>40.625776870909689</v>
      </c>
      <c r="M17" s="835">
        <f>SUM(M5:M14)</f>
        <v>2.4300974547658556</v>
      </c>
    </row>
    <row r="18" spans="2:13" x14ac:dyDescent="0.2">
      <c r="F18" s="1228"/>
      <c r="M18" s="371" t="s">
        <v>1232</v>
      </c>
    </row>
    <row r="19" spans="2:13" x14ac:dyDescent="0.2">
      <c r="B19" s="483" t="s">
        <v>2243</v>
      </c>
      <c r="C19" s="484" t="str">
        <f>'Brewhouse Setup &amp; Calcs'!M12</f>
        <v>PASS</v>
      </c>
      <c r="F19" s="1228"/>
      <c r="J19" s="20" t="s">
        <v>118</v>
      </c>
      <c r="K19" s="829">
        <f>SUMIF($E$5:$E$14,"Grain",$K$5:$K$14)*(IF(I4="PKL",2.205,1))/1000+1</f>
        <v>1.0373342732096649</v>
      </c>
      <c r="M19" s="396">
        <f>1.4922*M17^0.6859</f>
        <v>2.7436349404891742</v>
      </c>
    </row>
    <row r="20" spans="2:13" x14ac:dyDescent="0.2">
      <c r="C20" s="395"/>
      <c r="F20" s="1228"/>
      <c r="J20" s="20" t="s">
        <v>1102</v>
      </c>
      <c r="K20" s="836">
        <f>SUMIF($E$5:$E$14,"Sugar",$K$5:$K$14)/1000+1</f>
        <v>1</v>
      </c>
    </row>
    <row r="21" spans="2:13" x14ac:dyDescent="0.2">
      <c r="C21" s="459"/>
      <c r="F21" s="1228"/>
      <c r="J21" s="20" t="s">
        <v>120</v>
      </c>
      <c r="K21" s="836">
        <f>SUM(K5:K14)/1000+1</f>
        <v>1.0373342732096649</v>
      </c>
      <c r="L21" s="394">
        <f>L17/1000+1</f>
        <v>1.0406257768709097</v>
      </c>
    </row>
    <row r="22" spans="2:13" x14ac:dyDescent="0.2">
      <c r="F22" s="1229"/>
    </row>
    <row r="23" spans="2:13" ht="13.15" customHeight="1" x14ac:dyDescent="0.2">
      <c r="E23" s="1242" t="s">
        <v>2021</v>
      </c>
      <c r="F23" s="378" t="s">
        <v>2018</v>
      </c>
      <c r="G23" s="382" t="s">
        <v>2020</v>
      </c>
      <c r="H23" s="383"/>
      <c r="I23" s="384"/>
      <c r="K23" s="1242" t="s">
        <v>2143</v>
      </c>
      <c r="L23" s="394"/>
      <c r="M23" s="19" t="s">
        <v>2141</v>
      </c>
    </row>
    <row r="24" spans="2:13" x14ac:dyDescent="0.2">
      <c r="E24" s="1243"/>
      <c r="F24" s="376" t="s">
        <v>2019</v>
      </c>
      <c r="G24" s="382" t="s">
        <v>2015</v>
      </c>
      <c r="H24" s="383"/>
      <c r="I24" s="384"/>
      <c r="K24" s="1244"/>
      <c r="L24" s="377"/>
      <c r="M24" s="19" t="s">
        <v>2142</v>
      </c>
    </row>
    <row r="25" spans="2:13" x14ac:dyDescent="0.2">
      <c r="E25" s="1244"/>
      <c r="F25" s="377" t="s">
        <v>2016</v>
      </c>
      <c r="G25" s="379" t="s">
        <v>2017</v>
      </c>
      <c r="H25" s="380"/>
      <c r="I25" s="381"/>
      <c r="K25" s="395"/>
    </row>
    <row r="26" spans="2:13" x14ac:dyDescent="0.2">
      <c r="K26" s="1236" t="s">
        <v>21</v>
      </c>
      <c r="L26" s="1236"/>
      <c r="M26" s="1236"/>
    </row>
    <row r="27" spans="2:13" x14ac:dyDescent="0.2">
      <c r="K27" s="1237" t="str">
        <f>'Recipe Sheet'!$B$1</f>
        <v>1B. American Lager</v>
      </c>
      <c r="L27" s="1237"/>
      <c r="M27" s="1237"/>
    </row>
    <row r="28" spans="2:13" x14ac:dyDescent="0.2">
      <c r="K28" s="1241" t="s">
        <v>2129</v>
      </c>
      <c r="L28" s="1241"/>
      <c r="M28" s="1241"/>
    </row>
    <row r="29" spans="2:13" x14ac:dyDescent="0.2">
      <c r="F29" s="28"/>
      <c r="K29" s="392">
        <f>VLOOKUP('Recipe Sheet'!$B$1,'BJCP Guidelines'!$A$2:$K$126,10,FALSE)</f>
        <v>2</v>
      </c>
      <c r="L29" s="389" t="s">
        <v>2140</v>
      </c>
      <c r="M29" s="393">
        <f>VLOOKUP('Recipe Sheet'!$B$1,'BJCP Guidelines'!$A$2:$K$126,11,FALSE)</f>
        <v>4</v>
      </c>
    </row>
    <row r="30" spans="2:13" x14ac:dyDescent="0.2">
      <c r="F30" s="375"/>
      <c r="K30" s="1238" t="s">
        <v>2128</v>
      </c>
      <c r="L30" s="1239"/>
      <c r="M30" s="1240"/>
    </row>
    <row r="31" spans="2:13" x14ac:dyDescent="0.2">
      <c r="F31" s="4"/>
      <c r="K31" s="386">
        <f>VLOOKUP('Recipe Sheet'!$B$1,'BJCP Guidelines'!$A$2:$K$126,2,FALSE)</f>
        <v>1.04</v>
      </c>
      <c r="L31" s="387" t="s">
        <v>2140</v>
      </c>
      <c r="M31" s="388">
        <f>VLOOKUP('Recipe Sheet'!$B$1,'BJCP Guidelines'!$A$2:$K$126,3,FALSE)</f>
        <v>1.05</v>
      </c>
    </row>
    <row r="32" spans="2:13" x14ac:dyDescent="0.2">
      <c r="F32" s="28"/>
    </row>
  </sheetData>
  <sheetProtection sheet="1" objects="1" scenarios="1"/>
  <mergeCells count="16">
    <mergeCell ref="K26:M26"/>
    <mergeCell ref="K27:M27"/>
    <mergeCell ref="K30:M30"/>
    <mergeCell ref="K28:M28"/>
    <mergeCell ref="E23:E25"/>
    <mergeCell ref="K23:K24"/>
    <mergeCell ref="F16:F22"/>
    <mergeCell ref="L3:L4"/>
    <mergeCell ref="I3:I4"/>
    <mergeCell ref="G3:G4"/>
    <mergeCell ref="B2:N2"/>
    <mergeCell ref="B3:B4"/>
    <mergeCell ref="D3:D4"/>
    <mergeCell ref="E3:E4"/>
    <mergeCell ref="J3:J4"/>
    <mergeCell ref="K3:K4"/>
  </mergeCells>
  <conditionalFormatting sqref="C19">
    <cfRule type="cellIs" dxfId="29" priority="1" operator="equal">
      <formula>"PASS"</formula>
    </cfRule>
    <cfRule type="cellIs" dxfId="28" priority="2" operator="equal">
      <formula>"FAIL"</formula>
    </cfRule>
  </conditionalFormatting>
  <conditionalFormatting sqref="F15">
    <cfRule type="cellIs" dxfId="27" priority="9" operator="lessThan">
      <formula>30</formula>
    </cfRule>
    <cfRule type="cellIs" dxfId="26" priority="10" operator="between">
      <formula>30</formula>
      <formula>69</formula>
    </cfRule>
    <cfRule type="cellIs" dxfId="25" priority="11" operator="greaterThanOrEqual">
      <formula>70</formula>
    </cfRule>
  </conditionalFormatting>
  <conditionalFormatting sqref="L21">
    <cfRule type="cellIs" dxfId="24" priority="6" operator="between">
      <formula>$K$31</formula>
      <formula>$M$31</formula>
    </cfRule>
    <cfRule type="cellIs" dxfId="23" priority="46" operator="notBetween">
      <formula>$K$31</formula>
      <formula>$M$31</formula>
    </cfRule>
  </conditionalFormatting>
  <conditionalFormatting sqref="M19">
    <cfRule type="cellIs" dxfId="20" priority="5" operator="between">
      <formula>$K$29</formula>
      <formula>$M$29</formula>
    </cfRule>
    <cfRule type="cellIs" dxfId="19" priority="47" operator="notBetween">
      <formula>$K$29</formula>
      <formula>$M$29</formula>
    </cfRule>
  </conditionalFormatting>
  <dataValidations count="1">
    <dataValidation type="list" showInputMessage="1" showErrorMessage="1" sqref="E5:E14" xr:uid="{00000000-0002-0000-0300-000000000000}">
      <formula1>"Grain,Sugar"</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289" id="{A8D41688-8D82-43AA-B554-27C3E0B75ED5}">
            <xm:f>IF(VLOOKUP('Recipe Sheet'!B4,'BJCP Guidelines'!$A$2:$K$126,2,FALSE)="NA",TRUE,FALSE)</xm:f>
            <x14:dxf>
              <fill>
                <patternFill>
                  <bgColor rgb="FF92D050"/>
                </patternFill>
              </fill>
            </x14:dxf>
          </x14:cfRule>
          <x14:cfRule type="expression" priority="290" id="{5D30D944-3216-40F0-8627-7082691389DC}">
            <xm:f>OR($L$21&lt;VLOOKUP('Recipe Sheet'!B4,'BJCP Guidelines'!$A$2:$K$126,2,FALSE),$L$21&gt;VLOOKUP('Recipe Sheet'!B4,'BJCP Guidelines'!$A$2:$K$126,3,FALSE))</xm:f>
            <x14:dxf>
              <fill>
                <patternFill>
                  <bgColor rgb="FFFF0000"/>
                </patternFill>
              </fill>
            </x14:dxf>
          </x14:cfRule>
          <xm:sqref>L23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5F2FB99-9269-4B3B-8C8A-DBB29B40D0B6}">
          <x14:formula1>
            <xm:f>'Grain &amp; Sugar List'!$A$2:$A$247</xm:f>
          </x14:formula1>
          <xm:sqref>B5:B14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24"/>
  <sheetViews>
    <sheetView zoomScaleNormal="100" workbookViewId="0">
      <selection activeCell="F7" sqref="F7"/>
    </sheetView>
  </sheetViews>
  <sheetFormatPr defaultRowHeight="12.75" x14ac:dyDescent="0.2"/>
  <cols>
    <col min="1" max="1" width="10.28515625" bestFit="1" customWidth="1"/>
    <col min="2" max="2" width="7.5703125" customWidth="1"/>
    <col min="3" max="3" width="10.7109375" customWidth="1"/>
    <col min="4" max="4" width="7.28515625" customWidth="1"/>
    <col min="5" max="5" width="36.28515625" customWidth="1"/>
    <col min="6" max="6" width="6.5703125" style="23" customWidth="1"/>
    <col min="7" max="7" width="8.28515625" customWidth="1"/>
    <col min="8" max="8" width="7.28515625" customWidth="1"/>
    <col min="9" max="9" width="7.85546875" customWidth="1"/>
    <col min="10" max="10" width="8" customWidth="1"/>
    <col min="11" max="11" width="8.7109375" customWidth="1"/>
    <col min="13" max="13" width="11.7109375" customWidth="1"/>
    <col min="14" max="14" width="1.7109375" bestFit="1" customWidth="1"/>
    <col min="15" max="15" width="11.7109375" customWidth="1"/>
    <col min="16" max="16" width="6.140625" customWidth="1"/>
  </cols>
  <sheetData>
    <row r="1" spans="1:15" x14ac:dyDescent="0.2">
      <c r="C1" s="1248" t="s">
        <v>104</v>
      </c>
      <c r="D1" s="1248"/>
      <c r="E1" s="1248"/>
      <c r="F1" s="1248"/>
      <c r="G1" s="1248"/>
      <c r="H1" s="1248"/>
      <c r="I1" s="1248"/>
      <c r="J1" s="1248"/>
      <c r="K1" s="1248"/>
    </row>
    <row r="2" spans="1:15" x14ac:dyDescent="0.2">
      <c r="C2" s="26" t="s">
        <v>112</v>
      </c>
      <c r="D2" s="626">
        <v>0.1</v>
      </c>
      <c r="E2" s="20" t="s">
        <v>107</v>
      </c>
      <c r="F2" s="674">
        <v>0</v>
      </c>
      <c r="H2" s="363" t="s">
        <v>105</v>
      </c>
      <c r="I2" s="626">
        <v>0.1</v>
      </c>
      <c r="J2" s="363" t="s">
        <v>106</v>
      </c>
      <c r="K2" s="626">
        <v>0.05</v>
      </c>
    </row>
    <row r="3" spans="1:15" x14ac:dyDescent="0.2">
      <c r="C3" s="364" t="s">
        <v>1861</v>
      </c>
      <c r="D3" s="673">
        <v>0.5</v>
      </c>
    </row>
    <row r="4" spans="1:15" x14ac:dyDescent="0.2">
      <c r="C4" s="1248" t="s">
        <v>94</v>
      </c>
      <c r="D4" s="1248"/>
      <c r="E4" s="1248"/>
      <c r="F4" s="1248"/>
      <c r="G4" s="1249"/>
      <c r="H4" s="1248"/>
      <c r="I4" s="1248"/>
      <c r="J4" s="1248"/>
      <c r="K4" s="1248"/>
    </row>
    <row r="5" spans="1:15" ht="30.6" customHeight="1" x14ac:dyDescent="0.2">
      <c r="C5" s="1230" t="s">
        <v>93</v>
      </c>
      <c r="D5" s="1230" t="s">
        <v>66</v>
      </c>
      <c r="E5" s="1230" t="s">
        <v>91</v>
      </c>
      <c r="F5" s="1234" t="s">
        <v>92</v>
      </c>
      <c r="G5" s="30" t="s">
        <v>124</v>
      </c>
      <c r="H5" s="1230" t="s">
        <v>1107</v>
      </c>
      <c r="I5" s="1230" t="s">
        <v>98</v>
      </c>
      <c r="J5" s="1230" t="s">
        <v>88</v>
      </c>
      <c r="K5" s="1230" t="s">
        <v>87</v>
      </c>
    </row>
    <row r="6" spans="1:15" x14ac:dyDescent="0.2">
      <c r="C6" s="1231"/>
      <c r="D6" s="1231"/>
      <c r="E6" s="1231"/>
      <c r="F6" s="1235"/>
      <c r="G6" s="832" t="str">
        <f>'Brewhouse Setup &amp; Calcs'!$C$7</f>
        <v>oz</v>
      </c>
      <c r="H6" s="1231"/>
      <c r="I6" s="1231"/>
      <c r="J6" s="1231"/>
      <c r="K6" s="1231"/>
    </row>
    <row r="7" spans="1:15" x14ac:dyDescent="0.2">
      <c r="A7" s="362" t="str">
        <f t="shared" ref="A7:A8" si="0">IF(C7="Hop Stand","Time (min):","")</f>
        <v/>
      </c>
      <c r="B7" s="365"/>
      <c r="C7" s="671">
        <v>60</v>
      </c>
      <c r="D7" s="671" t="s">
        <v>2382</v>
      </c>
      <c r="E7" s="671" t="s">
        <v>274</v>
      </c>
      <c r="F7" s="675">
        <v>7.5</v>
      </c>
      <c r="G7" s="672">
        <v>0.5</v>
      </c>
      <c r="H7" s="837">
        <f>IF(ISBLANK(G7),"",IF($G$6="grams",F7*G7/28.346,F7*G7))</f>
        <v>3.75</v>
      </c>
      <c r="I7" s="838">
        <f>1+IF(D7="Leaf",0,IF(D7="Pellet",$I$2,IF(D7="Plug",$K$2,)))+IF(C7="FWH",$D$2,)</f>
        <v>1.1000000000000001</v>
      </c>
      <c r="J7" s="829">
        <f>(1.65*0.000125^(('Grain &amp; Sugar Calcs'!$K$21+'Grain &amp; Sugar Calcs'!$L$21)/2-1))*((1-EXP(-0.04*IF(C7="Hop Stand",$D$3*B7,IF(C7="Dry Hop",0,IF(C7="FWH",'Brewhouse Setup &amp; Calcs'!$C$28,C7)))))/4.15)*I7</f>
        <v>0.28014611457371691</v>
      </c>
      <c r="K7" s="771">
        <f>(F7*IF('Brewhouse Setup &amp; Calcs'!$C$7="grams",G7/28.349523,G7)*J7*74.89/IF($G$6="grams",'Brewhouse Setup &amp; Calcs'!$C$76*1.056688/4,'Brewhouse Setup &amp; Calcs'!$C$76/4))</f>
        <v>6.5475758912043611</v>
      </c>
    </row>
    <row r="8" spans="1:15" x14ac:dyDescent="0.2">
      <c r="A8" s="362" t="str">
        <f t="shared" si="0"/>
        <v/>
      </c>
      <c r="B8" s="365"/>
      <c r="C8" s="671">
        <v>30</v>
      </c>
      <c r="D8" s="671" t="s">
        <v>2382</v>
      </c>
      <c r="E8" s="671" t="s">
        <v>274</v>
      </c>
      <c r="F8" s="675">
        <v>7.5</v>
      </c>
      <c r="G8" s="672">
        <v>0.75</v>
      </c>
      <c r="H8" s="837">
        <f t="shared" ref="H8:H9" si="1">IF(ISBLANK(G8),"",IF($G$6="grams",F8*G8/28.346,F8*G8))</f>
        <v>5.625</v>
      </c>
      <c r="I8" s="838">
        <f t="shared" ref="I8:I9" si="2">1+IF(D8="Leaf",0,IF(D8="Pellet",$I$2,IF(D8="Plug",$K$2,)))+IF(C8="FWH",$D$2,)</f>
        <v>1.1000000000000001</v>
      </c>
      <c r="J8" s="829">
        <f>(1.65*0.000125^(('Grain &amp; Sugar Calcs'!$K$21+'Grain &amp; Sugar Calcs'!$L$21)/2-1))*((1-EXP(-0.04*IF(C8="Hop Stand",$D$3*B8,IF(C8="Dry Hop",0,IF(C8="FWH",'Brewhouse Setup &amp; Calcs'!$C$28,C8)))))/4.15)*I8</f>
        <v>0.21529923205085674</v>
      </c>
      <c r="K8" s="771">
        <f>(F8*IF('Brewhouse Setup &amp; Calcs'!$C$7="grams",G8/28.349523,G8)*J8*74.89/IF($G$6="grams",'Brewhouse Setup &amp; Calcs'!$C$76*1.056688/4,'Brewhouse Setup &amp; Calcs'!$C$76/4))</f>
        <v>7.5479615163468283</v>
      </c>
    </row>
    <row r="9" spans="1:15" x14ac:dyDescent="0.2">
      <c r="A9" s="362" t="str">
        <f>IF(C9="Hop Stand","Time (min):","")</f>
        <v/>
      </c>
      <c r="B9" s="365"/>
      <c r="C9" s="671">
        <v>5</v>
      </c>
      <c r="D9" s="671" t="s">
        <v>2382</v>
      </c>
      <c r="E9" s="671" t="s">
        <v>274</v>
      </c>
      <c r="F9" s="675">
        <v>7.5</v>
      </c>
      <c r="G9" s="672">
        <v>0.75</v>
      </c>
      <c r="H9" s="837">
        <f t="shared" si="1"/>
        <v>5.625</v>
      </c>
      <c r="I9" s="838">
        <f t="shared" si="2"/>
        <v>1.1000000000000001</v>
      </c>
      <c r="J9" s="829">
        <f>(1.65*0.000125^(('Grain &amp; Sugar Calcs'!$K$21+'Grain &amp; Sugar Calcs'!$L$21)/2-1))*((1-EXP(-0.04*IF(C9="Hop Stand",$D$3*B9,IF(C9="Dry Hop",0,IF(C9="FWH",'Brewhouse Setup &amp; Calcs'!$C$28,C9)))))/4.15)*I9</f>
        <v>5.5848320552039095E-2</v>
      </c>
      <c r="K9" s="771">
        <f>(F9*IF('Brewhouse Setup &amp; Calcs'!$C$7="grams",G9/28.349523,G9)*J9*74.89/IF($G$6="grams",'Brewhouse Setup &amp; Calcs'!$C$76*1.056688/4,'Brewhouse Setup &amp; Calcs'!$C$76/4))</f>
        <v>1.9579306914565247</v>
      </c>
    </row>
    <row r="10" spans="1:15" x14ac:dyDescent="0.2">
      <c r="A10" s="362"/>
      <c r="B10" s="365"/>
      <c r="C10" s="671"/>
      <c r="D10" s="671"/>
      <c r="E10" s="671"/>
      <c r="F10" s="675"/>
      <c r="G10" s="672"/>
      <c r="H10" s="837" t="str">
        <f t="shared" ref="H10:H18" si="3">IF(ISBLANK(G10),"",IF($G$6="grams",F10*G10/28.346,F10*G10))</f>
        <v/>
      </c>
      <c r="I10" s="838">
        <f t="shared" ref="I10:I18" si="4">1+IF(D10="Leaf",0,IF(D10="Pellet",$I$2,IF(D10="Plug",$K$2,)))+IF(C10="FWH",$D$2,)</f>
        <v>1</v>
      </c>
      <c r="J10" s="829">
        <f>(1.65*0.000125^(('Grain &amp; Sugar Calcs'!$K$21+'Grain &amp; Sugar Calcs'!$L$21)/2-1))*((1-EXP(-0.04*IF(C10="Hop Stand",$D$3*B10,IF(C10="Dry Hop",0,IF(C10="FWH",'Brewhouse Setup &amp; Calcs'!$C$28,C10)))))/4.15)*I10</f>
        <v>0</v>
      </c>
      <c r="K10" s="771">
        <f>(F10*IF('Brewhouse Setup &amp; Calcs'!$C$7="grams",G10/28.349523,G10)*J10*74.89/IF($G$6="grams",'Brewhouse Setup &amp; Calcs'!$C$76*1.056688/4,'Brewhouse Setup &amp; Calcs'!$C$76/4))</f>
        <v>0</v>
      </c>
    </row>
    <row r="11" spans="1:15" x14ac:dyDescent="0.2">
      <c r="A11" s="362"/>
      <c r="B11" s="365"/>
      <c r="C11" s="671"/>
      <c r="D11" s="671"/>
      <c r="E11" s="671"/>
      <c r="F11" s="675"/>
      <c r="G11" s="672"/>
      <c r="H11" s="837" t="str">
        <f t="shared" si="3"/>
        <v/>
      </c>
      <c r="I11" s="838">
        <f t="shared" si="4"/>
        <v>1</v>
      </c>
      <c r="J11" s="829">
        <f>(1.65*0.000125^(('Grain &amp; Sugar Calcs'!$K$21+'Grain &amp; Sugar Calcs'!$L$21)/2-1))*((1-EXP(-0.04*IF(C11="Hop Stand",$D$3*B11,IF(C11="Dry Hop",0,IF(C11="FWH",'Brewhouse Setup &amp; Calcs'!$C$28,C11)))))/4.15)*I11</f>
        <v>0</v>
      </c>
      <c r="K11" s="771">
        <f>(F11*IF('Brewhouse Setup &amp; Calcs'!$C$7="grams",G11/28.349523,G11)*J11*74.89/IF($G$6="grams",'Brewhouse Setup &amp; Calcs'!$C$76*1.056688/4,'Brewhouse Setup &amp; Calcs'!$C$76/4))</f>
        <v>0</v>
      </c>
    </row>
    <row r="12" spans="1:15" x14ac:dyDescent="0.2">
      <c r="A12" s="362" t="str">
        <f t="shared" ref="A12:A18" si="5">IF(C12="Hop Stand","Time (min):","")</f>
        <v/>
      </c>
      <c r="B12" s="365"/>
      <c r="C12" s="671"/>
      <c r="D12" s="671"/>
      <c r="E12" s="671"/>
      <c r="F12" s="675"/>
      <c r="G12" s="672"/>
      <c r="H12" s="837" t="str">
        <f t="shared" si="3"/>
        <v/>
      </c>
      <c r="I12" s="838">
        <f t="shared" si="4"/>
        <v>1</v>
      </c>
      <c r="J12" s="829">
        <f>(1.65*0.000125^(('Grain &amp; Sugar Calcs'!$K$21+'Grain &amp; Sugar Calcs'!$L$21)/2-1))*((1-EXP(-0.04*IF(C12="Hop Stand",$D$3*B12,IF(C12="Dry Hop",0,IF(C12="FWH",'Brewhouse Setup &amp; Calcs'!$C$28,C12)))))/4.15)*I12</f>
        <v>0</v>
      </c>
      <c r="K12" s="771">
        <f>(F12*IF('Brewhouse Setup &amp; Calcs'!$C$7="grams",G12/28.349523,G12)*J12*74.89/IF($G$6="grams",'Brewhouse Setup &amp; Calcs'!$C$76*1.056688/4,'Brewhouse Setup &amp; Calcs'!$C$76/4))</f>
        <v>0</v>
      </c>
    </row>
    <row r="13" spans="1:15" x14ac:dyDescent="0.2">
      <c r="A13" s="362" t="str">
        <f t="shared" si="5"/>
        <v/>
      </c>
      <c r="B13" s="365"/>
      <c r="C13" s="671"/>
      <c r="D13" s="671"/>
      <c r="E13" s="671"/>
      <c r="F13" s="675"/>
      <c r="G13" s="672"/>
      <c r="H13" s="837" t="str">
        <f t="shared" si="3"/>
        <v/>
      </c>
      <c r="I13" s="838">
        <f t="shared" si="4"/>
        <v>1</v>
      </c>
      <c r="J13" s="829">
        <f>(1.65*0.000125^(('Grain &amp; Sugar Calcs'!$K$21+'Grain &amp; Sugar Calcs'!$L$21)/2-1))*((1-EXP(-0.04*IF(C13="Hop Stand",$D$3*B13,IF(C13="Dry Hop",0,IF(C13="FWH",'Brewhouse Setup &amp; Calcs'!$C$28,C13)))))/4.15)*I13</f>
        <v>0</v>
      </c>
      <c r="K13" s="771">
        <f>(F13*IF('Brewhouse Setup &amp; Calcs'!$C$7="grams",G13/28.349523,G13)*J13*74.89/IF($G$6="grams",'Brewhouse Setup &amp; Calcs'!$C$76*1.056688/4,'Brewhouse Setup &amp; Calcs'!$C$76/4))</f>
        <v>0</v>
      </c>
    </row>
    <row r="14" spans="1:15" x14ac:dyDescent="0.2">
      <c r="A14" s="362"/>
      <c r="B14" s="365"/>
      <c r="C14" s="671"/>
      <c r="D14" s="671"/>
      <c r="E14" s="671"/>
      <c r="F14" s="675"/>
      <c r="G14" s="672"/>
      <c r="H14" s="837" t="str">
        <f t="shared" si="3"/>
        <v/>
      </c>
      <c r="I14" s="838">
        <f t="shared" si="4"/>
        <v>1</v>
      </c>
      <c r="J14" s="829">
        <f>(1.65*0.000125^(('Grain &amp; Sugar Calcs'!$K$21+'Grain &amp; Sugar Calcs'!$L$21)/2-1))*((1-EXP(-0.04*IF(C14="Hop Stand",$D$3*B14,IF(C14="Dry Hop",0,IF(C14="FWH",'Brewhouse Setup &amp; Calcs'!$C$28,C14)))))/4.15)*I14</f>
        <v>0</v>
      </c>
      <c r="K14" s="771">
        <f>(F14*IF('Brewhouse Setup &amp; Calcs'!$C$7="grams",G14/28.349523,G14)*J14*74.89/IF($G$6="grams",'Brewhouse Setup &amp; Calcs'!$C$76*1.056688/4,'Brewhouse Setup &amp; Calcs'!$C$76/4))</f>
        <v>0</v>
      </c>
    </row>
    <row r="15" spans="1:15" x14ac:dyDescent="0.2">
      <c r="A15" s="362"/>
      <c r="B15" s="365"/>
      <c r="C15" s="671"/>
      <c r="D15" s="671"/>
      <c r="E15" s="671"/>
      <c r="F15" s="675"/>
      <c r="G15" s="672"/>
      <c r="H15" s="837" t="str">
        <f t="shared" si="3"/>
        <v/>
      </c>
      <c r="I15" s="838">
        <f t="shared" si="4"/>
        <v>1</v>
      </c>
      <c r="J15" s="829">
        <f>(1.65*0.000125^(('Grain &amp; Sugar Calcs'!$K$21+'Grain &amp; Sugar Calcs'!$L$21)/2-1))*((1-EXP(-0.04*IF(C15="Hop Stand",$D$3*B15,IF(C15="Dry Hop",0,IF(C15="FWH",'Brewhouse Setup &amp; Calcs'!$C$28,C15)))))/4.15)*I15</f>
        <v>0</v>
      </c>
      <c r="K15" s="771">
        <f>(F15*IF('Brewhouse Setup &amp; Calcs'!$C$7="grams",G15/28.349523,G15)*J15*74.89/IF($G$6="grams",'Brewhouse Setup &amp; Calcs'!$C$76*1.056688/4,'Brewhouse Setup &amp; Calcs'!$C$76/4))</f>
        <v>0</v>
      </c>
      <c r="M15" s="1236" t="s">
        <v>21</v>
      </c>
      <c r="N15" s="1236"/>
      <c r="O15" s="1236"/>
    </row>
    <row r="16" spans="1:15" x14ac:dyDescent="0.2">
      <c r="A16" s="362"/>
      <c r="B16" s="365"/>
      <c r="C16" s="671"/>
      <c r="D16" s="671"/>
      <c r="E16" s="671"/>
      <c r="F16" s="675"/>
      <c r="G16" s="672"/>
      <c r="H16" s="837" t="str">
        <f t="shared" si="3"/>
        <v/>
      </c>
      <c r="I16" s="838">
        <f t="shared" si="4"/>
        <v>1</v>
      </c>
      <c r="J16" s="829">
        <f>(1.65*0.000125^(('Grain &amp; Sugar Calcs'!$K$21+'Grain &amp; Sugar Calcs'!$L$21)/2-1))*((1-EXP(-0.04*IF(C16="Hop Stand",$D$3*B16,IF(C16="Dry Hop",0,IF(C16="FWH",'Brewhouse Setup &amp; Calcs'!$C$28,C16)))))/4.15)*I16</f>
        <v>0</v>
      </c>
      <c r="K16" s="771">
        <f>(F16*IF('Brewhouse Setup &amp; Calcs'!$C$7="grams",G16/28.349523,G16)*J16*74.89/IF($G$6="grams",'Brewhouse Setup &amp; Calcs'!$C$76*1.056688/4,'Brewhouse Setup &amp; Calcs'!$C$76/4))</f>
        <v>0</v>
      </c>
      <c r="M16" s="1237" t="str">
        <f>'Recipe Sheet'!$B$1</f>
        <v>1B. American Lager</v>
      </c>
      <c r="N16" s="1237"/>
      <c r="O16" s="1237"/>
    </row>
    <row r="17" spans="1:15" x14ac:dyDescent="0.2">
      <c r="A17" s="362" t="str">
        <f t="shared" si="5"/>
        <v/>
      </c>
      <c r="B17" s="365"/>
      <c r="C17" s="671"/>
      <c r="D17" s="671"/>
      <c r="E17" s="671"/>
      <c r="F17" s="675"/>
      <c r="G17" s="672"/>
      <c r="H17" s="837" t="str">
        <f t="shared" si="3"/>
        <v/>
      </c>
      <c r="I17" s="838">
        <f t="shared" si="4"/>
        <v>1</v>
      </c>
      <c r="J17" s="829">
        <f>(1.65*0.000125^(('Grain &amp; Sugar Calcs'!$K$21+'Grain &amp; Sugar Calcs'!$L$21)/2-1))*((1-EXP(-0.04*IF(C17="Hop Stand",$D$3*B17,IF(C17="Dry Hop",0,IF(C17="FWH",'Brewhouse Setup &amp; Calcs'!$C$28,C17)))))/4.15)*I17</f>
        <v>0</v>
      </c>
      <c r="K17" s="771">
        <f>(F17*IF('Brewhouse Setup &amp; Calcs'!$C$7="grams",G17/28.349523,G17)*J17*74.89/IF($G$6="grams",'Brewhouse Setup &amp; Calcs'!$C$76*1.056688/4,'Brewhouse Setup &amp; Calcs'!$C$76/4))</f>
        <v>0</v>
      </c>
      <c r="M17" s="1245" t="s">
        <v>87</v>
      </c>
      <c r="N17" s="1246"/>
      <c r="O17" s="1247"/>
    </row>
    <row r="18" spans="1:15" x14ac:dyDescent="0.2">
      <c r="A18" s="362" t="str">
        <f t="shared" si="5"/>
        <v/>
      </c>
      <c r="B18" s="365"/>
      <c r="C18" s="671"/>
      <c r="D18" s="671"/>
      <c r="E18" s="671"/>
      <c r="F18" s="675"/>
      <c r="G18" s="672"/>
      <c r="H18" s="837" t="str">
        <f t="shared" si="3"/>
        <v/>
      </c>
      <c r="I18" s="838">
        <f t="shared" si="4"/>
        <v>1</v>
      </c>
      <c r="J18" s="829">
        <f>(1.65*0.000125^(('Grain &amp; Sugar Calcs'!$K$21+'Grain &amp; Sugar Calcs'!$L$21)/2-1))*((1-EXP(-0.04*IF(C18="Hop Stand",$D$3*B18,IF(C18="Dry Hop",0,IF(C18="FWH",'Brewhouse Setup &amp; Calcs'!$C$28,C18)))))/4.15)*I18</f>
        <v>0</v>
      </c>
      <c r="K18" s="771">
        <f>(F18*IF('Brewhouse Setup &amp; Calcs'!$C$7="grams",G18/28.349523,G18)*J18*74.89/IF($G$6="grams",'Brewhouse Setup &amp; Calcs'!$C$76*1.056688/4,'Brewhouse Setup &amp; Calcs'!$C$76/4))</f>
        <v>0</v>
      </c>
      <c r="M18" s="390">
        <f>VLOOKUP('Recipe Sheet'!$B$1,'BJCP Guidelines'!$A$2:$K$126,6,FALSE)</f>
        <v>8</v>
      </c>
      <c r="N18" s="389" t="s">
        <v>2140</v>
      </c>
      <c r="O18" s="391">
        <f>VLOOKUP('Recipe Sheet'!$B$1,'BJCP Guidelines'!$A$2:$K$126,7,FALSE)</f>
        <v>18</v>
      </c>
    </row>
    <row r="19" spans="1:15" x14ac:dyDescent="0.2">
      <c r="D19" s="4"/>
      <c r="K19" s="413">
        <f>SUM(K7:K18)</f>
        <v>16.053468099007713</v>
      </c>
      <c r="L19" s="21" t="s">
        <v>90</v>
      </c>
    </row>
    <row r="20" spans="1:15" x14ac:dyDescent="0.2">
      <c r="D20" s="4"/>
      <c r="F20" s="583" t="s">
        <v>2365</v>
      </c>
      <c r="G20" s="837">
        <f>SUMIF(C7:C18,"Dry Hop",G7:G18)</f>
        <v>0</v>
      </c>
    </row>
    <row r="21" spans="1:15" x14ac:dyDescent="0.2">
      <c r="D21" s="4"/>
      <c r="F21" s="583" t="s">
        <v>2364</v>
      </c>
      <c r="G21" s="837">
        <f>G22-G20</f>
        <v>2</v>
      </c>
      <c r="J21" s="1242" t="s">
        <v>2143</v>
      </c>
      <c r="K21" s="414"/>
      <c r="L21" s="19" t="s">
        <v>2141</v>
      </c>
    </row>
    <row r="22" spans="1:15" x14ac:dyDescent="0.2">
      <c r="D22" s="4"/>
      <c r="F22" s="54" t="s">
        <v>1662</v>
      </c>
      <c r="G22" s="837">
        <f>SUM(G7:G18)</f>
        <v>2</v>
      </c>
      <c r="J22" s="1244"/>
      <c r="K22" s="377"/>
      <c r="L22" s="19" t="s">
        <v>2142</v>
      </c>
    </row>
    <row r="23" spans="1:15" x14ac:dyDescent="0.2">
      <c r="D23" s="4"/>
    </row>
    <row r="24" spans="1:15" x14ac:dyDescent="0.2">
      <c r="D24" s="4"/>
    </row>
  </sheetData>
  <sheetProtection sheet="1" selectLockedCells="1"/>
  <dataConsolidate/>
  <mergeCells count="14">
    <mergeCell ref="J21:J22"/>
    <mergeCell ref="M17:O17"/>
    <mergeCell ref="C4:K4"/>
    <mergeCell ref="C1:K1"/>
    <mergeCell ref="C5:C6"/>
    <mergeCell ref="D5:D6"/>
    <mergeCell ref="E5:E6"/>
    <mergeCell ref="F5:F6"/>
    <mergeCell ref="H5:H6"/>
    <mergeCell ref="I5:I6"/>
    <mergeCell ref="J5:J6"/>
    <mergeCell ref="K5:K6"/>
    <mergeCell ref="M15:O15"/>
    <mergeCell ref="M16:O16"/>
  </mergeCells>
  <conditionalFormatting sqref="B7:B18">
    <cfRule type="expression" dxfId="18" priority="8">
      <formula>IF(C7="Hop Stand",TRUE,FALSE)</formula>
    </cfRule>
  </conditionalFormatting>
  <conditionalFormatting sqref="K19">
    <cfRule type="cellIs" dxfId="17" priority="3" operator="between">
      <formula>$M$18</formula>
      <formula>$O$18</formula>
    </cfRule>
    <cfRule type="cellIs" dxfId="16" priority="4" operator="notBetween">
      <formula>$M$18</formula>
      <formula>$O$18</formula>
    </cfRule>
  </conditionalFormatting>
  <dataValidations xWindow="404" yWindow="457" count="7">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 type="list" allowBlank="1" showInputMessage="1" showErrorMessage="1" sqref="D7:D18" xr:uid="{00000000-0002-0000-0400-000000000000}">
      <formula1>"Leaf,Pellet,Plug"</formula1>
    </dataValidation>
    <dataValidation type="list" allowBlank="1" showInputMessage="1" showErrorMessage="1" sqref="C7:C18" xr:uid="{00000000-0002-0000-0400-000001000000}">
      <formula1>"FWH,60,45,30,20,15,10,5,2,1,0,Hop Stand,Dry Hop"</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291" id="{1ACAAA16-9E3D-4ED4-A3F6-95570B77178C}">
            <xm:f>IF(VLOOKUP('Recipe Sheet'!#REF!,'BJCP Guidelines'!$A$2:$K$126,10,FALSE)="NA",TRUE,FALSE)</xm:f>
            <x14:dxf>
              <fill>
                <patternFill>
                  <bgColor rgb="FF92D050"/>
                </patternFill>
              </fill>
            </x14:dxf>
          </x14:cfRule>
          <x14:cfRule type="expression" priority="292" id="{CFD567C1-6C40-40C6-AF89-30D4389AA670}">
            <xm:f>OR($M$21&lt;VLOOKUP('Recipe Sheet'!#REF!,'BJCP Guidelines'!$A$2:$K$126,10,FALSE),$M$21&gt;VLOOKUP('Recipe Sheet'!#REF!,'BJCP Guidelines'!$A$2:$K$126,11,FALSE))</xm:f>
            <x14:dxf>
              <fill>
                <patternFill>
                  <bgColor rgb="FFFF0000"/>
                </patternFill>
              </fill>
            </x14:dxf>
          </x14:cfRule>
          <xm:sqref>K21</xm:sqref>
        </x14:conditionalFormatting>
      </x14:conditionalFormattings>
    </ext>
    <ext xmlns:x14="http://schemas.microsoft.com/office/spreadsheetml/2009/9/main" uri="{CCE6A557-97BC-4b89-ADB6-D9C93CAAB3DF}">
      <x14:dataValidations xmlns:xm="http://schemas.microsoft.com/office/excel/2006/main" xWindow="404" yWindow="457"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List'!$A$2:$A$149</xm:f>
          </x14:formula1>
          <xm:sqref>E7:E18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B1:N78"/>
  <sheetViews>
    <sheetView showGridLines="0" topLeftCell="A15" zoomScaleNormal="100" workbookViewId="0">
      <selection activeCell="F37" sqref="F37"/>
    </sheetView>
  </sheetViews>
  <sheetFormatPr defaultRowHeight="12.75" x14ac:dyDescent="0.2"/>
  <cols>
    <col min="1" max="2" width="1.7109375" customWidth="1"/>
    <col min="3" max="3" width="29.7109375" style="4" customWidth="1"/>
    <col min="4" max="9" width="14.7109375" customWidth="1"/>
    <col min="10" max="10" width="14.85546875" customWidth="1"/>
    <col min="11" max="11" width="5.42578125" customWidth="1"/>
    <col min="12" max="12" width="9.5703125" customWidth="1"/>
    <col min="14" max="14" width="13.42578125" bestFit="1" customWidth="1"/>
  </cols>
  <sheetData>
    <row r="1" spans="2:12" ht="21" thickBot="1" x14ac:dyDescent="0.35">
      <c r="C1" s="1251" t="s">
        <v>1791</v>
      </c>
      <c r="D1" s="1251"/>
      <c r="E1" s="1251"/>
      <c r="F1" s="1251"/>
      <c r="G1" s="1251"/>
      <c r="H1" s="1251"/>
      <c r="I1" s="1251"/>
      <c r="J1" s="1251"/>
      <c r="K1" s="1251"/>
      <c r="L1" s="4"/>
    </row>
    <row r="2" spans="2:12" ht="15" customHeight="1" x14ac:dyDescent="0.2">
      <c r="B2" s="57"/>
      <c r="C2" s="58" t="s">
        <v>1674</v>
      </c>
      <c r="D2" s="59"/>
      <c r="E2" s="59"/>
      <c r="F2" s="59"/>
      <c r="G2" s="59"/>
      <c r="H2" s="59"/>
      <c r="I2" s="59"/>
      <c r="J2" s="59"/>
      <c r="K2" s="60"/>
      <c r="L2" s="4"/>
    </row>
    <row r="3" spans="2:12" ht="15" customHeight="1" x14ac:dyDescent="0.3">
      <c r="B3" s="61"/>
      <c r="C3" s="62"/>
      <c r="D3" s="63" t="s">
        <v>1675</v>
      </c>
      <c r="E3" s="63" t="s">
        <v>1676</v>
      </c>
      <c r="F3" s="63" t="s">
        <v>1677</v>
      </c>
      <c r="G3" s="63" t="s">
        <v>1678</v>
      </c>
      <c r="H3" s="63" t="s">
        <v>1679</v>
      </c>
      <c r="I3" s="1252" t="s">
        <v>1680</v>
      </c>
      <c r="J3" s="1252"/>
      <c r="K3" s="1253">
        <v>2</v>
      </c>
      <c r="L3" s="4"/>
    </row>
    <row r="4" spans="2:12" ht="15" customHeight="1" x14ac:dyDescent="0.3">
      <c r="B4" s="61"/>
      <c r="C4" s="64" t="s">
        <v>1681</v>
      </c>
      <c r="D4" s="65" t="s">
        <v>1682</v>
      </c>
      <c r="E4" s="65" t="s">
        <v>1683</v>
      </c>
      <c r="F4" s="65" t="s">
        <v>1684</v>
      </c>
      <c r="G4" s="65" t="s">
        <v>1685</v>
      </c>
      <c r="H4" s="65" t="s">
        <v>1686</v>
      </c>
      <c r="I4" s="1254" t="s">
        <v>1687</v>
      </c>
      <c r="J4" s="1254"/>
      <c r="K4" s="1253"/>
      <c r="L4" s="4"/>
    </row>
    <row r="5" spans="2:12" s="70" customFormat="1" ht="18" customHeight="1" x14ac:dyDescent="0.2">
      <c r="B5" s="66"/>
      <c r="C5" s="67" t="s">
        <v>1688</v>
      </c>
      <c r="D5" s="356">
        <f>'Recipe Sheet'!Q8</f>
        <v>37</v>
      </c>
      <c r="E5" s="356">
        <f>'Recipe Sheet'!Q9</f>
        <v>12</v>
      </c>
      <c r="F5" s="356">
        <f>'Recipe Sheet'!Q10</f>
        <v>9</v>
      </c>
      <c r="G5" s="356">
        <f>'Recipe Sheet'!Q11</f>
        <v>16</v>
      </c>
      <c r="H5" s="356">
        <f>'Recipe Sheet'!Q12</f>
        <v>25</v>
      </c>
      <c r="I5" s="356">
        <f>'Recipe Sheet'!Q13</f>
        <v>102</v>
      </c>
      <c r="J5" s="68"/>
      <c r="K5" s="69"/>
    </row>
    <row r="6" spans="2:12" ht="15" customHeight="1" x14ac:dyDescent="0.2">
      <c r="B6" s="61"/>
      <c r="C6" s="71" t="s">
        <v>1689</v>
      </c>
      <c r="D6" s="63"/>
      <c r="E6" s="72"/>
      <c r="F6" s="73"/>
      <c r="G6" s="73"/>
      <c r="H6" s="74"/>
      <c r="I6" s="74"/>
      <c r="J6" s="75"/>
      <c r="K6" s="76"/>
      <c r="L6" s="4"/>
    </row>
    <row r="7" spans="2:12" ht="15" customHeight="1" x14ac:dyDescent="0.2">
      <c r="B7" s="61"/>
      <c r="C7" s="64" t="s">
        <v>1690</v>
      </c>
      <c r="D7" s="63" t="s">
        <v>1691</v>
      </c>
      <c r="E7" s="63" t="s">
        <v>1692</v>
      </c>
      <c r="F7" s="63"/>
      <c r="G7" s="77"/>
      <c r="H7" s="75"/>
      <c r="I7" s="1255" t="s">
        <v>1693</v>
      </c>
      <c r="J7" s="1255"/>
      <c r="K7" s="1256"/>
      <c r="L7" s="4"/>
    </row>
    <row r="8" spans="2:12" s="70" customFormat="1" ht="18" customHeight="1" x14ac:dyDescent="0.2">
      <c r="B8" s="66"/>
      <c r="C8" s="78" t="s">
        <v>1694</v>
      </c>
      <c r="D8" s="341">
        <f>IF('Brewhouse Setup &amp; Calcs'!$C$2="US Customary",'Brewhouse Setup &amp; Calcs'!N31/4,"NA")</f>
        <v>7.5</v>
      </c>
      <c r="E8" s="341">
        <f>IF('Brewhouse Setup &amp; Calcs'!$C$2="US Customary",'Brewhouse Setup &amp; Calcs'!C94/4,"NA")</f>
        <v>7.6690944498185214</v>
      </c>
      <c r="F8" s="77"/>
      <c r="G8" s="77"/>
      <c r="H8" s="75"/>
      <c r="I8" s="1255"/>
      <c r="J8" s="1255"/>
      <c r="K8" s="1256"/>
    </row>
    <row r="9" spans="2:12" s="70" customFormat="1" ht="18" customHeight="1" x14ac:dyDescent="0.2">
      <c r="B9" s="66"/>
      <c r="C9" s="78" t="s">
        <v>1695</v>
      </c>
      <c r="D9" s="372">
        <v>0</v>
      </c>
      <c r="E9" s="372">
        <v>0</v>
      </c>
      <c r="F9" s="77"/>
      <c r="G9" s="77"/>
      <c r="H9" s="75"/>
      <c r="I9" s="1255"/>
      <c r="J9" s="1255"/>
      <c r="K9" s="1256"/>
    </row>
    <row r="10" spans="2:12" s="70" customFormat="1" ht="15" customHeight="1" thickBot="1" x14ac:dyDescent="0.25">
      <c r="B10" s="79"/>
      <c r="C10" s="80"/>
      <c r="D10" s="81"/>
      <c r="E10" s="81"/>
      <c r="F10" s="81"/>
      <c r="G10" s="81"/>
      <c r="H10" s="82"/>
      <c r="I10" s="1257"/>
      <c r="J10" s="1257"/>
      <c r="K10" s="1258"/>
    </row>
    <row r="11" spans="2:12" s="70" customFormat="1" ht="15" customHeight="1" x14ac:dyDescent="0.2">
      <c r="B11" s="83"/>
      <c r="C11" s="84" t="s">
        <v>1696</v>
      </c>
      <c r="D11" s="85"/>
      <c r="E11" s="85"/>
      <c r="F11" s="85"/>
      <c r="G11" s="86" t="s">
        <v>1697</v>
      </c>
      <c r="H11" s="87"/>
      <c r="I11" s="87" t="s">
        <v>1698</v>
      </c>
      <c r="J11" s="87" t="s">
        <v>1699</v>
      </c>
      <c r="K11" s="88"/>
    </row>
    <row r="12" spans="2:12" s="70" customFormat="1" ht="15" customHeight="1" x14ac:dyDescent="0.2">
      <c r="B12" s="89"/>
      <c r="C12" s="90"/>
      <c r="D12" s="91" t="s">
        <v>1700</v>
      </c>
      <c r="E12" s="91" t="s">
        <v>1701</v>
      </c>
      <c r="F12" s="91" t="s">
        <v>1702</v>
      </c>
      <c r="G12" s="87" t="s">
        <v>1659</v>
      </c>
      <c r="H12" s="92">
        <v>1</v>
      </c>
      <c r="I12" s="93" t="s">
        <v>1703</v>
      </c>
      <c r="J12" s="94"/>
      <c r="K12" s="95"/>
    </row>
    <row r="13" spans="2:12" s="70" customFormat="1" ht="15" customHeight="1" x14ac:dyDescent="0.2">
      <c r="B13" s="89"/>
      <c r="C13" s="96"/>
      <c r="D13" s="359" t="s">
        <v>66</v>
      </c>
      <c r="E13" s="91" t="s">
        <v>1704</v>
      </c>
      <c r="F13" s="97" t="s">
        <v>1705</v>
      </c>
      <c r="G13" s="87" t="s">
        <v>1706</v>
      </c>
      <c r="H13" s="92">
        <v>2</v>
      </c>
      <c r="I13" s="98" t="s">
        <v>1707</v>
      </c>
      <c r="J13" s="99">
        <v>5.7</v>
      </c>
      <c r="K13" s="100"/>
    </row>
    <row r="14" spans="2:12" s="70" customFormat="1" ht="18" customHeight="1" x14ac:dyDescent="0.2">
      <c r="B14" s="89"/>
      <c r="C14" s="1250" t="s">
        <v>1708</v>
      </c>
      <c r="D14" s="358">
        <v>2</v>
      </c>
      <c r="E14" s="341">
        <f>IF('Brewhouse Setup &amp; Calcs'!$C$2="US Customary",'Grain &amp; Sugar Calcs'!C5,"NA")</f>
        <v>14</v>
      </c>
      <c r="F14" s="357">
        <v>0</v>
      </c>
      <c r="G14" s="101">
        <f t="shared" ref="G14:G22" si="0">IF(D14=10,5.22-0.00504*F14,VLOOKUP(D14,H$12:J$22,3,FALSE))</f>
        <v>5.7</v>
      </c>
      <c r="H14" s="92">
        <v>3</v>
      </c>
      <c r="I14" s="98" t="s">
        <v>1709</v>
      </c>
      <c r="J14" s="99">
        <v>5.79</v>
      </c>
      <c r="K14" s="100"/>
    </row>
    <row r="15" spans="2:12" s="70" customFormat="1" ht="18" customHeight="1" x14ac:dyDescent="0.2">
      <c r="B15" s="89"/>
      <c r="C15" s="1250"/>
      <c r="D15" s="358">
        <v>9</v>
      </c>
      <c r="E15" s="341">
        <f>IF('Brewhouse Setup &amp; Calcs'!$C$2="US Customary",'Grain &amp; Sugar Calcs'!C6,"NA")</f>
        <v>5</v>
      </c>
      <c r="F15" s="357">
        <v>60</v>
      </c>
      <c r="G15" s="101">
        <f t="shared" si="0"/>
        <v>5.7</v>
      </c>
      <c r="H15" s="92">
        <v>4</v>
      </c>
      <c r="I15" s="98" t="s">
        <v>1710</v>
      </c>
      <c r="J15" s="99">
        <v>5.77</v>
      </c>
      <c r="K15" s="100"/>
    </row>
    <row r="16" spans="2:12" s="70" customFormat="1" ht="18" customHeight="1" x14ac:dyDescent="0.2">
      <c r="B16" s="89"/>
      <c r="C16" s="1250"/>
      <c r="D16" s="358">
        <v>9</v>
      </c>
      <c r="E16" s="341">
        <f>IF('Brewhouse Setup &amp; Calcs'!$C$2="US Customary",'Grain &amp; Sugar Calcs'!C7,"NA")</f>
        <v>1</v>
      </c>
      <c r="F16" s="357">
        <v>80</v>
      </c>
      <c r="G16" s="101">
        <f t="shared" si="0"/>
        <v>5.7</v>
      </c>
      <c r="H16" s="92">
        <v>5</v>
      </c>
      <c r="I16" s="98" t="s">
        <v>1711</v>
      </c>
      <c r="J16" s="99">
        <v>5.43</v>
      </c>
      <c r="K16" s="100"/>
    </row>
    <row r="17" spans="2:12" s="70" customFormat="1" ht="18" customHeight="1" x14ac:dyDescent="0.2">
      <c r="B17" s="89"/>
      <c r="C17" s="1250"/>
      <c r="D17" s="358">
        <v>1</v>
      </c>
      <c r="E17" s="341">
        <f>IF('Brewhouse Setup &amp; Calcs'!$C$2="US Customary",'Grain &amp; Sugar Calcs'!C8,"NA")</f>
        <v>0</v>
      </c>
      <c r="F17" s="357"/>
      <c r="G17" s="101">
        <f t="shared" si="0"/>
        <v>0</v>
      </c>
      <c r="H17" s="92">
        <v>6</v>
      </c>
      <c r="I17" s="98" t="s">
        <v>1712</v>
      </c>
      <c r="J17" s="99">
        <v>5.75</v>
      </c>
      <c r="K17" s="100"/>
    </row>
    <row r="18" spans="2:12" s="70" customFormat="1" ht="18" customHeight="1" x14ac:dyDescent="0.2">
      <c r="B18" s="89"/>
      <c r="C18" s="1250"/>
      <c r="D18" s="358">
        <v>1</v>
      </c>
      <c r="E18" s="341">
        <f>IF('Brewhouse Setup &amp; Calcs'!$C$2="US Customary",'Grain &amp; Sugar Calcs'!C9,"NA")</f>
        <v>0</v>
      </c>
      <c r="F18" s="357">
        <v>120</v>
      </c>
      <c r="G18" s="101">
        <f t="shared" si="0"/>
        <v>0</v>
      </c>
      <c r="H18" s="92">
        <v>7</v>
      </c>
      <c r="I18" s="98" t="s">
        <v>1713</v>
      </c>
      <c r="J18" s="99">
        <v>6.04</v>
      </c>
      <c r="K18" s="100"/>
    </row>
    <row r="19" spans="2:12" s="70" customFormat="1" ht="18" customHeight="1" x14ac:dyDescent="0.2">
      <c r="B19" s="89"/>
      <c r="C19" s="1250"/>
      <c r="D19" s="358">
        <v>1</v>
      </c>
      <c r="E19" s="341">
        <f>IF('Brewhouse Setup &amp; Calcs'!$C$2="US Customary",'Grain &amp; Sugar Calcs'!C10,"NA")</f>
        <v>0</v>
      </c>
      <c r="F19" s="357">
        <v>0</v>
      </c>
      <c r="G19" s="101">
        <f t="shared" si="0"/>
        <v>0</v>
      </c>
      <c r="H19" s="92">
        <v>8</v>
      </c>
      <c r="I19" s="98" t="s">
        <v>1714</v>
      </c>
      <c r="J19" s="99">
        <v>5.56</v>
      </c>
      <c r="K19" s="100"/>
    </row>
    <row r="20" spans="2:12" s="70" customFormat="1" ht="18" customHeight="1" x14ac:dyDescent="0.2">
      <c r="B20" s="89"/>
      <c r="C20" s="1250"/>
      <c r="D20" s="358">
        <v>1</v>
      </c>
      <c r="E20" s="341">
        <f>IF('Brewhouse Setup &amp; Calcs'!$C$2="US Customary",'Grain &amp; Sugar Calcs'!C11,"NA")</f>
        <v>0</v>
      </c>
      <c r="F20" s="357">
        <v>0</v>
      </c>
      <c r="G20" s="101">
        <f t="shared" si="0"/>
        <v>0</v>
      </c>
      <c r="H20" s="92">
        <v>9</v>
      </c>
      <c r="I20" s="98" t="s">
        <v>1715</v>
      </c>
      <c r="J20" s="99">
        <v>5.7</v>
      </c>
      <c r="K20" s="100"/>
    </row>
    <row r="21" spans="2:12" s="70" customFormat="1" ht="18" customHeight="1" x14ac:dyDescent="0.2">
      <c r="B21" s="89"/>
      <c r="C21" s="1250"/>
      <c r="D21" s="358">
        <v>1</v>
      </c>
      <c r="E21" s="341">
        <f>IF('Brewhouse Setup &amp; Calcs'!$C$2="US Customary",'Grain &amp; Sugar Calcs'!C12,"NA")</f>
        <v>0</v>
      </c>
      <c r="F21" s="357">
        <v>0</v>
      </c>
      <c r="G21" s="101">
        <f t="shared" si="0"/>
        <v>0</v>
      </c>
      <c r="H21" s="92">
        <v>10</v>
      </c>
      <c r="I21" s="98" t="s">
        <v>1716</v>
      </c>
      <c r="J21" s="99" t="s">
        <v>1717</v>
      </c>
      <c r="K21" s="100"/>
    </row>
    <row r="22" spans="2:12" s="70" customFormat="1" ht="18" customHeight="1" x14ac:dyDescent="0.2">
      <c r="B22" s="89"/>
      <c r="C22" s="1250"/>
      <c r="D22" s="358">
        <v>1</v>
      </c>
      <c r="E22" s="341">
        <f>IF('Brewhouse Setup &amp; Calcs'!$C$2="US Customary",'Grain &amp; Sugar Calcs'!C13,"NA")</f>
        <v>0</v>
      </c>
      <c r="F22" s="357">
        <v>0</v>
      </c>
      <c r="G22" s="101">
        <f t="shared" si="0"/>
        <v>0</v>
      </c>
      <c r="H22" s="92">
        <v>11</v>
      </c>
      <c r="I22" s="102" t="s">
        <v>1718</v>
      </c>
      <c r="J22" s="103">
        <v>4.71</v>
      </c>
      <c r="K22" s="100"/>
    </row>
    <row r="23" spans="2:12" s="70" customFormat="1" ht="18" customHeight="1" x14ac:dyDescent="0.2">
      <c r="B23" s="89"/>
      <c r="C23" s="519"/>
      <c r="D23" s="520">
        <v>1</v>
      </c>
      <c r="E23" s="341">
        <f>IF('Brewhouse Setup &amp; Calcs'!$C$2="US Customary",'Grain &amp; Sugar Calcs'!C14,"NA")</f>
        <v>0</v>
      </c>
      <c r="F23" s="357">
        <v>1</v>
      </c>
      <c r="G23" s="101">
        <f t="shared" ref="G23" si="1">IF(D23=10,5.22-0.00504*F23,VLOOKUP(D23,H$12:J$22,3,FALSE))</f>
        <v>0</v>
      </c>
      <c r="H23" s="92"/>
      <c r="I23" s="522"/>
      <c r="J23" s="521"/>
      <c r="K23" s="100"/>
    </row>
    <row r="24" spans="2:12" s="70" customFormat="1" ht="15" customHeight="1" x14ac:dyDescent="0.2">
      <c r="B24" s="89"/>
      <c r="C24" s="104"/>
      <c r="D24" s="105" t="s">
        <v>1719</v>
      </c>
      <c r="E24" s="106">
        <f>SUM(E14:E22)</f>
        <v>20</v>
      </c>
      <c r="F24" s="107"/>
      <c r="G24" s="108"/>
      <c r="H24" s="1261" t="s">
        <v>1720</v>
      </c>
      <c r="I24" s="1262"/>
      <c r="J24" s="1262"/>
      <c r="K24" s="1263"/>
    </row>
    <row r="25" spans="2:12" s="70" customFormat="1" ht="15" customHeight="1" x14ac:dyDescent="0.2">
      <c r="B25" s="89"/>
      <c r="C25" s="104"/>
      <c r="D25" s="105" t="s">
        <v>1721</v>
      </c>
      <c r="E25" s="106" t="str">
        <f>ROUND(D8*4/E24,2)&amp;" qt/lb"</f>
        <v>1.5 qt/lb</v>
      </c>
      <c r="F25" s="109"/>
      <c r="G25" s="108"/>
      <c r="H25" s="1262"/>
      <c r="I25" s="1262"/>
      <c r="J25" s="1262"/>
      <c r="K25" s="1263"/>
    </row>
    <row r="26" spans="2:12" s="70" customFormat="1" ht="15" customHeight="1" x14ac:dyDescent="0.2">
      <c r="B26" s="89"/>
      <c r="C26" s="104"/>
      <c r="D26" s="105"/>
      <c r="E26" s="106"/>
      <c r="F26" s="109"/>
      <c r="G26" s="108"/>
      <c r="H26" s="1262"/>
      <c r="I26" s="1262"/>
      <c r="J26" s="1262"/>
      <c r="K26" s="1263"/>
    </row>
    <row r="27" spans="2:12" ht="15" customHeight="1" thickBot="1" x14ac:dyDescent="0.25">
      <c r="B27" s="110"/>
      <c r="C27" s="111"/>
      <c r="D27" s="111"/>
      <c r="E27" s="111"/>
      <c r="F27" s="112"/>
      <c r="G27" s="112"/>
      <c r="H27" s="1264"/>
      <c r="I27" s="1264"/>
      <c r="J27" s="1264"/>
      <c r="K27" s="1265"/>
      <c r="L27" s="4"/>
    </row>
    <row r="28" spans="2:12" ht="14.25" customHeight="1" x14ac:dyDescent="0.2">
      <c r="B28" s="113"/>
      <c r="C28" s="114" t="s">
        <v>1722</v>
      </c>
      <c r="D28" s="115"/>
      <c r="E28" s="116"/>
      <c r="F28" s="117"/>
      <c r="G28" s="117"/>
      <c r="H28" s="1266" t="s">
        <v>1723</v>
      </c>
      <c r="I28" s="1266"/>
      <c r="J28" s="1266"/>
      <c r="K28" s="1267"/>
      <c r="L28" s="4"/>
    </row>
    <row r="29" spans="2:12" ht="15" customHeight="1" x14ac:dyDescent="0.2">
      <c r="B29" s="118"/>
      <c r="C29" s="119"/>
      <c r="D29" s="1270" t="s">
        <v>1724</v>
      </c>
      <c r="E29" s="1272" t="s">
        <v>1725</v>
      </c>
      <c r="F29" s="1275" t="s">
        <v>1726</v>
      </c>
      <c r="G29" s="1277" t="s">
        <v>1727</v>
      </c>
      <c r="H29" s="1268"/>
      <c r="I29" s="1268"/>
      <c r="J29" s="1268"/>
      <c r="K29" s="1269"/>
      <c r="L29" s="4"/>
    </row>
    <row r="30" spans="2:12" ht="15" customHeight="1" x14ac:dyDescent="0.2">
      <c r="B30" s="118"/>
      <c r="C30" s="120"/>
      <c r="D30" s="1270"/>
      <c r="E30" s="1273"/>
      <c r="F30" s="1275"/>
      <c r="G30" s="1277"/>
      <c r="H30" s="1268"/>
      <c r="I30" s="1268"/>
      <c r="J30" s="1268"/>
      <c r="K30" s="1269"/>
      <c r="L30" s="4"/>
    </row>
    <row r="31" spans="2:12" ht="15" customHeight="1" thickBot="1" x14ac:dyDescent="0.25">
      <c r="B31" s="118"/>
      <c r="C31" s="121"/>
      <c r="D31" s="1271"/>
      <c r="E31" s="1274"/>
      <c r="F31" s="1276"/>
      <c r="G31" s="1278"/>
      <c r="H31" s="122"/>
      <c r="I31" s="122"/>
      <c r="J31" s="122"/>
      <c r="K31" s="123"/>
      <c r="L31" s="4"/>
    </row>
    <row r="32" spans="2:12" ht="27.75" customHeight="1" thickTop="1" thickBot="1" x14ac:dyDescent="0.25">
      <c r="B32" s="118"/>
      <c r="C32" s="124"/>
      <c r="D32" s="125">
        <f>(1-D$9)*I$5*IF(K$3=1,50/61,IF(OR(K$3=0,K$3=2),1,"ERROR"))+(F$44*130+E$44*157-176.1*J37*J36*2-4160.4*H36*H37*2.5+D$44*357)/D$8</f>
        <v>-145.94879999999998</v>
      </c>
      <c r="E32" s="126">
        <f>D32-((D51/1.4)+(E51/1.7))</f>
        <v>-186.29333781512605</v>
      </c>
      <c r="F32" s="127">
        <f>(E14*G14+E15*G15+E16*G16+E17*G17+E18*G18+E19*G19+E20*G20+E21*G21+E22*G22)/E24+(0.1085*D8/E24+0.013)*E32/50</f>
        <v>5.499967528521009</v>
      </c>
      <c r="G32" s="128" t="s">
        <v>1728</v>
      </c>
      <c r="H32" s="1268" t="s">
        <v>1729</v>
      </c>
      <c r="I32" s="1279"/>
      <c r="J32" s="1279"/>
      <c r="K32" s="1280"/>
      <c r="L32" s="4"/>
    </row>
    <row r="33" spans="2:12" ht="15" customHeight="1" thickTop="1" thickBot="1" x14ac:dyDescent="0.25">
      <c r="B33" s="129"/>
      <c r="C33" s="130"/>
      <c r="D33" s="130"/>
      <c r="E33" s="130"/>
      <c r="F33" s="130"/>
      <c r="G33" s="131"/>
      <c r="H33" s="1281"/>
      <c r="I33" s="1281"/>
      <c r="J33" s="1281"/>
      <c r="K33" s="1282"/>
      <c r="L33" s="4"/>
    </row>
    <row r="34" spans="2:12" ht="15" customHeight="1" x14ac:dyDescent="0.2">
      <c r="B34" s="132"/>
      <c r="C34" s="133" t="s">
        <v>1730</v>
      </c>
      <c r="D34" s="134"/>
      <c r="E34" s="134"/>
      <c r="F34" s="134"/>
      <c r="G34" s="134"/>
      <c r="H34" s="134"/>
      <c r="I34" s="135"/>
      <c r="J34" s="136"/>
      <c r="K34" s="137"/>
      <c r="L34" s="4"/>
    </row>
    <row r="35" spans="2:12" ht="15" customHeight="1" x14ac:dyDescent="0.2">
      <c r="B35" s="138"/>
      <c r="C35" s="139"/>
      <c r="D35" s="140" t="s">
        <v>1731</v>
      </c>
      <c r="E35" s="140" t="s">
        <v>1732</v>
      </c>
      <c r="F35" s="140" t="s">
        <v>1733</v>
      </c>
      <c r="G35" s="141"/>
      <c r="H35" s="141" t="s">
        <v>1734</v>
      </c>
      <c r="I35" s="142"/>
      <c r="J35" s="141" t="s">
        <v>1735</v>
      </c>
      <c r="K35" s="143"/>
      <c r="L35" s="4"/>
    </row>
    <row r="36" spans="2:12" ht="15" customHeight="1" x14ac:dyDescent="0.2">
      <c r="B36" s="138"/>
      <c r="C36" s="144" t="s">
        <v>1736</v>
      </c>
      <c r="D36" s="141" t="s">
        <v>1737</v>
      </c>
      <c r="E36" s="141" t="s">
        <v>1738</v>
      </c>
      <c r="F36" s="141" t="s">
        <v>1739</v>
      </c>
      <c r="G36" s="145" t="s">
        <v>1740</v>
      </c>
      <c r="H36" s="146">
        <v>0.02</v>
      </c>
      <c r="I36" s="147" t="s">
        <v>1740</v>
      </c>
      <c r="J36" s="148">
        <v>0.88</v>
      </c>
      <c r="K36" s="143"/>
      <c r="L36" s="4"/>
    </row>
    <row r="37" spans="2:12" s="70" customFormat="1" ht="18" customHeight="1" x14ac:dyDescent="0.2">
      <c r="B37" s="149"/>
      <c r="C37" s="145" t="s">
        <v>1741</v>
      </c>
      <c r="D37" s="360"/>
      <c r="E37" s="360">
        <v>1</v>
      </c>
      <c r="F37" s="360">
        <v>0</v>
      </c>
      <c r="G37" s="147" t="s">
        <v>1742</v>
      </c>
      <c r="H37" s="361"/>
      <c r="I37" s="147" t="s">
        <v>1743</v>
      </c>
      <c r="J37" s="360">
        <v>6</v>
      </c>
      <c r="K37" s="150"/>
    </row>
    <row r="38" spans="2:12" ht="18" customHeight="1" x14ac:dyDescent="0.2">
      <c r="B38" s="138"/>
      <c r="C38" s="145" t="s">
        <v>1744</v>
      </c>
      <c r="D38" s="366" t="b">
        <v>0</v>
      </c>
      <c r="E38" s="366" t="b">
        <v>0</v>
      </c>
      <c r="F38" s="366" t="b">
        <v>0</v>
      </c>
      <c r="G38" s="151"/>
      <c r="H38" s="152" t="str">
        <f>"("&amp;ROUND(100*H37/E24/16,1)&amp;"% of total wt)"</f>
        <v>(0% of total wt)</v>
      </c>
      <c r="I38" s="153" t="s">
        <v>1745</v>
      </c>
      <c r="J38" s="142"/>
      <c r="K38" s="143"/>
      <c r="L38" s="4"/>
    </row>
    <row r="39" spans="2:12" s="70" customFormat="1" ht="18" customHeight="1" x14ac:dyDescent="0.2">
      <c r="B39" s="149"/>
      <c r="C39" s="145" t="s">
        <v>1746</v>
      </c>
      <c r="D39" s="154">
        <f>IF(D38,D37/$D8*$E8,0)</f>
        <v>0</v>
      </c>
      <c r="E39" s="154">
        <f>IF(E38,E37/$D8*$E8,0)</f>
        <v>0</v>
      </c>
      <c r="F39" s="154">
        <f>IF(F38,F37/$D8*$E8,0)</f>
        <v>0</v>
      </c>
      <c r="G39" s="151"/>
      <c r="H39" s="155" t="s">
        <v>1747</v>
      </c>
      <c r="I39" s="156"/>
      <c r="J39" s="157"/>
      <c r="K39" s="158"/>
    </row>
    <row r="40" spans="2:12" s="70" customFormat="1" ht="15" customHeight="1" thickBot="1" x14ac:dyDescent="0.25">
      <c r="B40" s="149"/>
      <c r="C40" s="159" t="s">
        <v>1748</v>
      </c>
      <c r="D40" s="151"/>
      <c r="E40" s="151"/>
      <c r="F40" s="151"/>
      <c r="G40" s="151"/>
      <c r="H40" s="160"/>
      <c r="I40" s="156"/>
      <c r="J40" s="161"/>
      <c r="K40" s="162"/>
    </row>
    <row r="41" spans="2:12" s="70" customFormat="1" ht="15" customHeight="1" x14ac:dyDescent="0.2">
      <c r="B41" s="163"/>
      <c r="C41" s="133" t="s">
        <v>1749</v>
      </c>
      <c r="D41" s="164"/>
      <c r="E41" s="164"/>
      <c r="F41" s="164"/>
      <c r="G41" s="1283" t="s">
        <v>1750</v>
      </c>
      <c r="H41" s="1283"/>
      <c r="I41" s="1283"/>
      <c r="J41" s="1283"/>
      <c r="K41" s="1284"/>
    </row>
    <row r="42" spans="2:12" s="70" customFormat="1" ht="15" customHeight="1" x14ac:dyDescent="0.2">
      <c r="B42" s="149"/>
      <c r="C42" s="145"/>
      <c r="D42" s="140" t="s">
        <v>1751</v>
      </c>
      <c r="E42" s="140" t="s">
        <v>1752</v>
      </c>
      <c r="F42" s="165" t="s">
        <v>1753</v>
      </c>
      <c r="G42" s="1285"/>
      <c r="H42" s="1285"/>
      <c r="I42" s="1285"/>
      <c r="J42" s="1285"/>
      <c r="K42" s="1286"/>
    </row>
    <row r="43" spans="2:12" s="70" customFormat="1" ht="15" customHeight="1" x14ac:dyDescent="0.2">
      <c r="B43" s="138"/>
      <c r="C43" s="144" t="s">
        <v>1736</v>
      </c>
      <c r="D43" s="141" t="s">
        <v>1754</v>
      </c>
      <c r="E43" s="141" t="s">
        <v>1755</v>
      </c>
      <c r="F43" s="166" t="s">
        <v>1756</v>
      </c>
      <c r="G43" s="1285"/>
      <c r="H43" s="1285"/>
      <c r="I43" s="1285"/>
      <c r="J43" s="1285"/>
      <c r="K43" s="1286"/>
    </row>
    <row r="44" spans="2:12" s="70" customFormat="1" ht="18" customHeight="1" x14ac:dyDescent="0.2">
      <c r="B44" s="149"/>
      <c r="C44" s="145" t="s">
        <v>1741</v>
      </c>
      <c r="D44" s="360"/>
      <c r="E44" s="360"/>
      <c r="F44" s="360"/>
      <c r="G44" s="167"/>
      <c r="H44" s="167"/>
      <c r="I44" s="167"/>
      <c r="J44" s="151"/>
      <c r="K44" s="150"/>
    </row>
    <row r="45" spans="2:12" s="70" customFormat="1" ht="18" customHeight="1" x14ac:dyDescent="0.2">
      <c r="B45" s="138"/>
      <c r="C45" s="145" t="s">
        <v>1744</v>
      </c>
      <c r="D45" s="366" t="b">
        <v>0</v>
      </c>
      <c r="E45" s="366" t="b">
        <v>0</v>
      </c>
      <c r="F45" s="366" t="b">
        <v>0</v>
      </c>
      <c r="G45" s="167"/>
      <c r="H45" s="167"/>
      <c r="I45" s="167"/>
      <c r="J45" s="151"/>
      <c r="K45" s="150"/>
    </row>
    <row r="46" spans="2:12" s="70" customFormat="1" ht="18" customHeight="1" x14ac:dyDescent="0.2">
      <c r="B46" s="149"/>
      <c r="C46" s="145" t="s">
        <v>1746</v>
      </c>
      <c r="D46" s="154">
        <f>IF(D45,D44/$D8*$E8,0)</f>
        <v>0</v>
      </c>
      <c r="E46" s="154">
        <f>IF(E45,E44/$D8*$E8,0)</f>
        <v>0</v>
      </c>
      <c r="F46" s="154">
        <f>IF(F45,F44/$D8*$E8,0)</f>
        <v>0</v>
      </c>
      <c r="G46" s="151"/>
      <c r="H46" s="141"/>
      <c r="I46" s="141"/>
      <c r="J46" s="151"/>
      <c r="K46" s="150"/>
    </row>
    <row r="47" spans="2:12" ht="15" customHeight="1" thickBot="1" x14ac:dyDescent="0.25">
      <c r="B47" s="149"/>
      <c r="C47" s="159" t="s">
        <v>1748</v>
      </c>
      <c r="D47" s="168"/>
      <c r="E47" s="168"/>
      <c r="F47" s="169"/>
      <c r="G47" s="170"/>
      <c r="H47" s="168"/>
      <c r="I47" s="169"/>
      <c r="J47" s="169"/>
      <c r="K47" s="171"/>
      <c r="L47" s="4"/>
    </row>
    <row r="48" spans="2:12" ht="15" customHeight="1" x14ac:dyDescent="0.2">
      <c r="B48" s="57"/>
      <c r="C48" s="58" t="s">
        <v>1757</v>
      </c>
      <c r="D48" s="59"/>
      <c r="E48" s="59"/>
      <c r="F48" s="59"/>
      <c r="G48" s="59"/>
      <c r="H48" s="59"/>
      <c r="I48" s="59"/>
      <c r="J48" s="59"/>
      <c r="K48" s="172"/>
      <c r="L48" s="4"/>
    </row>
    <row r="49" spans="2:14" ht="15" customHeight="1" x14ac:dyDescent="0.2">
      <c r="B49" s="61"/>
      <c r="C49" s="62"/>
      <c r="D49" s="63" t="s">
        <v>1675</v>
      </c>
      <c r="E49" s="63" t="s">
        <v>1676</v>
      </c>
      <c r="F49" s="63" t="s">
        <v>1677</v>
      </c>
      <c r="G49" s="63" t="s">
        <v>1678</v>
      </c>
      <c r="H49" s="63" t="s">
        <v>1679</v>
      </c>
      <c r="I49" s="1287" t="s">
        <v>1758</v>
      </c>
      <c r="J49" s="1287"/>
      <c r="K49" s="173"/>
      <c r="L49" s="4"/>
    </row>
    <row r="50" spans="2:14" s="174" customFormat="1" ht="15" customHeight="1" x14ac:dyDescent="0.3">
      <c r="B50" s="175"/>
      <c r="C50" s="176"/>
      <c r="D50" s="65" t="s">
        <v>1682</v>
      </c>
      <c r="E50" s="65" t="s">
        <v>1683</v>
      </c>
      <c r="F50" s="65" t="s">
        <v>1684</v>
      </c>
      <c r="G50" s="65" t="s">
        <v>1685</v>
      </c>
      <c r="H50" s="65" t="s">
        <v>1686</v>
      </c>
      <c r="I50" s="1288" t="s">
        <v>1759</v>
      </c>
      <c r="J50" s="1288"/>
      <c r="K50" s="177"/>
      <c r="L50" s="178"/>
      <c r="M50" s="70"/>
    </row>
    <row r="51" spans="2:14" s="70" customFormat="1" ht="18" customHeight="1" thickBot="1" x14ac:dyDescent="0.25">
      <c r="B51" s="66"/>
      <c r="C51" s="78" t="s">
        <v>1760</v>
      </c>
      <c r="D51" s="179">
        <f>(1-D$9)*D$5+(F$44*105.89+D$37*60+E$37*72+D$44*143)/D$8</f>
        <v>46.6</v>
      </c>
      <c r="E51" s="179">
        <f>(1-D$9)*E$5+F$37*24.6/D$8</f>
        <v>12</v>
      </c>
      <c r="F51" s="179">
        <f>(1-D$9)*F$5+E$44*72.3/D$8</f>
        <v>9</v>
      </c>
      <c r="G51" s="179">
        <f>(1-D$9)*G$5+E$37*127.47/D$8</f>
        <v>32.995999999999995</v>
      </c>
      <c r="H51" s="179">
        <f>(1-D$9)*H$5+(D$37*147.4+F$37*103)/D$8</f>
        <v>25</v>
      </c>
      <c r="I51" s="1289">
        <f>G51/H51</f>
        <v>1.3198399999999999</v>
      </c>
      <c r="J51" s="1290"/>
      <c r="K51" s="69"/>
    </row>
    <row r="52" spans="2:14" s="70" customFormat="1" ht="18" customHeight="1" thickBot="1" x14ac:dyDescent="0.25">
      <c r="B52" s="66"/>
      <c r="C52" s="78" t="s">
        <v>1761</v>
      </c>
      <c r="D52" s="180">
        <f>IF(E8=0,D51,(1-(((D$9*D$8)+(E$9*E$8))/(D$8+E$8)))*D$5+((F$44+F$46)*105.89+(D$37+D$39)*60+(E$37+E$39)*72+(D$44+D$46)*143)/(D$8+E$8))</f>
        <v>41.746492958969043</v>
      </c>
      <c r="E52" s="180">
        <f>IF(E8=0,E51,(1-(((D$9*D$8)+(E$9*E$8))/(D$8+E$8)))*E$5+(F$37+F$39)*24.6/(D$8+E$8))</f>
        <v>12</v>
      </c>
      <c r="F52" s="180">
        <f>IF(E8=0,F51,(1-(((D$9*D$8)+(E$9*E$8))/(D$8+E$8)))*F$5+(E$44+E$46)*72.3/(D$8+E$8))</f>
        <v>9</v>
      </c>
      <c r="G52" s="180">
        <f>IF(E8=0,G51,(1-(((D$9*D$8)+(E$9*E$8))/(D$8+E$8)))*G$5+(E$37+E$39)*127.47/(D$8+E$8))</f>
        <v>24.403270242774777</v>
      </c>
      <c r="H52" s="180">
        <f>IF(E8=0,H51,(1-(((D$9*D$8)+(E$9*E$8))/(D$8+E$8)))*H$5+((D$37+D$39)*147.4+(F$37+F$39)*103)/(D$8+E$8))</f>
        <v>25</v>
      </c>
      <c r="I52" s="1259">
        <f>G52/H52</f>
        <v>0.97613080971099109</v>
      </c>
      <c r="J52" s="1260"/>
      <c r="K52" s="69"/>
      <c r="M52" s="4"/>
    </row>
    <row r="53" spans="2:14" ht="18" customHeight="1" x14ac:dyDescent="0.2">
      <c r="B53" s="61"/>
      <c r="C53" s="181" t="s">
        <v>1762</v>
      </c>
      <c r="D53" s="182" t="s">
        <v>1763</v>
      </c>
      <c r="E53" s="183" t="s">
        <v>1764</v>
      </c>
      <c r="F53" s="182" t="s">
        <v>1765</v>
      </c>
      <c r="G53" s="182" t="s">
        <v>1766</v>
      </c>
      <c r="H53" s="184" t="s">
        <v>1767</v>
      </c>
      <c r="I53" s="1293" t="str">
        <f>IF(I52&lt;0.77,"Below .77, May enhance bitterness", IF(I52&lt;1.3,".77 to 1.3 = Balanced","Above 1.3 may enhance maltiness"))</f>
        <v>.77 to 1.3 = Balanced</v>
      </c>
      <c r="J53" s="1294"/>
      <c r="K53" s="173"/>
      <c r="L53" s="4"/>
    </row>
    <row r="54" spans="2:14" ht="15" customHeight="1" x14ac:dyDescent="0.2">
      <c r="B54" s="61"/>
      <c r="C54" s="1295" t="s">
        <v>1768</v>
      </c>
      <c r="D54" s="1295"/>
      <c r="E54" s="1295"/>
      <c r="F54" s="1295"/>
      <c r="G54" s="1295"/>
      <c r="H54" s="1295"/>
      <c r="I54" s="1295"/>
      <c r="J54" s="1295"/>
      <c r="K54" s="1296"/>
      <c r="L54" s="4"/>
      <c r="M54" s="70"/>
      <c r="N54" s="178"/>
    </row>
    <row r="55" spans="2:14" ht="15" customHeight="1" thickBot="1" x14ac:dyDescent="0.25">
      <c r="B55" s="185"/>
      <c r="C55" s="1297"/>
      <c r="D55" s="1297"/>
      <c r="E55" s="1297"/>
      <c r="F55" s="1297"/>
      <c r="G55" s="1297"/>
      <c r="H55" s="1297"/>
      <c r="I55" s="1298"/>
      <c r="J55" s="1298"/>
      <c r="K55" s="1299"/>
    </row>
    <row r="56" spans="2:14" ht="15" customHeight="1" x14ac:dyDescent="0.2">
      <c r="B56" s="186"/>
      <c r="C56" s="187"/>
      <c r="D56" s="187"/>
      <c r="E56" s="187"/>
      <c r="F56" s="187"/>
      <c r="G56" s="187"/>
      <c r="H56" s="187"/>
      <c r="I56" s="188"/>
      <c r="J56" s="188"/>
      <c r="K56" s="188"/>
    </row>
    <row r="57" spans="2:14" s="19" customFormat="1" ht="23.25" customHeight="1" x14ac:dyDescent="0.2">
      <c r="B57" s="189"/>
      <c r="C57" s="1300" t="s">
        <v>1769</v>
      </c>
      <c r="D57" s="1300"/>
      <c r="E57" s="1300"/>
      <c r="F57" s="1300"/>
      <c r="G57" s="1300"/>
      <c r="H57" s="1300"/>
      <c r="I57" s="1300"/>
      <c r="J57" s="1300"/>
      <c r="K57" s="1300"/>
    </row>
    <row r="58" spans="2:14" ht="15" customHeight="1" x14ac:dyDescent="0.2">
      <c r="C58" s="190"/>
      <c r="D58" s="190"/>
      <c r="E58" s="190"/>
      <c r="F58" s="190"/>
      <c r="G58" s="190"/>
      <c r="H58" s="190"/>
      <c r="I58" s="4"/>
      <c r="J58" s="4"/>
      <c r="K58" s="4"/>
    </row>
    <row r="59" spans="2:14" ht="15" customHeight="1" x14ac:dyDescent="0.2">
      <c r="C59" s="190"/>
      <c r="D59" s="191" t="s">
        <v>1770</v>
      </c>
      <c r="E59" s="192"/>
      <c r="F59" s="192"/>
      <c r="G59" s="192"/>
      <c r="H59" s="192"/>
      <c r="I59" s="192"/>
      <c r="J59" s="192"/>
      <c r="K59" s="4"/>
    </row>
    <row r="60" spans="2:14" ht="15" customHeight="1" x14ac:dyDescent="0.2">
      <c r="C60" s="190"/>
      <c r="D60" s="192"/>
      <c r="E60" s="192"/>
      <c r="F60" s="192"/>
      <c r="G60" s="192"/>
      <c r="H60" s="192"/>
      <c r="I60" s="192"/>
      <c r="J60" s="192"/>
      <c r="K60" s="4"/>
    </row>
    <row r="61" spans="2:14" ht="15" customHeight="1" x14ac:dyDescent="0.2">
      <c r="C61" s="190"/>
      <c r="D61" s="192"/>
      <c r="E61" s="192"/>
      <c r="F61" s="192"/>
      <c r="G61" s="192"/>
      <c r="H61" s="192"/>
      <c r="I61" s="192"/>
      <c r="J61" s="192"/>
      <c r="K61" s="4"/>
    </row>
    <row r="62" spans="2:14" ht="15" customHeight="1" x14ac:dyDescent="0.2">
      <c r="C62" s="190"/>
      <c r="D62" s="192"/>
      <c r="E62" s="192"/>
      <c r="F62" s="190"/>
      <c r="G62" s="190"/>
      <c r="H62" s="190"/>
      <c r="I62" s="4"/>
      <c r="J62" s="4"/>
      <c r="K62" s="4"/>
    </row>
    <row r="63" spans="2:14" ht="15" customHeight="1" x14ac:dyDescent="0.2">
      <c r="C63" s="191" t="s">
        <v>1771</v>
      </c>
      <c r="D63" s="192"/>
      <c r="E63" s="192"/>
      <c r="F63" s="190"/>
      <c r="G63" s="190"/>
      <c r="H63" s="190"/>
      <c r="I63" s="4"/>
      <c r="J63" s="4"/>
      <c r="K63" s="4"/>
    </row>
    <row r="64" spans="2:14" ht="41.25" customHeight="1" x14ac:dyDescent="0.2">
      <c r="C64" s="190"/>
      <c r="D64" s="192"/>
      <c r="E64" s="192"/>
      <c r="F64" s="190"/>
      <c r="G64" s="190"/>
      <c r="H64" s="190"/>
      <c r="I64" s="4"/>
      <c r="J64" s="4"/>
      <c r="K64" s="4"/>
    </row>
    <row r="65" spans="3:12" ht="21.75" customHeight="1" x14ac:dyDescent="0.25">
      <c r="C65" s="1301" t="s">
        <v>1772</v>
      </c>
      <c r="D65" s="1301"/>
      <c r="E65" s="1301"/>
      <c r="F65" s="1301"/>
      <c r="G65" s="1301"/>
      <c r="H65" s="1301"/>
      <c r="I65" s="1301"/>
      <c r="J65" s="1301"/>
    </row>
    <row r="66" spans="3:12" x14ac:dyDescent="0.2">
      <c r="C66" s="1302" t="s">
        <v>1773</v>
      </c>
      <c r="D66" s="1302"/>
      <c r="E66" s="1302"/>
      <c r="F66" s="1302"/>
      <c r="G66" s="1302"/>
      <c r="H66" s="1302"/>
      <c r="I66" s="1302"/>
      <c r="J66" s="1302"/>
      <c r="K66" s="1302"/>
    </row>
    <row r="67" spans="3:12" ht="12.75" customHeight="1" x14ac:dyDescent="0.2">
      <c r="C67" s="1291" t="s">
        <v>1774</v>
      </c>
      <c r="D67" s="1291"/>
      <c r="E67" s="1291"/>
      <c r="F67" s="1291"/>
      <c r="G67" s="1291"/>
      <c r="H67" s="1291"/>
      <c r="I67" s="1291"/>
      <c r="J67" s="1291"/>
      <c r="K67" s="1291"/>
    </row>
    <row r="68" spans="3:12" s="195" customFormat="1" ht="12" customHeight="1" x14ac:dyDescent="0.2">
      <c r="C68" s="25" t="s">
        <v>1775</v>
      </c>
      <c r="D68" s="193"/>
      <c r="E68" s="193"/>
      <c r="F68" s="193"/>
      <c r="G68" s="194"/>
      <c r="H68" s="194"/>
      <c r="I68" s="194"/>
      <c r="J68" s="194"/>
      <c r="K68" s="194"/>
      <c r="L68" s="194"/>
    </row>
    <row r="69" spans="3:12" ht="12" customHeight="1" x14ac:dyDescent="0.2">
      <c r="C69" s="1292" t="s">
        <v>1776</v>
      </c>
      <c r="D69" s="1292"/>
      <c r="E69" s="1292"/>
      <c r="F69" s="1292"/>
      <c r="G69" s="1292"/>
      <c r="H69" s="1292"/>
      <c r="I69" s="1292"/>
      <c r="J69" s="1292"/>
    </row>
    <row r="70" spans="3:12" ht="12" customHeight="1" x14ac:dyDescent="0.2">
      <c r="C70" s="196" t="s">
        <v>1777</v>
      </c>
      <c r="D70" s="197"/>
      <c r="E70" s="197"/>
      <c r="F70" s="197"/>
      <c r="G70" s="197"/>
      <c r="H70" s="197"/>
      <c r="I70" s="197"/>
      <c r="J70" s="197"/>
    </row>
    <row r="71" spans="3:12" ht="12" customHeight="1" x14ac:dyDescent="0.2">
      <c r="C71" s="1292" t="s">
        <v>1778</v>
      </c>
      <c r="D71" s="1292"/>
      <c r="E71" s="1292"/>
      <c r="F71" s="1292"/>
      <c r="G71" s="1292"/>
      <c r="H71" s="1292"/>
      <c r="I71" s="1292"/>
      <c r="J71" s="1292"/>
    </row>
    <row r="73" spans="3:12" x14ac:dyDescent="0.2">
      <c r="C73" s="198" t="s">
        <v>1779</v>
      </c>
    </row>
    <row r="74" spans="3:12" x14ac:dyDescent="0.2">
      <c r="C74" s="25" t="s">
        <v>1780</v>
      </c>
    </row>
    <row r="75" spans="3:12" x14ac:dyDescent="0.2">
      <c r="C75" s="198" t="s">
        <v>1781</v>
      </c>
    </row>
    <row r="78" spans="3:12" ht="12.75" customHeight="1" x14ac:dyDescent="0.2"/>
  </sheetData>
  <sheetProtection sheet="1" selectLockedCells="1"/>
  <mergeCells count="27">
    <mergeCell ref="C67:K67"/>
    <mergeCell ref="C69:J69"/>
    <mergeCell ref="C71:J71"/>
    <mergeCell ref="I53:J53"/>
    <mergeCell ref="C54:K54"/>
    <mergeCell ref="C55:K55"/>
    <mergeCell ref="C57:K57"/>
    <mergeCell ref="C65:J65"/>
    <mergeCell ref="C66:K66"/>
    <mergeCell ref="I52:J52"/>
    <mergeCell ref="H24:K27"/>
    <mergeCell ref="H28:K30"/>
    <mergeCell ref="D29:D31"/>
    <mergeCell ref="E29:E31"/>
    <mergeCell ref="F29:F31"/>
    <mergeCell ref="G29:G31"/>
    <mergeCell ref="H32:K33"/>
    <mergeCell ref="G41:K43"/>
    <mergeCell ref="I49:J49"/>
    <mergeCell ref="I50:J50"/>
    <mergeCell ref="I51:J51"/>
    <mergeCell ref="C14:C22"/>
    <mergeCell ref="C1:K1"/>
    <mergeCell ref="I3:J3"/>
    <mergeCell ref="K3:K4"/>
    <mergeCell ref="I4:J4"/>
    <mergeCell ref="I7:K10"/>
  </mergeCells>
  <conditionalFormatting sqref="D53">
    <cfRule type="expression" dxfId="13" priority="1" stopIfTrue="1">
      <formula>OR(D$52&lt;49.5,D$52&gt;150.5)</formula>
    </cfRule>
  </conditionalFormatting>
  <conditionalFormatting sqref="E53">
    <cfRule type="expression" dxfId="12" priority="2" stopIfTrue="1">
      <formula>OR(E$52&lt;9.5,E$52&gt;30.5)</formula>
    </cfRule>
  </conditionalFormatting>
  <conditionalFormatting sqref="F14:F23">
    <cfRule type="expression" dxfId="11" priority="6" stopIfTrue="1">
      <formula>AND($D14=10)</formula>
    </cfRule>
  </conditionalFormatting>
  <conditionalFormatting sqref="F53">
    <cfRule type="expression" dxfId="10" priority="3" stopIfTrue="1">
      <formula>OR(F$52&lt;0,F$52&gt;150.5)</formula>
    </cfRule>
  </conditionalFormatting>
  <conditionalFormatting sqref="G32">
    <cfRule type="expression" dxfId="9" priority="7" stopIfTrue="1">
      <formula>OR(F$32&lt;5.4,F$32&gt;5.6)</formula>
    </cfRule>
  </conditionalFormatting>
  <conditionalFormatting sqref="G53">
    <cfRule type="expression" dxfId="8" priority="4" stopIfTrue="1">
      <formula>OR(G$52&lt;0,G$52&gt;250.5)</formula>
    </cfRule>
  </conditionalFormatting>
  <conditionalFormatting sqref="H53">
    <cfRule type="expression" dxfId="7" priority="5" stopIfTrue="1">
      <formula>OR(H$52&lt;49.5,H$52&gt;350.5)</formula>
    </cfRule>
  </conditionalFormatting>
  <dataValidations count="1">
    <dataValidation type="list" allowBlank="1" showInputMessage="1" showErrorMessage="1" sqref="D23" xr:uid="{1175B284-0839-43DA-9697-53E67020FFC8}">
      <formula1>$I$12:$I$22</formula1>
    </dataValidation>
  </dataValidations>
  <hyperlinks>
    <hyperlink ref="C73" r:id="rId1" xr:uid="{D3DFB26E-04CE-4F86-93D6-4CB8E41AA4ED}"/>
    <hyperlink ref="C67:J67" r:id="rId2" display="Calculations for Alkalinity, RA, and pH were based on Kai Troester's paper: &quot;The effect of brewing water and grist composition on the pH of the mash&quot;  2009" xr:uid="{2EEB58DB-3DA7-4C95-A0D7-F557F890517A}"/>
    <hyperlink ref="C69:J69" r:id="rId3" display="Recommended mineral ranges are from John Palmer's &quot;How to Brew&quot;" xr:uid="{468158AC-4F48-4B8C-B98B-3D560172389C}"/>
    <hyperlink ref="C71:J71" r:id="rId4" display="Recommended Cl to SO4 ratio ranges are from John Palmer's RA spreadsheet" xr:uid="{71A96227-8BB7-4C35-8F3F-DC7AA97B0AC9}"/>
    <hyperlink ref="C75"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1800225</xdr:colOff>
                <xdr:row>79</xdr:row>
                <xdr:rowOff>95250</xdr:rowOff>
              </from>
              <to>
                <xdr:col>3</xdr:col>
                <xdr:colOff>514350</xdr:colOff>
                <xdr:row>79</xdr:row>
                <xdr:rowOff>104775</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57</xdr:row>
                <xdr:rowOff>171450</xdr:rowOff>
              </from>
              <to>
                <xdr:col>2</xdr:col>
                <xdr:colOff>1581150</xdr:colOff>
                <xdr:row>61</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9525</xdr:colOff>
                    <xdr:row>13</xdr:row>
                    <xdr:rowOff>9525</xdr:rowOff>
                  </from>
                  <to>
                    <xdr:col>3</xdr:col>
                    <xdr:colOff>971550</xdr:colOff>
                    <xdr:row>13</xdr:row>
                    <xdr:rowOff>209550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962025</xdr:colOff>
                    <xdr:row>2</xdr:row>
                    <xdr:rowOff>0</xdr:rowOff>
                  </from>
                  <to>
                    <xdr:col>8</xdr:col>
                    <xdr:colOff>295275</xdr:colOff>
                    <xdr:row>3</xdr:row>
                    <xdr:rowOff>28575</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962025</xdr:colOff>
                    <xdr:row>2</xdr:row>
                    <xdr:rowOff>161925</xdr:rowOff>
                  </from>
                  <to>
                    <xdr:col>8</xdr:col>
                    <xdr:colOff>295275</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44</xdr:row>
                    <xdr:rowOff>0</xdr:rowOff>
                  </from>
                  <to>
                    <xdr:col>5</xdr:col>
                    <xdr:colOff>695325</xdr:colOff>
                    <xdr:row>45</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37</xdr:row>
                    <xdr:rowOff>0</xdr:rowOff>
                  </from>
                  <to>
                    <xdr:col>3</xdr:col>
                    <xdr:colOff>695325</xdr:colOff>
                    <xdr:row>37</xdr:row>
                    <xdr:rowOff>219075</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37</xdr:row>
                    <xdr:rowOff>0</xdr:rowOff>
                  </from>
                  <to>
                    <xdr:col>4</xdr:col>
                    <xdr:colOff>695325</xdr:colOff>
                    <xdr:row>37</xdr:row>
                    <xdr:rowOff>219075</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37</xdr:row>
                    <xdr:rowOff>0</xdr:rowOff>
                  </from>
                  <to>
                    <xdr:col>5</xdr:col>
                    <xdr:colOff>695325</xdr:colOff>
                    <xdr:row>38</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44</xdr:row>
                    <xdr:rowOff>0</xdr:rowOff>
                  </from>
                  <to>
                    <xdr:col>4</xdr:col>
                    <xdr:colOff>695325</xdr:colOff>
                    <xdr:row>45</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9525</xdr:colOff>
                    <xdr:row>14</xdr:row>
                    <xdr:rowOff>9525</xdr:rowOff>
                  </from>
                  <to>
                    <xdr:col>3</xdr:col>
                    <xdr:colOff>971550</xdr:colOff>
                    <xdr:row>14</xdr:row>
                    <xdr:rowOff>209550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9525</xdr:colOff>
                    <xdr:row>15</xdr:row>
                    <xdr:rowOff>9525</xdr:rowOff>
                  </from>
                  <to>
                    <xdr:col>3</xdr:col>
                    <xdr:colOff>971550</xdr:colOff>
                    <xdr:row>15</xdr:row>
                    <xdr:rowOff>209550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9525</xdr:colOff>
                    <xdr:row>16</xdr:row>
                    <xdr:rowOff>9525</xdr:rowOff>
                  </from>
                  <to>
                    <xdr:col>3</xdr:col>
                    <xdr:colOff>971550</xdr:colOff>
                    <xdr:row>16</xdr:row>
                    <xdr:rowOff>209550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9525</xdr:colOff>
                    <xdr:row>20</xdr:row>
                    <xdr:rowOff>9525</xdr:rowOff>
                  </from>
                  <to>
                    <xdr:col>3</xdr:col>
                    <xdr:colOff>971550</xdr:colOff>
                    <xdr:row>20</xdr:row>
                    <xdr:rowOff>209550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9525</xdr:colOff>
                    <xdr:row>17</xdr:row>
                    <xdr:rowOff>9525</xdr:rowOff>
                  </from>
                  <to>
                    <xdr:col>3</xdr:col>
                    <xdr:colOff>971550</xdr:colOff>
                    <xdr:row>17</xdr:row>
                    <xdr:rowOff>209550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9525</xdr:colOff>
                    <xdr:row>18</xdr:row>
                    <xdr:rowOff>9525</xdr:rowOff>
                  </from>
                  <to>
                    <xdr:col>3</xdr:col>
                    <xdr:colOff>971550</xdr:colOff>
                    <xdr:row>18</xdr:row>
                    <xdr:rowOff>209550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9525</xdr:colOff>
                    <xdr:row>19</xdr:row>
                    <xdr:rowOff>9525</xdr:rowOff>
                  </from>
                  <to>
                    <xdr:col>3</xdr:col>
                    <xdr:colOff>971550</xdr:colOff>
                    <xdr:row>19</xdr:row>
                    <xdr:rowOff>209550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44</xdr:row>
                    <xdr:rowOff>0</xdr:rowOff>
                  </from>
                  <to>
                    <xdr:col>3</xdr:col>
                    <xdr:colOff>695325</xdr:colOff>
                    <xdr:row>45</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9525</xdr:colOff>
                    <xdr:row>21</xdr:row>
                    <xdr:rowOff>9525</xdr:rowOff>
                  </from>
                  <to>
                    <xdr:col>3</xdr:col>
                    <xdr:colOff>971550</xdr:colOff>
                    <xdr:row>21</xdr:row>
                    <xdr:rowOff>209550</xdr:rowOff>
                  </to>
                </anchor>
              </controlPr>
            </control>
          </mc:Choice>
        </mc:AlternateContent>
        <mc:AlternateContent xmlns:mc="http://schemas.openxmlformats.org/markup-compatibility/2006">
          <mc:Choice Requires="x14">
            <control shapeId="1045" r:id="rId30" name="Drop Down 21">
              <controlPr defaultSize="0" autoLine="0" autoPict="0">
                <anchor moveWithCells="1">
                  <from>
                    <xdr:col>3</xdr:col>
                    <xdr:colOff>9525</xdr:colOff>
                    <xdr:row>22</xdr:row>
                    <xdr:rowOff>9525</xdr:rowOff>
                  </from>
                  <to>
                    <xdr:col>3</xdr:col>
                    <xdr:colOff>971550</xdr:colOff>
                    <xdr:row>22</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6"/>
  <sheetViews>
    <sheetView showGridLines="0" zoomScale="85" workbookViewId="0">
      <selection activeCell="D10" sqref="D10"/>
    </sheetView>
  </sheetViews>
  <sheetFormatPr defaultColWidth="8.85546875" defaultRowHeight="12.75" x14ac:dyDescent="0.2"/>
  <cols>
    <col min="1" max="2" width="1.7109375" style="199" customWidth="1"/>
    <col min="3" max="3" width="29.7109375" style="200" customWidth="1"/>
    <col min="4" max="9" width="14.7109375" style="199" customWidth="1"/>
    <col min="10" max="10" width="14.85546875" style="199" customWidth="1"/>
    <col min="11" max="11" width="5.42578125" style="199" customWidth="1"/>
    <col min="12" max="12" width="9.5703125" style="199" customWidth="1"/>
    <col min="13" max="13" width="8.85546875" style="199"/>
    <col min="14" max="14" width="13.42578125" style="199" bestFit="1" customWidth="1"/>
    <col min="15" max="16384" width="8.85546875" style="199"/>
  </cols>
  <sheetData>
    <row r="1" spans="2:12" ht="21" thickBot="1" x14ac:dyDescent="0.35">
      <c r="C1" s="1304" t="s">
        <v>1782</v>
      </c>
      <c r="D1" s="1304"/>
      <c r="E1" s="1304"/>
      <c r="F1" s="1304"/>
      <c r="G1" s="1304"/>
      <c r="H1" s="1304"/>
      <c r="I1" s="1304"/>
      <c r="J1" s="1304"/>
      <c r="K1" s="1304"/>
      <c r="L1" s="200"/>
    </row>
    <row r="2" spans="2:12" ht="15" customHeight="1" x14ac:dyDescent="0.2">
      <c r="B2" s="201"/>
      <c r="C2" s="202" t="s">
        <v>1674</v>
      </c>
      <c r="D2" s="203"/>
      <c r="E2" s="203"/>
      <c r="F2" s="203"/>
      <c r="G2" s="203"/>
      <c r="H2" s="203"/>
      <c r="I2" s="203"/>
      <c r="J2" s="203"/>
      <c r="K2" s="204"/>
      <c r="L2" s="200"/>
    </row>
    <row r="3" spans="2:12" ht="15" customHeight="1" x14ac:dyDescent="0.3">
      <c r="B3" s="205"/>
      <c r="C3" s="206"/>
      <c r="D3" s="207" t="s">
        <v>1675</v>
      </c>
      <c r="E3" s="207" t="s">
        <v>1676</v>
      </c>
      <c r="F3" s="207" t="s">
        <v>1677</v>
      </c>
      <c r="G3" s="207" t="s">
        <v>1678</v>
      </c>
      <c r="H3" s="207" t="s">
        <v>1679</v>
      </c>
      <c r="I3" s="1305" t="s">
        <v>1680</v>
      </c>
      <c r="J3" s="1305"/>
      <c r="K3" s="1306">
        <v>2</v>
      </c>
      <c r="L3" s="200"/>
    </row>
    <row r="4" spans="2:12" ht="15" customHeight="1" x14ac:dyDescent="0.3">
      <c r="B4" s="205"/>
      <c r="C4" s="208" t="s">
        <v>1681</v>
      </c>
      <c r="D4" s="207" t="s">
        <v>1682</v>
      </c>
      <c r="E4" s="207" t="s">
        <v>1683</v>
      </c>
      <c r="F4" s="207" t="s">
        <v>1684</v>
      </c>
      <c r="G4" s="207" t="s">
        <v>1685</v>
      </c>
      <c r="H4" s="207" t="s">
        <v>1686</v>
      </c>
      <c r="I4" s="1305" t="s">
        <v>1687</v>
      </c>
      <c r="J4" s="1305"/>
      <c r="K4" s="1306"/>
      <c r="L4" s="200"/>
    </row>
    <row r="5" spans="2:12" s="213" customFormat="1" ht="18" customHeight="1" x14ac:dyDescent="0.2">
      <c r="B5" s="209"/>
      <c r="C5" s="210" t="s">
        <v>1688</v>
      </c>
      <c r="D5" s="356">
        <f>'Recipe Sheet'!Q8</f>
        <v>37</v>
      </c>
      <c r="E5" s="356">
        <f>'Recipe Sheet'!Q9</f>
        <v>12</v>
      </c>
      <c r="F5" s="356">
        <f>'Recipe Sheet'!Q10</f>
        <v>9</v>
      </c>
      <c r="G5" s="356">
        <f>'Recipe Sheet'!Q11</f>
        <v>16</v>
      </c>
      <c r="H5" s="356">
        <f>'Recipe Sheet'!Q12</f>
        <v>25</v>
      </c>
      <c r="I5" s="356">
        <f>'Recipe Sheet'!Q13</f>
        <v>102</v>
      </c>
      <c r="J5" s="211"/>
      <c r="K5" s="212"/>
    </row>
    <row r="6" spans="2:12" ht="15" customHeight="1" x14ac:dyDescent="0.2">
      <c r="B6" s="205"/>
      <c r="C6" s="214" t="s">
        <v>1689</v>
      </c>
      <c r="D6" s="207"/>
      <c r="E6" s="215"/>
      <c r="F6" s="216"/>
      <c r="G6" s="216"/>
      <c r="H6" s="217"/>
      <c r="I6" s="217"/>
      <c r="J6" s="218"/>
      <c r="K6" s="219"/>
      <c r="L6" s="200"/>
    </row>
    <row r="7" spans="2:12" ht="15" customHeight="1" x14ac:dyDescent="0.2">
      <c r="B7" s="205"/>
      <c r="C7" s="208" t="s">
        <v>1690</v>
      </c>
      <c r="D7" s="207" t="s">
        <v>1691</v>
      </c>
      <c r="E7" s="207" t="s">
        <v>1692</v>
      </c>
      <c r="F7" s="207"/>
      <c r="G7" s="220"/>
      <c r="H7" s="218"/>
      <c r="I7" s="1307" t="s">
        <v>1693</v>
      </c>
      <c r="J7" s="1307"/>
      <c r="K7" s="1308"/>
      <c r="L7" s="200"/>
    </row>
    <row r="8" spans="2:12" s="213" customFormat="1" ht="18" customHeight="1" x14ac:dyDescent="0.2">
      <c r="B8" s="209"/>
      <c r="C8" s="221" t="s">
        <v>1783</v>
      </c>
      <c r="D8" s="341" t="str">
        <f>IF('Brewhouse Setup &amp; Calcs'!$C$2="Metric",'Brewhouse Setup &amp; Calcs'!N31,"NA")</f>
        <v>NA</v>
      </c>
      <c r="E8" s="341" t="str">
        <f>IF('Brewhouse Setup &amp; Calcs'!$C$2="Metric",'Brewhouse Setup &amp; Calcs'!C94,"NA")</f>
        <v>NA</v>
      </c>
      <c r="F8" s="220"/>
      <c r="G8" s="220"/>
      <c r="H8" s="218"/>
      <c r="I8" s="1307"/>
      <c r="J8" s="1307"/>
      <c r="K8" s="1308"/>
    </row>
    <row r="9" spans="2:12" s="213" customFormat="1" ht="18" customHeight="1" x14ac:dyDescent="0.2">
      <c r="B9" s="209"/>
      <c r="C9" s="222" t="s">
        <v>1784</v>
      </c>
      <c r="D9" s="223" t="e">
        <f>D8/3.785412</f>
        <v>#VALUE!</v>
      </c>
      <c r="E9" s="223" t="e">
        <f>E8/3.785412</f>
        <v>#VALUE!</v>
      </c>
      <c r="F9" s="220"/>
      <c r="G9" s="220"/>
      <c r="H9" s="218"/>
      <c r="I9" s="1307"/>
      <c r="J9" s="1307"/>
      <c r="K9" s="1308"/>
    </row>
    <row r="10" spans="2:12" s="213" customFormat="1" ht="18" customHeight="1" x14ac:dyDescent="0.2">
      <c r="B10" s="209"/>
      <c r="C10" s="221" t="s">
        <v>1695</v>
      </c>
      <c r="D10" s="372">
        <v>0</v>
      </c>
      <c r="E10" s="372">
        <v>0</v>
      </c>
      <c r="F10" s="220"/>
      <c r="G10" s="220"/>
      <c r="H10" s="218"/>
      <c r="I10" s="1307"/>
      <c r="J10" s="1307"/>
      <c r="K10" s="1308"/>
    </row>
    <row r="11" spans="2:12" s="213" customFormat="1" ht="15" customHeight="1" thickBot="1" x14ac:dyDescent="0.25">
      <c r="B11" s="224"/>
      <c r="C11" s="225"/>
      <c r="D11" s="226"/>
      <c r="E11" s="226"/>
      <c r="F11" s="226"/>
      <c r="G11" s="226"/>
      <c r="H11" s="227"/>
      <c r="I11" s="1309"/>
      <c r="J11" s="1309"/>
      <c r="K11" s="1310"/>
    </row>
    <row r="12" spans="2:12" s="213" customFormat="1" ht="15" customHeight="1" x14ac:dyDescent="0.2">
      <c r="B12" s="228"/>
      <c r="C12" s="229" t="s">
        <v>1696</v>
      </c>
      <c r="D12" s="230"/>
      <c r="E12" s="230"/>
      <c r="F12" s="230"/>
      <c r="G12" s="231" t="s">
        <v>1697</v>
      </c>
      <c r="H12" s="232"/>
      <c r="I12" s="232" t="s">
        <v>1698</v>
      </c>
      <c r="J12" s="232" t="s">
        <v>1699</v>
      </c>
      <c r="K12" s="233"/>
    </row>
    <row r="13" spans="2:12" s="213" customFormat="1" ht="15" customHeight="1" x14ac:dyDescent="0.2">
      <c r="B13" s="234"/>
      <c r="C13" s="235"/>
      <c r="D13" s="236" t="s">
        <v>1700</v>
      </c>
      <c r="E13" s="236" t="s">
        <v>1701</v>
      </c>
      <c r="F13" s="236" t="s">
        <v>1702</v>
      </c>
      <c r="G13" s="232" t="s">
        <v>1659</v>
      </c>
      <c r="H13" s="237">
        <v>1</v>
      </c>
      <c r="I13" s="238" t="s">
        <v>1703</v>
      </c>
      <c r="J13" s="239"/>
      <c r="K13" s="240"/>
    </row>
    <row r="14" spans="2:12" s="213" customFormat="1" ht="15" customHeight="1" x14ac:dyDescent="0.2">
      <c r="B14" s="234"/>
      <c r="C14" s="241"/>
      <c r="D14" s="236" t="s">
        <v>66</v>
      </c>
      <c r="E14" s="236" t="s">
        <v>1785</v>
      </c>
      <c r="F14" s="242" t="s">
        <v>1705</v>
      </c>
      <c r="G14" s="232" t="s">
        <v>1706</v>
      </c>
      <c r="H14" s="237">
        <v>2</v>
      </c>
      <c r="I14" s="243" t="s">
        <v>1707</v>
      </c>
      <c r="J14" s="244">
        <v>5.7</v>
      </c>
      <c r="K14" s="245"/>
    </row>
    <row r="15" spans="2:12" s="213" customFormat="1" ht="18" customHeight="1" x14ac:dyDescent="0.2">
      <c r="B15" s="234"/>
      <c r="C15" s="1303" t="s">
        <v>1708</v>
      </c>
      <c r="D15" s="368">
        <v>2</v>
      </c>
      <c r="E15" s="341" t="str">
        <f>IF('Brewhouse Setup &amp; Calcs'!$C$2="Metric",'Grain &amp; Sugar Calcs'!C5,"NA")</f>
        <v>NA</v>
      </c>
      <c r="F15" s="246">
        <v>0</v>
      </c>
      <c r="G15" s="247">
        <f>IF(D15=10,5.22-0.00504*F15,VLOOKUP(D15,H$13:J$23,3,FALSE))</f>
        <v>5.7</v>
      </c>
      <c r="H15" s="237">
        <v>3</v>
      </c>
      <c r="I15" s="243" t="s">
        <v>1709</v>
      </c>
      <c r="J15" s="244">
        <v>5.79</v>
      </c>
      <c r="K15" s="245"/>
    </row>
    <row r="16" spans="2:12" s="213" customFormat="1" ht="18" customHeight="1" x14ac:dyDescent="0.2">
      <c r="B16" s="234"/>
      <c r="C16" s="1303"/>
      <c r="D16" s="368">
        <v>5</v>
      </c>
      <c r="E16" s="341" t="str">
        <f>IF('Brewhouse Setup &amp; Calcs'!$C$2="Metric",'Grain &amp; Sugar Calcs'!C6,"NA")</f>
        <v>NA</v>
      </c>
      <c r="F16" s="246">
        <v>0</v>
      </c>
      <c r="G16" s="247">
        <f t="shared" ref="G16:G21" si="0">IF(D16=10,5.22-0.00504*F16,VLOOKUP(D16,H$13:J$23,3,FALSE))</f>
        <v>5.43</v>
      </c>
      <c r="H16" s="237">
        <v>4</v>
      </c>
      <c r="I16" s="243" t="s">
        <v>1710</v>
      </c>
      <c r="J16" s="244">
        <v>5.77</v>
      </c>
      <c r="K16" s="245"/>
    </row>
    <row r="17" spans="2:12" s="213" customFormat="1" ht="18" customHeight="1" x14ac:dyDescent="0.2">
      <c r="B17" s="234"/>
      <c r="C17" s="1303"/>
      <c r="D17" s="368">
        <v>1</v>
      </c>
      <c r="E17" s="341" t="str">
        <f>IF('Brewhouse Setup &amp; Calcs'!$C$2="Metric",'Grain &amp; Sugar Calcs'!C7,"NA")</f>
        <v>NA</v>
      </c>
      <c r="F17" s="246">
        <v>40</v>
      </c>
      <c r="G17" s="247">
        <f t="shared" si="0"/>
        <v>0</v>
      </c>
      <c r="H17" s="237">
        <v>5</v>
      </c>
      <c r="I17" s="243" t="s">
        <v>1711</v>
      </c>
      <c r="J17" s="244">
        <v>5.43</v>
      </c>
      <c r="K17" s="245"/>
    </row>
    <row r="18" spans="2:12" s="213" customFormat="1" ht="18" customHeight="1" x14ac:dyDescent="0.2">
      <c r="B18" s="234"/>
      <c r="C18" s="1303"/>
      <c r="D18" s="368">
        <v>1</v>
      </c>
      <c r="E18" s="341" t="str">
        <f>IF('Brewhouse Setup &amp; Calcs'!$C$2="Metric",'Grain &amp; Sugar Calcs'!C8,"NA")</f>
        <v>NA</v>
      </c>
      <c r="F18" s="246">
        <v>0</v>
      </c>
      <c r="G18" s="247">
        <f t="shared" si="0"/>
        <v>0</v>
      </c>
      <c r="H18" s="237">
        <v>6</v>
      </c>
      <c r="I18" s="243" t="s">
        <v>1712</v>
      </c>
      <c r="J18" s="244">
        <v>5.75</v>
      </c>
      <c r="K18" s="245"/>
    </row>
    <row r="19" spans="2:12" s="213" customFormat="1" ht="18" customHeight="1" x14ac:dyDescent="0.2">
      <c r="B19" s="234"/>
      <c r="C19" s="1303"/>
      <c r="D19" s="368">
        <v>1</v>
      </c>
      <c r="E19" s="341" t="str">
        <f>IF('Brewhouse Setup &amp; Calcs'!$C$2="Metric",'Grain &amp; Sugar Calcs'!C9,"NA")</f>
        <v>NA</v>
      </c>
      <c r="F19" s="246">
        <v>0</v>
      </c>
      <c r="G19" s="247">
        <f t="shared" si="0"/>
        <v>0</v>
      </c>
      <c r="H19" s="237">
        <v>7</v>
      </c>
      <c r="I19" s="243" t="s">
        <v>1713</v>
      </c>
      <c r="J19" s="244">
        <v>6.04</v>
      </c>
      <c r="K19" s="245"/>
    </row>
    <row r="20" spans="2:12" s="213" customFormat="1" ht="18" customHeight="1" x14ac:dyDescent="0.2">
      <c r="B20" s="234"/>
      <c r="C20" s="1303"/>
      <c r="D20" s="368">
        <v>1</v>
      </c>
      <c r="E20" s="341" t="str">
        <f>IF('Brewhouse Setup &amp; Calcs'!$C$2="Metric",'Grain &amp; Sugar Calcs'!C10,"NA")</f>
        <v>NA</v>
      </c>
      <c r="F20" s="246">
        <v>0</v>
      </c>
      <c r="G20" s="247">
        <f t="shared" si="0"/>
        <v>0</v>
      </c>
      <c r="H20" s="237">
        <v>8</v>
      </c>
      <c r="I20" s="243" t="s">
        <v>1714</v>
      </c>
      <c r="J20" s="244">
        <v>5.56</v>
      </c>
      <c r="K20" s="245"/>
    </row>
    <row r="21" spans="2:12" s="213" customFormat="1" ht="18" customHeight="1" x14ac:dyDescent="0.2">
      <c r="B21" s="234"/>
      <c r="C21" s="1303"/>
      <c r="D21" s="368">
        <v>1</v>
      </c>
      <c r="E21" s="341" t="str">
        <f>IF('Brewhouse Setup &amp; Calcs'!$C$2="Metric",'Grain &amp; Sugar Calcs'!C11,"NA")</f>
        <v>NA</v>
      </c>
      <c r="F21" s="246">
        <v>0</v>
      </c>
      <c r="G21" s="247">
        <f t="shared" si="0"/>
        <v>0</v>
      </c>
      <c r="H21" s="237">
        <v>9</v>
      </c>
      <c r="I21" s="243" t="s">
        <v>1715</v>
      </c>
      <c r="J21" s="244">
        <v>5.7</v>
      </c>
      <c r="K21" s="245"/>
    </row>
    <row r="22" spans="2:12" s="213" customFormat="1" ht="18" customHeight="1" x14ac:dyDescent="0.2">
      <c r="B22" s="234"/>
      <c r="C22" s="1303"/>
      <c r="D22" s="368">
        <v>1</v>
      </c>
      <c r="E22" s="341" t="str">
        <f>IF('Brewhouse Setup &amp; Calcs'!$C$2="Metric",'Grain &amp; Sugar Calcs'!C12,"NA")</f>
        <v>NA</v>
      </c>
      <c r="F22" s="246">
        <v>1</v>
      </c>
      <c r="G22" s="247">
        <f t="shared" ref="G22:G24" si="1">IF(D22=10,5.22-0.00504*F22,VLOOKUP(D22,H$13:J$23,3,FALSE))</f>
        <v>0</v>
      </c>
      <c r="H22" s="237">
        <v>10</v>
      </c>
      <c r="I22" s="243" t="s">
        <v>1716</v>
      </c>
      <c r="J22" s="244" t="s">
        <v>1717</v>
      </c>
      <c r="K22" s="245"/>
    </row>
    <row r="23" spans="2:12" s="213" customFormat="1" ht="18" customHeight="1" x14ac:dyDescent="0.2">
      <c r="B23" s="234"/>
      <c r="C23" s="1303"/>
      <c r="D23" s="368">
        <v>5</v>
      </c>
      <c r="E23" s="341" t="str">
        <f>IF('Brewhouse Setup &amp; Calcs'!$C$2="Metric",'Grain &amp; Sugar Calcs'!C13,"NA")</f>
        <v>NA</v>
      </c>
      <c r="F23" s="246">
        <v>2</v>
      </c>
      <c r="G23" s="247">
        <f t="shared" si="1"/>
        <v>5.43</v>
      </c>
      <c r="H23" s="237">
        <v>11</v>
      </c>
      <c r="I23" s="248" t="s">
        <v>1718</v>
      </c>
      <c r="J23" s="249">
        <v>4.71</v>
      </c>
      <c r="K23" s="245"/>
    </row>
    <row r="24" spans="2:12" s="213" customFormat="1" ht="18" customHeight="1" x14ac:dyDescent="0.2">
      <c r="B24" s="234"/>
      <c r="C24" s="523"/>
      <c r="D24" s="524">
        <v>5</v>
      </c>
      <c r="E24" s="341" t="str">
        <f>IF('Brewhouse Setup &amp; Calcs'!$C$2="Metric",'Grain &amp; Sugar Calcs'!C14,"NA")</f>
        <v>NA</v>
      </c>
      <c r="F24" s="246">
        <v>3</v>
      </c>
      <c r="G24" s="247">
        <f t="shared" si="1"/>
        <v>5.43</v>
      </c>
      <c r="H24" s="237"/>
      <c r="I24" s="526"/>
      <c r="J24" s="525"/>
      <c r="K24" s="245"/>
    </row>
    <row r="25" spans="2:12" s="213" customFormat="1" ht="15" customHeight="1" x14ac:dyDescent="0.2">
      <c r="B25" s="234"/>
      <c r="C25" s="250"/>
      <c r="D25" s="251" t="s">
        <v>1786</v>
      </c>
      <c r="E25" s="252">
        <f>SUM(E15:E23)</f>
        <v>0</v>
      </c>
      <c r="F25" s="253"/>
      <c r="G25" s="254"/>
      <c r="H25" s="1313" t="s">
        <v>1720</v>
      </c>
      <c r="I25" s="1314"/>
      <c r="J25" s="1314"/>
      <c r="K25" s="1315"/>
    </row>
    <row r="26" spans="2:12" s="213" customFormat="1" ht="15" customHeight="1" x14ac:dyDescent="0.2">
      <c r="B26" s="234"/>
      <c r="C26" s="250"/>
      <c r="D26" s="237" t="s">
        <v>1787</v>
      </c>
      <c r="E26" s="255">
        <f>E25*2.20462</f>
        <v>0</v>
      </c>
      <c r="F26" s="256"/>
      <c r="G26" s="254"/>
      <c r="H26" s="1314"/>
      <c r="I26" s="1314"/>
      <c r="J26" s="1314"/>
      <c r="K26" s="1315"/>
    </row>
    <row r="27" spans="2:12" s="213" customFormat="1" ht="15" customHeight="1" x14ac:dyDescent="0.2">
      <c r="B27" s="234"/>
      <c r="C27" s="250"/>
      <c r="D27" s="251" t="s">
        <v>1721</v>
      </c>
      <c r="E27" s="252" t="e">
        <f>ROUND(D8/E25,2)&amp;" l/kg"</f>
        <v>#VALUE!</v>
      </c>
      <c r="F27" s="256"/>
      <c r="G27" s="254"/>
      <c r="H27" s="1314"/>
      <c r="I27" s="1314"/>
      <c r="J27" s="1314"/>
      <c r="K27" s="1315"/>
    </row>
    <row r="28" spans="2:12" ht="15" customHeight="1" thickBot="1" x14ac:dyDescent="0.25">
      <c r="B28" s="257"/>
      <c r="C28" s="258"/>
      <c r="D28" s="259"/>
      <c r="E28" s="232" t="e">
        <f>ROUND(D9*4/E26,2)&amp;" qt/lb"</f>
        <v>#VALUE!</v>
      </c>
      <c r="F28" s="260"/>
      <c r="G28" s="260"/>
      <c r="H28" s="1316"/>
      <c r="I28" s="1316"/>
      <c r="J28" s="1316"/>
      <c r="K28" s="1317"/>
      <c r="L28" s="200"/>
    </row>
    <row r="29" spans="2:12" ht="14.25" customHeight="1" x14ac:dyDescent="0.2">
      <c r="B29" s="261"/>
      <c r="C29" s="262" t="s">
        <v>1722</v>
      </c>
      <c r="D29" s="263"/>
      <c r="E29" s="264"/>
      <c r="F29" s="265"/>
      <c r="G29" s="265"/>
      <c r="H29" s="1318" t="s">
        <v>1723</v>
      </c>
      <c r="I29" s="1318"/>
      <c r="J29" s="1318"/>
      <c r="K29" s="1319"/>
      <c r="L29" s="200"/>
    </row>
    <row r="30" spans="2:12" ht="15" customHeight="1" x14ac:dyDescent="0.2">
      <c r="B30" s="266"/>
      <c r="C30" s="267"/>
      <c r="D30" s="1322" t="s">
        <v>1724</v>
      </c>
      <c r="E30" s="1322" t="s">
        <v>1725</v>
      </c>
      <c r="F30" s="1326" t="s">
        <v>1726</v>
      </c>
      <c r="G30" s="1328" t="s">
        <v>1727</v>
      </c>
      <c r="H30" s="1320"/>
      <c r="I30" s="1320"/>
      <c r="J30" s="1320"/>
      <c r="K30" s="1321"/>
      <c r="L30" s="200"/>
    </row>
    <row r="31" spans="2:12" ht="15" customHeight="1" x14ac:dyDescent="0.2">
      <c r="B31" s="266"/>
      <c r="C31" s="268"/>
      <c r="D31" s="1322"/>
      <c r="E31" s="1324"/>
      <c r="F31" s="1326"/>
      <c r="G31" s="1328"/>
      <c r="H31" s="1320"/>
      <c r="I31" s="1320"/>
      <c r="J31" s="1320"/>
      <c r="K31" s="1321"/>
      <c r="L31" s="200"/>
    </row>
    <row r="32" spans="2:12" ht="15" customHeight="1" thickBot="1" x14ac:dyDescent="0.25">
      <c r="B32" s="266"/>
      <c r="C32" s="269"/>
      <c r="D32" s="1323"/>
      <c r="E32" s="1325"/>
      <c r="F32" s="1327"/>
      <c r="G32" s="1329"/>
      <c r="H32" s="270"/>
      <c r="I32" s="270"/>
      <c r="J32" s="270"/>
      <c r="K32" s="271"/>
      <c r="L32" s="200"/>
    </row>
    <row r="33" spans="2:12" ht="27.75" customHeight="1" thickTop="1" thickBot="1" x14ac:dyDescent="0.25">
      <c r="B33" s="266"/>
      <c r="C33" s="272"/>
      <c r="D33" s="273" t="e">
        <f>(1-D$10)*I$5*IF(K$3=1,50/61,IF(OR(K$3=0,K$3=2),1,"ERROR"))+(F$45*130+E$45*157-176.1*J38*J37*2-4160.4*H37*H39*2.5+D$45*357)/D$9</f>
        <v>#VALUE!</v>
      </c>
      <c r="E33" s="274" t="e">
        <f>D33-((D52/1.4)+(E52/1.7))</f>
        <v>#VALUE!</v>
      </c>
      <c r="F33" s="275" t="e">
        <f>(E15*G15+E16*G16+E17*G17+E18*G18+E19*G19+E20*G20+E21*G21+E22*G22+E23*G23)/E25+(0.1085*D9/E26+0.013)*E33/50</f>
        <v>#VALUE!</v>
      </c>
      <c r="G33" s="276" t="s">
        <v>1728</v>
      </c>
      <c r="H33" s="1320" t="s">
        <v>1729</v>
      </c>
      <c r="I33" s="1330"/>
      <c r="J33" s="1330"/>
      <c r="K33" s="1331"/>
      <c r="L33" s="200"/>
    </row>
    <row r="34" spans="2:12" ht="15" customHeight="1" thickTop="1" thickBot="1" x14ac:dyDescent="0.25">
      <c r="B34" s="277"/>
      <c r="C34" s="278"/>
      <c r="D34" s="278"/>
      <c r="E34" s="278"/>
      <c r="F34" s="278"/>
      <c r="G34" s="279"/>
      <c r="H34" s="1332"/>
      <c r="I34" s="1332"/>
      <c r="J34" s="1332"/>
      <c r="K34" s="1333"/>
      <c r="L34" s="200"/>
    </row>
    <row r="35" spans="2:12" ht="15" customHeight="1" x14ac:dyDescent="0.2">
      <c r="B35" s="280"/>
      <c r="C35" s="281" t="s">
        <v>1730</v>
      </c>
      <c r="D35" s="282"/>
      <c r="E35" s="282"/>
      <c r="F35" s="282"/>
      <c r="G35" s="282"/>
      <c r="H35" s="282"/>
      <c r="I35" s="283"/>
      <c r="J35" s="284"/>
      <c r="K35" s="285"/>
      <c r="L35" s="200"/>
    </row>
    <row r="36" spans="2:12" ht="15" customHeight="1" x14ac:dyDescent="0.2">
      <c r="B36" s="286"/>
      <c r="C36" s="287"/>
      <c r="D36" s="288" t="s">
        <v>1731</v>
      </c>
      <c r="E36" s="288" t="s">
        <v>1732</v>
      </c>
      <c r="F36" s="288" t="s">
        <v>1733</v>
      </c>
      <c r="G36" s="289"/>
      <c r="H36" s="289" t="s">
        <v>1734</v>
      </c>
      <c r="I36" s="290"/>
      <c r="J36" s="289" t="s">
        <v>1735</v>
      </c>
      <c r="K36" s="291"/>
      <c r="L36" s="200"/>
    </row>
    <row r="37" spans="2:12" ht="15" customHeight="1" x14ac:dyDescent="0.2">
      <c r="B37" s="286"/>
      <c r="C37" s="292" t="s">
        <v>1736</v>
      </c>
      <c r="D37" s="289" t="s">
        <v>1737</v>
      </c>
      <c r="E37" s="289" t="s">
        <v>1738</v>
      </c>
      <c r="F37" s="289" t="s">
        <v>1739</v>
      </c>
      <c r="G37" s="293" t="s">
        <v>1740</v>
      </c>
      <c r="H37" s="146">
        <v>0.02</v>
      </c>
      <c r="I37" s="294" t="s">
        <v>1740</v>
      </c>
      <c r="J37" s="148">
        <v>0.88</v>
      </c>
      <c r="K37" s="291"/>
      <c r="L37" s="200"/>
    </row>
    <row r="38" spans="2:12" s="213" customFormat="1" ht="18" customHeight="1" x14ac:dyDescent="0.2">
      <c r="B38" s="295"/>
      <c r="C38" s="293" t="s">
        <v>1741</v>
      </c>
      <c r="D38" s="373"/>
      <c r="E38" s="373"/>
      <c r="F38" s="373"/>
      <c r="G38" s="294" t="s">
        <v>1788</v>
      </c>
      <c r="H38" s="361">
        <v>0</v>
      </c>
      <c r="I38" s="294" t="s">
        <v>1743</v>
      </c>
      <c r="J38" s="373">
        <v>0</v>
      </c>
      <c r="K38" s="296"/>
    </row>
    <row r="39" spans="2:12" ht="18" customHeight="1" x14ac:dyDescent="0.2">
      <c r="B39" s="286"/>
      <c r="C39" s="293" t="s">
        <v>1744</v>
      </c>
      <c r="D39" s="367" t="b">
        <v>1</v>
      </c>
      <c r="E39" s="367" t="b">
        <v>1</v>
      </c>
      <c r="F39" s="367" t="b">
        <v>1</v>
      </c>
      <c r="G39" s="297" t="s">
        <v>1742</v>
      </c>
      <c r="H39" s="298">
        <f>H38/28.34952</f>
        <v>0</v>
      </c>
      <c r="I39" s="299" t="s">
        <v>1745</v>
      </c>
      <c r="J39" s="290"/>
      <c r="K39" s="291"/>
      <c r="L39" s="200"/>
    </row>
    <row r="40" spans="2:12" s="213" customFormat="1" ht="18" customHeight="1" x14ac:dyDescent="0.2">
      <c r="B40" s="295"/>
      <c r="C40" s="293" t="s">
        <v>1746</v>
      </c>
      <c r="D40" s="300" t="e">
        <f>IF(D39,D38/$D8*$E8,0)</f>
        <v>#VALUE!</v>
      </c>
      <c r="E40" s="300" t="e">
        <f>IF(E39,E38/$D8*$E8,0)</f>
        <v>#VALUE!</v>
      </c>
      <c r="F40" s="300" t="e">
        <f>IF(F39,F38/$D8*$E8,0)</f>
        <v>#VALUE!</v>
      </c>
      <c r="G40" s="301"/>
      <c r="H40" s="302" t="e">
        <f>"("&amp;ROUND(100*H38/E25/1000,1)&amp;"% of total wt)"</f>
        <v>#DIV/0!</v>
      </c>
      <c r="I40" s="303" t="s">
        <v>1789</v>
      </c>
      <c r="J40" s="304"/>
      <c r="K40" s="305"/>
    </row>
    <row r="41" spans="2:12" s="213" customFormat="1" ht="15" customHeight="1" thickBot="1" x14ac:dyDescent="0.25">
      <c r="B41" s="295"/>
      <c r="C41" s="306" t="s">
        <v>1748</v>
      </c>
      <c r="D41" s="301"/>
      <c r="E41" s="301"/>
      <c r="F41" s="301"/>
      <c r="G41" s="301"/>
      <c r="H41" s="307"/>
      <c r="I41" s="304"/>
      <c r="J41" s="308"/>
      <c r="K41" s="309"/>
    </row>
    <row r="42" spans="2:12" s="213" customFormat="1" ht="15" customHeight="1" x14ac:dyDescent="0.2">
      <c r="B42" s="310"/>
      <c r="C42" s="281" t="s">
        <v>1749</v>
      </c>
      <c r="D42" s="311"/>
      <c r="E42" s="311"/>
      <c r="F42" s="311"/>
      <c r="G42" s="1334" t="s">
        <v>1750</v>
      </c>
      <c r="H42" s="1334"/>
      <c r="I42" s="1334"/>
      <c r="J42" s="1334"/>
      <c r="K42" s="1335"/>
    </row>
    <row r="43" spans="2:12" s="213" customFormat="1" ht="15" customHeight="1" x14ac:dyDescent="0.2">
      <c r="B43" s="295"/>
      <c r="C43" s="293"/>
      <c r="D43" s="288" t="s">
        <v>1751</v>
      </c>
      <c r="E43" s="288" t="s">
        <v>1752</v>
      </c>
      <c r="F43" s="312" t="s">
        <v>1753</v>
      </c>
      <c r="G43" s="1336"/>
      <c r="H43" s="1336"/>
      <c r="I43" s="1336"/>
      <c r="J43" s="1336"/>
      <c r="K43" s="1337"/>
    </row>
    <row r="44" spans="2:12" s="213" customFormat="1" ht="15" customHeight="1" x14ac:dyDescent="0.2">
      <c r="B44" s="286"/>
      <c r="C44" s="292" t="s">
        <v>1736</v>
      </c>
      <c r="D44" s="289" t="s">
        <v>1754</v>
      </c>
      <c r="E44" s="289" t="s">
        <v>1755</v>
      </c>
      <c r="F44" s="313" t="s">
        <v>1756</v>
      </c>
      <c r="G44" s="1336"/>
      <c r="H44" s="1336"/>
      <c r="I44" s="1336"/>
      <c r="J44" s="1336"/>
      <c r="K44" s="1337"/>
    </row>
    <row r="45" spans="2:12" s="213" customFormat="1" ht="18" customHeight="1" x14ac:dyDescent="0.2">
      <c r="B45" s="295"/>
      <c r="C45" s="293" t="s">
        <v>1741</v>
      </c>
      <c r="D45" s="373"/>
      <c r="E45" s="373"/>
      <c r="F45" s="373"/>
      <c r="G45" s="314"/>
      <c r="H45" s="314"/>
      <c r="I45" s="314"/>
      <c r="J45" s="301"/>
      <c r="K45" s="296"/>
    </row>
    <row r="46" spans="2:12" s="213" customFormat="1" ht="18" customHeight="1" x14ac:dyDescent="0.2">
      <c r="B46" s="286"/>
      <c r="C46" s="293" t="s">
        <v>1744</v>
      </c>
      <c r="D46" s="367" t="b">
        <v>1</v>
      </c>
      <c r="E46" s="367" t="b">
        <v>1</v>
      </c>
      <c r="F46" s="367" t="b">
        <v>1</v>
      </c>
      <c r="G46" s="314"/>
      <c r="H46" s="314"/>
      <c r="I46" s="314"/>
      <c r="J46" s="301"/>
      <c r="K46" s="296"/>
    </row>
    <row r="47" spans="2:12" s="213" customFormat="1" ht="18" customHeight="1" x14ac:dyDescent="0.2">
      <c r="B47" s="295"/>
      <c r="C47" s="293" t="s">
        <v>1746</v>
      </c>
      <c r="D47" s="300" t="e">
        <f>IF(D46,D45/$D8*$E8,0)</f>
        <v>#VALUE!</v>
      </c>
      <c r="E47" s="300" t="e">
        <f>IF(E46,E45/$D8*$E8,0)</f>
        <v>#VALUE!</v>
      </c>
      <c r="F47" s="300" t="e">
        <f>IF(F46,F45/$D8*$E8,0)</f>
        <v>#VALUE!</v>
      </c>
      <c r="G47" s="301"/>
      <c r="H47" s="289"/>
      <c r="I47" s="289"/>
      <c r="J47" s="301"/>
      <c r="K47" s="296"/>
    </row>
    <row r="48" spans="2:12" ht="15" customHeight="1" thickBot="1" x14ac:dyDescent="0.25">
      <c r="B48" s="295"/>
      <c r="C48" s="306" t="s">
        <v>1748</v>
      </c>
      <c r="D48" s="315"/>
      <c r="E48" s="315"/>
      <c r="F48" s="316"/>
      <c r="G48" s="317"/>
      <c r="H48" s="315"/>
      <c r="I48" s="316"/>
      <c r="J48" s="316"/>
      <c r="K48" s="318"/>
      <c r="L48" s="200"/>
    </row>
    <row r="49" spans="2:14" ht="15" customHeight="1" x14ac:dyDescent="0.2">
      <c r="B49" s="201"/>
      <c r="C49" s="202" t="s">
        <v>1757</v>
      </c>
      <c r="D49" s="203"/>
      <c r="E49" s="203"/>
      <c r="F49" s="203"/>
      <c r="G49" s="203"/>
      <c r="H49" s="203"/>
      <c r="I49" s="203"/>
      <c r="J49" s="203"/>
      <c r="K49" s="319"/>
      <c r="L49" s="200"/>
    </row>
    <row r="50" spans="2:14" ht="15" customHeight="1" x14ac:dyDescent="0.2">
      <c r="B50" s="205"/>
      <c r="C50" s="206"/>
      <c r="D50" s="207" t="s">
        <v>1675</v>
      </c>
      <c r="E50" s="207" t="s">
        <v>1676</v>
      </c>
      <c r="F50" s="207" t="s">
        <v>1677</v>
      </c>
      <c r="G50" s="207" t="s">
        <v>1678</v>
      </c>
      <c r="H50" s="207" t="s">
        <v>1679</v>
      </c>
      <c r="I50" s="1338" t="s">
        <v>1758</v>
      </c>
      <c r="J50" s="1338"/>
      <c r="K50" s="320"/>
      <c r="L50" s="200"/>
    </row>
    <row r="51" spans="2:14" s="321" customFormat="1" ht="15" customHeight="1" x14ac:dyDescent="0.3">
      <c r="B51" s="322"/>
      <c r="C51" s="323"/>
      <c r="D51" s="207" t="s">
        <v>1682</v>
      </c>
      <c r="E51" s="207" t="s">
        <v>1683</v>
      </c>
      <c r="F51" s="207" t="s">
        <v>1684</v>
      </c>
      <c r="G51" s="207" t="s">
        <v>1685</v>
      </c>
      <c r="H51" s="207" t="s">
        <v>1686</v>
      </c>
      <c r="I51" s="1339" t="s">
        <v>1759</v>
      </c>
      <c r="J51" s="1339"/>
      <c r="K51" s="212"/>
      <c r="L51" s="213"/>
      <c r="M51" s="213"/>
    </row>
    <row r="52" spans="2:14" s="213" customFormat="1" ht="18" customHeight="1" thickBot="1" x14ac:dyDescent="0.25">
      <c r="B52" s="209"/>
      <c r="C52" s="221" t="s">
        <v>1760</v>
      </c>
      <c r="D52" s="324" t="e">
        <f>(1-D$10)*D$5+(F$45*105.89+D$38*60+E$38*72+D$45*143)/D$9</f>
        <v>#VALUE!</v>
      </c>
      <c r="E52" s="324" t="e">
        <f>(1-D$10)*E$5+F$38*24.6/D$9</f>
        <v>#VALUE!</v>
      </c>
      <c r="F52" s="324" t="e">
        <f>(1-D$10)*F$5+E$45*72.3/D$9</f>
        <v>#VALUE!</v>
      </c>
      <c r="G52" s="324" t="e">
        <f>(1-D$10)*G$5+E$38*127.47/D$9</f>
        <v>#VALUE!</v>
      </c>
      <c r="H52" s="324" t="e">
        <f>(1-D$10)*H$5+(D$38*147.4+F$38*103)/D$9</f>
        <v>#VALUE!</v>
      </c>
      <c r="I52" s="1340" t="e">
        <f>G52/H52</f>
        <v>#VALUE!</v>
      </c>
      <c r="J52" s="1341"/>
      <c r="K52" s="212"/>
    </row>
    <row r="53" spans="2:14" s="213" customFormat="1" ht="18" customHeight="1" thickBot="1" x14ac:dyDescent="0.25">
      <c r="B53" s="209"/>
      <c r="C53" s="221" t="s">
        <v>1761</v>
      </c>
      <c r="D53" s="325" t="e">
        <f>IF(E8=0,D52,(1-(((D$10*D$9)+(E$10*E$9))/(D$9+E$9)))*D$5+((F$45+F$47)*105.89+(D$38+D$40)*60+(E$38+E$40)*72+(D$45+D$47)*143)/(D$9+E$9))</f>
        <v>#VALUE!</v>
      </c>
      <c r="E53" s="325" t="e">
        <f>IF(E8=0,E52,(1-(((D$10*D$9)+(E$10*E$9))/(D$9+E$9)))*E$5+(F$38+F$40)*24.6/(D$9+E$9))</f>
        <v>#VALUE!</v>
      </c>
      <c r="F53" s="325" t="e">
        <f>IF(E8=0,F52,(1-(((D$10*D$9)+(E$10*E$9))/(D$9+E$9)))*F$5+(E$45+E$47)*72.3/(D$9+E$9))</f>
        <v>#VALUE!</v>
      </c>
      <c r="G53" s="325" t="e">
        <f>IF(E8=0,G52,(1-(((D$10*D$9)+(E$10*E$9))/(D$9+E$9)))*G$5+(E$38+E$40)*127.47/(D$9+E$9))</f>
        <v>#VALUE!</v>
      </c>
      <c r="H53" s="325" t="e">
        <f>IF(E8=0,H52,(1-(((D$10*D$9)+(E$10*E$9))/(D$9+E$9)))*H$5+((D$38+D$40)*147.4+(F$38+F$40)*103)/(D$9+E$9))</f>
        <v>#VALUE!</v>
      </c>
      <c r="I53" s="1311" t="e">
        <f>G53/H53</f>
        <v>#VALUE!</v>
      </c>
      <c r="J53" s="1312"/>
      <c r="K53" s="212"/>
      <c r="M53" s="200"/>
    </row>
    <row r="54" spans="2:14" ht="18" customHeight="1" x14ac:dyDescent="0.2">
      <c r="B54" s="205"/>
      <c r="C54" s="326" t="s">
        <v>1762</v>
      </c>
      <c r="D54" s="327" t="s">
        <v>1763</v>
      </c>
      <c r="E54" s="328" t="s">
        <v>1764</v>
      </c>
      <c r="F54" s="327" t="s">
        <v>1765</v>
      </c>
      <c r="G54" s="327" t="s">
        <v>1766</v>
      </c>
      <c r="H54" s="329" t="s">
        <v>1767</v>
      </c>
      <c r="I54" s="1342" t="e">
        <f>IF(I53&lt;0.77,"Below .77, May enhance bitterness", IF(I53&lt;1.3,".77 to 1.3 = Balanced","Above 1.3 may enhance maltiness"))</f>
        <v>#VALUE!</v>
      </c>
      <c r="J54" s="1343"/>
      <c r="K54" s="320"/>
      <c r="L54" s="200"/>
    </row>
    <row r="55" spans="2:14" ht="15" customHeight="1" x14ac:dyDescent="0.2">
      <c r="B55" s="205"/>
      <c r="C55" s="1344" t="s">
        <v>1768</v>
      </c>
      <c r="D55" s="1344"/>
      <c r="E55" s="1344"/>
      <c r="F55" s="1344"/>
      <c r="G55" s="1344"/>
      <c r="H55" s="1344"/>
      <c r="I55" s="1344"/>
      <c r="J55" s="1344"/>
      <c r="K55" s="1345"/>
      <c r="L55" s="200"/>
      <c r="M55" s="213"/>
      <c r="N55" s="213"/>
    </row>
    <row r="56" spans="2:14" ht="15" customHeight="1" thickBot="1" x14ac:dyDescent="0.25">
      <c r="B56" s="330"/>
      <c r="C56" s="1346"/>
      <c r="D56" s="1346"/>
      <c r="E56" s="1346"/>
      <c r="F56" s="1346"/>
      <c r="G56" s="1346"/>
      <c r="H56" s="1346"/>
      <c r="I56" s="1347"/>
      <c r="J56" s="1347"/>
      <c r="K56" s="1348"/>
    </row>
    <row r="57" spans="2:14" s="331" customFormat="1" ht="15" customHeight="1" x14ac:dyDescent="0.2">
      <c r="C57" s="332"/>
      <c r="D57" s="332"/>
      <c r="E57" s="332"/>
      <c r="F57" s="332"/>
      <c r="G57" s="332"/>
      <c r="H57" s="332"/>
      <c r="I57" s="333"/>
      <c r="J57" s="333"/>
      <c r="K57" s="333"/>
    </row>
    <row r="58" spans="2:14" s="331" customFormat="1" ht="23.25" customHeight="1" x14ac:dyDescent="0.2">
      <c r="C58" s="1349" t="s">
        <v>1769</v>
      </c>
      <c r="D58" s="1349"/>
      <c r="E58" s="1349"/>
      <c r="F58" s="1349"/>
      <c r="G58" s="1349"/>
      <c r="H58" s="1349"/>
      <c r="I58" s="1349"/>
      <c r="J58" s="1349"/>
      <c r="K58" s="1349"/>
    </row>
    <row r="59" spans="2:14" ht="15" customHeight="1" x14ac:dyDescent="0.2">
      <c r="C59" s="334"/>
      <c r="D59" s="334"/>
      <c r="E59" s="334"/>
      <c r="F59" s="334"/>
      <c r="G59" s="334"/>
      <c r="H59" s="334"/>
      <c r="I59" s="200"/>
      <c r="J59" s="200"/>
      <c r="K59" s="200"/>
    </row>
    <row r="60" spans="2:14" ht="15" customHeight="1" x14ac:dyDescent="0.2">
      <c r="C60" s="334"/>
      <c r="D60" s="335" t="s">
        <v>1770</v>
      </c>
      <c r="E60" s="336"/>
      <c r="F60" s="336"/>
      <c r="G60" s="334"/>
      <c r="H60" s="334"/>
      <c r="I60" s="200"/>
      <c r="J60" s="200"/>
      <c r="K60" s="200"/>
    </row>
    <row r="61" spans="2:14" ht="15" customHeight="1" x14ac:dyDescent="0.2">
      <c r="C61" s="334"/>
      <c r="D61" s="336"/>
      <c r="E61" s="336"/>
      <c r="F61" s="336"/>
      <c r="G61" s="334"/>
      <c r="H61" s="334"/>
      <c r="I61" s="200"/>
      <c r="J61" s="200"/>
      <c r="K61" s="200"/>
    </row>
    <row r="62" spans="2:14" ht="15" customHeight="1" x14ac:dyDescent="0.2">
      <c r="C62" s="334"/>
      <c r="D62" s="336"/>
      <c r="E62" s="336"/>
      <c r="F62" s="336"/>
      <c r="G62" s="334"/>
      <c r="H62" s="334"/>
      <c r="I62" s="200"/>
      <c r="J62" s="200"/>
      <c r="K62" s="200"/>
    </row>
    <row r="63" spans="2:14" ht="15" customHeight="1" x14ac:dyDescent="0.2">
      <c r="C63" s="334"/>
      <c r="D63" s="336"/>
      <c r="E63" s="336"/>
      <c r="F63" s="334"/>
      <c r="G63" s="334"/>
      <c r="H63" s="334"/>
      <c r="I63" s="200"/>
      <c r="J63" s="200"/>
      <c r="K63" s="200"/>
    </row>
    <row r="64" spans="2:14" ht="15" customHeight="1" x14ac:dyDescent="0.2">
      <c r="C64" s="335" t="s">
        <v>1771</v>
      </c>
      <c r="D64" s="336"/>
      <c r="E64" s="336"/>
      <c r="F64" s="334"/>
      <c r="G64" s="334"/>
      <c r="H64" s="334"/>
      <c r="I64" s="200"/>
      <c r="J64" s="200"/>
      <c r="K64" s="200"/>
    </row>
    <row r="65" spans="1:11" ht="41.25" customHeight="1" x14ac:dyDescent="0.2">
      <c r="C65" s="334"/>
      <c r="D65" s="336"/>
      <c r="E65" s="336"/>
      <c r="F65" s="334"/>
      <c r="G65" s="334"/>
      <c r="H65" s="334"/>
      <c r="I65" s="200"/>
      <c r="J65" s="200"/>
      <c r="K65" s="200"/>
    </row>
    <row r="66" spans="1:11" ht="21.75" customHeight="1" x14ac:dyDescent="0.25">
      <c r="C66" s="1350" t="s">
        <v>1772</v>
      </c>
      <c r="D66" s="1350"/>
      <c r="E66" s="1350"/>
      <c r="F66" s="1350"/>
      <c r="G66" s="1350"/>
      <c r="H66" s="1350"/>
      <c r="I66" s="1350"/>
      <c r="J66" s="1350"/>
    </row>
    <row r="67" spans="1:11" ht="12" customHeight="1" x14ac:dyDescent="0.2">
      <c r="C67" s="1351" t="s">
        <v>1773</v>
      </c>
      <c r="D67" s="1351"/>
      <c r="E67" s="1351"/>
      <c r="F67" s="1351"/>
      <c r="G67" s="1351"/>
      <c r="H67" s="1351"/>
      <c r="I67" s="1351"/>
      <c r="J67" s="1351"/>
      <c r="K67" s="1351"/>
    </row>
    <row r="68" spans="1:11" ht="12" customHeight="1" x14ac:dyDescent="0.2">
      <c r="C68" s="1291" t="s">
        <v>1774</v>
      </c>
      <c r="D68" s="1291"/>
      <c r="E68" s="1291"/>
      <c r="F68" s="1291"/>
      <c r="G68" s="1291"/>
      <c r="H68" s="1291"/>
      <c r="I68" s="1291"/>
      <c r="J68" s="1291"/>
      <c r="K68" s="1291"/>
    </row>
    <row r="69" spans="1:11" x14ac:dyDescent="0.2">
      <c r="A69" s="337"/>
      <c r="B69" s="337"/>
      <c r="C69" s="338" t="s">
        <v>1775</v>
      </c>
      <c r="D69" s="193"/>
      <c r="E69" s="193"/>
      <c r="F69" s="193"/>
      <c r="G69" s="339"/>
      <c r="H69" s="339"/>
      <c r="I69" s="339"/>
      <c r="J69" s="339"/>
      <c r="K69" s="339"/>
    </row>
    <row r="70" spans="1:11" x14ac:dyDescent="0.2">
      <c r="C70" s="1292" t="s">
        <v>1776</v>
      </c>
      <c r="D70" s="1292"/>
      <c r="E70" s="1292"/>
      <c r="F70" s="1292"/>
      <c r="G70" s="1292"/>
      <c r="H70" s="1292"/>
      <c r="I70" s="1292"/>
      <c r="J70" s="1292"/>
    </row>
    <row r="71" spans="1:11" x14ac:dyDescent="0.2">
      <c r="C71" s="338" t="s">
        <v>1777</v>
      </c>
      <c r="D71" s="197"/>
      <c r="E71" s="197"/>
      <c r="F71" s="197"/>
      <c r="G71" s="197"/>
      <c r="H71" s="197"/>
      <c r="I71" s="197"/>
      <c r="J71" s="197"/>
    </row>
    <row r="72" spans="1:11" x14ac:dyDescent="0.2">
      <c r="C72" s="1292" t="s">
        <v>1778</v>
      </c>
      <c r="D72" s="1292"/>
      <c r="E72" s="1292"/>
      <c r="F72" s="1292"/>
      <c r="G72" s="1292"/>
      <c r="H72" s="1292"/>
      <c r="I72" s="1292"/>
      <c r="J72" s="1292"/>
    </row>
    <row r="74" spans="1:11" x14ac:dyDescent="0.2">
      <c r="C74" s="198" t="s">
        <v>1779</v>
      </c>
    </row>
    <row r="75" spans="1:11" ht="12.75" customHeight="1" x14ac:dyDescent="0.2">
      <c r="C75" s="338" t="s">
        <v>1790</v>
      </c>
    </row>
    <row r="76" spans="1:11" x14ac:dyDescent="0.2">
      <c r="C76" s="198" t="s">
        <v>1781</v>
      </c>
    </row>
  </sheetData>
  <sheetProtection sheet="1" selectLockedCells="1"/>
  <mergeCells count="27">
    <mergeCell ref="C68:K68"/>
    <mergeCell ref="C70:J70"/>
    <mergeCell ref="C72:J72"/>
    <mergeCell ref="I54:J54"/>
    <mergeCell ref="C55:K55"/>
    <mergeCell ref="C56:K56"/>
    <mergeCell ref="C58:K58"/>
    <mergeCell ref="C66:J66"/>
    <mergeCell ref="C67:K67"/>
    <mergeCell ref="I53:J53"/>
    <mergeCell ref="H25:K28"/>
    <mergeCell ref="H29:K31"/>
    <mergeCell ref="D30:D32"/>
    <mergeCell ref="E30:E32"/>
    <mergeCell ref="F30:F32"/>
    <mergeCell ref="G30:G32"/>
    <mergeCell ref="H33:K34"/>
    <mergeCell ref="G42:K44"/>
    <mergeCell ref="I50:J50"/>
    <mergeCell ref="I51:J51"/>
    <mergeCell ref="I52:J52"/>
    <mergeCell ref="C15:C23"/>
    <mergeCell ref="C1:K1"/>
    <mergeCell ref="I3:J3"/>
    <mergeCell ref="K3:K4"/>
    <mergeCell ref="I4:J4"/>
    <mergeCell ref="I7:K11"/>
  </mergeCells>
  <conditionalFormatting sqref="D54">
    <cfRule type="expression" dxfId="6" priority="1" stopIfTrue="1">
      <formula>OR(D$53&lt;49.5,D$53&gt;150.5)</formula>
    </cfRule>
  </conditionalFormatting>
  <conditionalFormatting sqref="E54">
    <cfRule type="expression" dxfId="5" priority="2" stopIfTrue="1">
      <formula>OR(E$53&lt;9.5,E$53&gt;30.5)</formula>
    </cfRule>
  </conditionalFormatting>
  <conditionalFormatting sqref="F15:F24">
    <cfRule type="expression" dxfId="4" priority="6" stopIfTrue="1">
      <formula>AND($D15=10)</formula>
    </cfRule>
  </conditionalFormatting>
  <conditionalFormatting sqref="F54">
    <cfRule type="expression" dxfId="3" priority="3" stopIfTrue="1">
      <formula>OR(F$53&lt;0,F$53&gt;150.5)</formula>
    </cfRule>
  </conditionalFormatting>
  <conditionalFormatting sqref="G33">
    <cfRule type="expression" dxfId="2" priority="7" stopIfTrue="1">
      <formula>OR(F$33&lt;5.4,F$33&gt;5.6)</formula>
    </cfRule>
  </conditionalFormatting>
  <conditionalFormatting sqref="G54">
    <cfRule type="expression" dxfId="1" priority="4" stopIfTrue="1">
      <formula>OR(G$53&lt;0,G$53&gt;250.5)</formula>
    </cfRule>
  </conditionalFormatting>
  <conditionalFormatting sqref="H54">
    <cfRule type="expression" dxfId="0" priority="5" stopIfTrue="1">
      <formula>OR(H$53&lt;49.5,H$53&gt;350.5)</formula>
    </cfRule>
  </conditionalFormatting>
  <hyperlinks>
    <hyperlink ref="C74" r:id="rId1" xr:uid="{F6E05BDE-2EA2-4FCE-A766-18A7BF1E0AA5}"/>
    <hyperlink ref="C68:J68" r:id="rId2" display="Calculations for Alkalinity, RA, and pH were based on Kai Troester's paper: &quot;The effect of brewing water and grist composition on the pH of the mash&quot;  2009" xr:uid="{04B00ABD-8DE7-4C34-AA4A-A5A5825CC01A}"/>
    <hyperlink ref="C70:J70" r:id="rId3" display="Recommended mineral ranges are from John Palmer's &quot;How to Brew&quot;" xr:uid="{CC56FE8E-3B21-493B-A25A-13992D965E8E}"/>
    <hyperlink ref="C72:J72" r:id="rId4" display="Recommended Cl to SO4 ratio ranges are from John Palmer's RA spreadsheet" xr:uid="{1DD17D5C-B71E-4566-8566-E3A0EE0723F6}"/>
    <hyperlink ref="C76"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361950</xdr:colOff>
                <xdr:row>58</xdr:row>
                <xdr:rowOff>180975</xdr:rowOff>
              </from>
              <to>
                <xdr:col>2</xdr:col>
                <xdr:colOff>1609725</xdr:colOff>
                <xdr:row>62</xdr:row>
                <xdr:rowOff>47625</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962025</xdr:colOff>
                    <xdr:row>2</xdr:row>
                    <xdr:rowOff>0</xdr:rowOff>
                  </from>
                  <to>
                    <xdr:col>8</xdr:col>
                    <xdr:colOff>295275</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962025</xdr:colOff>
                    <xdr:row>2</xdr:row>
                    <xdr:rowOff>161925</xdr:rowOff>
                  </from>
                  <to>
                    <xdr:col>8</xdr:col>
                    <xdr:colOff>295275</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45</xdr:row>
                    <xdr:rowOff>0</xdr:rowOff>
                  </from>
                  <to>
                    <xdr:col>5</xdr:col>
                    <xdr:colOff>695325</xdr:colOff>
                    <xdr:row>46</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38</xdr:row>
                    <xdr:rowOff>0</xdr:rowOff>
                  </from>
                  <to>
                    <xdr:col>3</xdr:col>
                    <xdr:colOff>695325</xdr:colOff>
                    <xdr:row>39</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38</xdr:row>
                    <xdr:rowOff>0</xdr:rowOff>
                  </from>
                  <to>
                    <xdr:col>4</xdr:col>
                    <xdr:colOff>695325</xdr:colOff>
                    <xdr:row>39</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38</xdr:row>
                    <xdr:rowOff>0</xdr:rowOff>
                  </from>
                  <to>
                    <xdr:col>5</xdr:col>
                    <xdr:colOff>695325</xdr:colOff>
                    <xdr:row>39</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45</xdr:row>
                    <xdr:rowOff>0</xdr:rowOff>
                  </from>
                  <to>
                    <xdr:col>4</xdr:col>
                    <xdr:colOff>695325</xdr:colOff>
                    <xdr:row>46</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9525</xdr:colOff>
                    <xdr:row>14</xdr:row>
                    <xdr:rowOff>9525</xdr:rowOff>
                  </from>
                  <to>
                    <xdr:col>3</xdr:col>
                    <xdr:colOff>971550</xdr:colOff>
                    <xdr:row>14</xdr:row>
                    <xdr:rowOff>209550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9525</xdr:colOff>
                    <xdr:row>15</xdr:row>
                    <xdr:rowOff>9525</xdr:rowOff>
                  </from>
                  <to>
                    <xdr:col>3</xdr:col>
                    <xdr:colOff>971550</xdr:colOff>
                    <xdr:row>15</xdr:row>
                    <xdr:rowOff>209550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9525</xdr:colOff>
                    <xdr:row>16</xdr:row>
                    <xdr:rowOff>9525</xdr:rowOff>
                  </from>
                  <to>
                    <xdr:col>3</xdr:col>
                    <xdr:colOff>971550</xdr:colOff>
                    <xdr:row>16</xdr:row>
                    <xdr:rowOff>209550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9525</xdr:colOff>
                    <xdr:row>17</xdr:row>
                    <xdr:rowOff>9525</xdr:rowOff>
                  </from>
                  <to>
                    <xdr:col>3</xdr:col>
                    <xdr:colOff>971550</xdr:colOff>
                    <xdr:row>17</xdr:row>
                    <xdr:rowOff>209550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9525</xdr:colOff>
                    <xdr:row>21</xdr:row>
                    <xdr:rowOff>9525</xdr:rowOff>
                  </from>
                  <to>
                    <xdr:col>3</xdr:col>
                    <xdr:colOff>971550</xdr:colOff>
                    <xdr:row>21</xdr:row>
                    <xdr:rowOff>209550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9525</xdr:colOff>
                    <xdr:row>18</xdr:row>
                    <xdr:rowOff>9525</xdr:rowOff>
                  </from>
                  <to>
                    <xdr:col>3</xdr:col>
                    <xdr:colOff>971550</xdr:colOff>
                    <xdr:row>18</xdr:row>
                    <xdr:rowOff>209550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9525</xdr:colOff>
                    <xdr:row>19</xdr:row>
                    <xdr:rowOff>9525</xdr:rowOff>
                  </from>
                  <to>
                    <xdr:col>3</xdr:col>
                    <xdr:colOff>971550</xdr:colOff>
                    <xdr:row>19</xdr:row>
                    <xdr:rowOff>209550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9525</xdr:colOff>
                    <xdr:row>20</xdr:row>
                    <xdr:rowOff>9525</xdr:rowOff>
                  </from>
                  <to>
                    <xdr:col>3</xdr:col>
                    <xdr:colOff>971550</xdr:colOff>
                    <xdr:row>20</xdr:row>
                    <xdr:rowOff>209550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45</xdr:row>
                    <xdr:rowOff>0</xdr:rowOff>
                  </from>
                  <to>
                    <xdr:col>3</xdr:col>
                    <xdr:colOff>695325</xdr:colOff>
                    <xdr:row>46</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9525</xdr:colOff>
                    <xdr:row>22</xdr:row>
                    <xdr:rowOff>9525</xdr:rowOff>
                  </from>
                  <to>
                    <xdr:col>3</xdr:col>
                    <xdr:colOff>971550</xdr:colOff>
                    <xdr:row>22</xdr:row>
                    <xdr:rowOff>209550</xdr:rowOff>
                  </to>
                </anchor>
              </controlPr>
            </control>
          </mc:Choice>
        </mc:AlternateContent>
        <mc:AlternateContent xmlns:mc="http://schemas.openxmlformats.org/markup-compatibility/2006">
          <mc:Choice Requires="x14">
            <control shapeId="16403" r:id="rId28" name="Drop Down 19">
              <controlPr defaultSize="0" autoLine="0" autoPict="0">
                <anchor moveWithCells="1">
                  <from>
                    <xdr:col>3</xdr:col>
                    <xdr:colOff>9525</xdr:colOff>
                    <xdr:row>23</xdr:row>
                    <xdr:rowOff>9525</xdr:rowOff>
                  </from>
                  <to>
                    <xdr:col>3</xdr:col>
                    <xdr:colOff>971550</xdr:colOff>
                    <xdr:row>23</xdr:row>
                    <xdr:rowOff>209550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I307"/>
  <sheetViews>
    <sheetView zoomScale="120" zoomScaleNormal="120" workbookViewId="0">
      <pane ySplit="1" topLeftCell="A57" activePane="bottomLeft" state="frozen"/>
      <selection pane="bottomLeft" activeCell="B79" sqref="B79"/>
    </sheetView>
  </sheetViews>
  <sheetFormatPr defaultRowHeight="12.75" x14ac:dyDescent="0.2"/>
  <cols>
    <col min="1" max="1" width="43.7109375" customWidth="1"/>
    <col min="2" max="2" width="15.7109375" customWidth="1"/>
    <col min="3" max="3" width="11.28515625" customWidth="1"/>
    <col min="4" max="4" width="7.5703125" customWidth="1"/>
    <col min="5" max="5" width="8.5703125" customWidth="1"/>
    <col min="6" max="6" width="6.7109375" style="4" customWidth="1"/>
    <col min="7" max="7" width="7" style="4" customWidth="1"/>
    <col min="8" max="8" width="10.7109375" style="4" customWidth="1"/>
    <col min="9" max="9" width="52.85546875" customWidth="1"/>
    <col min="10" max="10" width="68.140625" customWidth="1"/>
    <col min="11" max="29" width="4.85546875" customWidth="1"/>
    <col min="34" max="34" width="10.140625" customWidth="1"/>
  </cols>
  <sheetData>
    <row r="1" spans="1:9" s="41" customFormat="1" ht="40.9" customHeight="1" x14ac:dyDescent="0.2">
      <c r="A1" s="43" t="s">
        <v>1296</v>
      </c>
      <c r="B1" s="43" t="s">
        <v>1245</v>
      </c>
      <c r="C1" s="43" t="s">
        <v>1295</v>
      </c>
      <c r="D1" s="43" t="s">
        <v>1532</v>
      </c>
      <c r="E1" s="43" t="s">
        <v>1527</v>
      </c>
      <c r="F1" s="43" t="s">
        <v>1522</v>
      </c>
      <c r="G1" s="43" t="s">
        <v>2011</v>
      </c>
      <c r="H1" s="43" t="s">
        <v>2012</v>
      </c>
      <c r="I1" s="43" t="s">
        <v>1244</v>
      </c>
    </row>
    <row r="2" spans="1:9" s="41" customFormat="1" x14ac:dyDescent="0.2">
      <c r="A2" s="415" t="s">
        <v>1338</v>
      </c>
      <c r="B2" s="415" t="s">
        <v>1246</v>
      </c>
      <c r="C2" s="365" t="s">
        <v>89</v>
      </c>
      <c r="D2" s="416">
        <v>0.76</v>
      </c>
      <c r="E2" s="416">
        <v>0.1</v>
      </c>
      <c r="F2" s="432">
        <f>(grains_table[[#This Row],[Extract %]]*46.214)/1000+1</f>
        <v>1.03512264</v>
      </c>
      <c r="G2" s="418">
        <v>3.3</v>
      </c>
      <c r="H2" s="419">
        <v>0</v>
      </c>
      <c r="I2" s="420" t="s">
        <v>1287</v>
      </c>
    </row>
    <row r="3" spans="1:9" s="41" customFormat="1" x14ac:dyDescent="0.2">
      <c r="A3" s="415" t="s">
        <v>1339</v>
      </c>
      <c r="B3" s="415" t="s">
        <v>1291</v>
      </c>
      <c r="C3" s="365" t="s">
        <v>89</v>
      </c>
      <c r="D3" s="416">
        <v>0.76</v>
      </c>
      <c r="E3" s="416">
        <v>0.08</v>
      </c>
      <c r="F3" s="432">
        <f>(grains_table[[#This Row],[Extract %]]*46.214)/1000+1</f>
        <v>1.03512264</v>
      </c>
      <c r="G3" s="418">
        <v>4</v>
      </c>
      <c r="H3" s="419">
        <v>0</v>
      </c>
      <c r="I3" s="421" t="s">
        <v>1326</v>
      </c>
    </row>
    <row r="4" spans="1:9" ht="13.15" customHeight="1" x14ac:dyDescent="0.2">
      <c r="A4" s="415" t="s">
        <v>1898</v>
      </c>
      <c r="B4" s="422" t="s">
        <v>1868</v>
      </c>
      <c r="C4" s="418" t="s">
        <v>89</v>
      </c>
      <c r="D4" s="423">
        <v>0.26</v>
      </c>
      <c r="E4" s="423">
        <v>6.5000000000000002E-2</v>
      </c>
      <c r="F4" s="432">
        <f>(grains_table[[#This Row],[Extract %]]*46.214)/1000+1</f>
        <v>1.01201564</v>
      </c>
      <c r="G4" s="418">
        <v>2.2000000000000002</v>
      </c>
      <c r="H4" s="419">
        <v>0</v>
      </c>
      <c r="I4" s="420" t="s">
        <v>1869</v>
      </c>
    </row>
    <row r="5" spans="1:9" ht="13.15" customHeight="1" x14ac:dyDescent="0.2">
      <c r="A5" s="415" t="s">
        <v>1533</v>
      </c>
      <c r="B5" s="415" t="s">
        <v>1249</v>
      </c>
      <c r="C5" s="365" t="s">
        <v>89</v>
      </c>
      <c r="D5" s="416">
        <v>0.79</v>
      </c>
      <c r="E5" s="416">
        <v>4.4999999999999998E-2</v>
      </c>
      <c r="F5" s="432">
        <f>(grains_table[[#This Row],[Extract %]]*46.214)/1000+1</f>
        <v>1.03650906</v>
      </c>
      <c r="G5" s="418">
        <v>19</v>
      </c>
      <c r="H5" s="419">
        <v>0</v>
      </c>
      <c r="I5" s="420" t="s">
        <v>1284</v>
      </c>
    </row>
    <row r="6" spans="1:9" ht="13.15" customHeight="1" x14ac:dyDescent="0.2">
      <c r="A6" s="415" t="s">
        <v>1488</v>
      </c>
      <c r="B6" s="415" t="s">
        <v>1247</v>
      </c>
      <c r="C6" s="365" t="s">
        <v>89</v>
      </c>
      <c r="D6" s="416">
        <v>0.7</v>
      </c>
      <c r="E6" s="416">
        <v>0.05</v>
      </c>
      <c r="F6" s="432">
        <f>(grains_table[[#This Row],[Extract %]]*46.214)/1000+1</f>
        <v>1.0323498</v>
      </c>
      <c r="G6" s="418">
        <v>22.8</v>
      </c>
      <c r="H6" s="419"/>
      <c r="I6" s="420" t="s">
        <v>1262</v>
      </c>
    </row>
    <row r="7" spans="1:9" ht="13.15" customHeight="1" x14ac:dyDescent="0.2">
      <c r="A7" s="415" t="s">
        <v>1340</v>
      </c>
      <c r="B7" s="415" t="s">
        <v>1249</v>
      </c>
      <c r="C7" s="365" t="s">
        <v>89</v>
      </c>
      <c r="D7" s="416">
        <v>0.77</v>
      </c>
      <c r="E7" s="416">
        <v>4.4999999999999998E-2</v>
      </c>
      <c r="F7" s="432">
        <f>(grains_table[[#This Row],[Extract %]]*46.214)/1000+1</f>
        <v>1.03558478</v>
      </c>
      <c r="G7" s="418">
        <v>38</v>
      </c>
      <c r="H7" s="419">
        <v>0</v>
      </c>
      <c r="I7" s="420" t="s">
        <v>1284</v>
      </c>
    </row>
    <row r="8" spans="1:9" ht="13.15" customHeight="1" x14ac:dyDescent="0.2">
      <c r="A8" s="415" t="s">
        <v>1510</v>
      </c>
      <c r="B8" s="415" t="s">
        <v>1249</v>
      </c>
      <c r="C8" s="365" t="s">
        <v>89</v>
      </c>
      <c r="D8" s="416">
        <v>0.77</v>
      </c>
      <c r="E8" s="416">
        <v>4.4999999999999998E-2</v>
      </c>
      <c r="F8" s="432">
        <f>(grains_table[[#This Row],[Extract %]]*46.214)/1000+1</f>
        <v>1.03558478</v>
      </c>
      <c r="G8" s="418">
        <v>57</v>
      </c>
      <c r="H8" s="419">
        <v>0</v>
      </c>
      <c r="I8" s="420" t="s">
        <v>1284</v>
      </c>
    </row>
    <row r="9" spans="1:9" ht="13.15" customHeight="1" x14ac:dyDescent="0.2">
      <c r="A9" s="415" t="s">
        <v>1872</v>
      </c>
      <c r="B9" s="422" t="s">
        <v>1868</v>
      </c>
      <c r="C9" s="418" t="s">
        <v>89</v>
      </c>
      <c r="D9" s="423">
        <v>0.81</v>
      </c>
      <c r="E9" s="423">
        <v>0.03</v>
      </c>
      <c r="F9" s="432">
        <f>(grains_table[[#This Row],[Extract %]]*46.214)/1000+1</f>
        <v>1.03743334</v>
      </c>
      <c r="G9" s="418">
        <v>17.8</v>
      </c>
      <c r="H9" s="433">
        <f>(150+16)/3.5</f>
        <v>47.428571428571431</v>
      </c>
      <c r="I9" s="420" t="s">
        <v>1869</v>
      </c>
    </row>
    <row r="10" spans="1:9" ht="13.15" customHeight="1" x14ac:dyDescent="0.2">
      <c r="A10" s="415" t="s">
        <v>1511</v>
      </c>
      <c r="B10" s="415" t="s">
        <v>1246</v>
      </c>
      <c r="C10" s="365" t="s">
        <v>89</v>
      </c>
      <c r="D10" s="416">
        <v>0.78</v>
      </c>
      <c r="E10" s="416">
        <v>7.0000000000000007E-2</v>
      </c>
      <c r="F10" s="432">
        <f>(grains_table[[#This Row],[Extract %]]*46.214)/1000+1</f>
        <v>1.03604692</v>
      </c>
      <c r="G10" s="418">
        <v>1.8</v>
      </c>
      <c r="H10" s="419"/>
      <c r="I10" s="420" t="s">
        <v>1287</v>
      </c>
    </row>
    <row r="11" spans="1:9" ht="13.15" customHeight="1" x14ac:dyDescent="0.2">
      <c r="A11" s="415" t="s">
        <v>1534</v>
      </c>
      <c r="B11" s="415" t="s">
        <v>1249</v>
      </c>
      <c r="C11" s="365" t="s">
        <v>89</v>
      </c>
      <c r="D11" s="416">
        <v>0.75</v>
      </c>
      <c r="E11" s="416">
        <v>4.4999999999999998E-2</v>
      </c>
      <c r="F11" s="432">
        <f>(grains_table[[#This Row],[Extract %]]*46.214)/1000+1</f>
        <v>1.0346605</v>
      </c>
      <c r="G11" s="418">
        <v>23</v>
      </c>
      <c r="H11" s="419">
        <v>0</v>
      </c>
      <c r="I11" s="420" t="s">
        <v>1286</v>
      </c>
    </row>
    <row r="12" spans="1:9" ht="13.15" customHeight="1" x14ac:dyDescent="0.2">
      <c r="A12" s="415" t="s">
        <v>1873</v>
      </c>
      <c r="B12" s="422" t="s">
        <v>1868</v>
      </c>
      <c r="C12" s="418" t="s">
        <v>89</v>
      </c>
      <c r="D12" s="423">
        <v>0.74</v>
      </c>
      <c r="E12" s="423">
        <v>0.05</v>
      </c>
      <c r="F12" s="432">
        <f>(grains_table[[#This Row],[Extract %]]*46.214)/1000+1</f>
        <v>1.03419836</v>
      </c>
      <c r="G12" s="418">
        <v>24.9</v>
      </c>
      <c r="H12" s="419">
        <v>0</v>
      </c>
      <c r="I12" s="420" t="s">
        <v>1869</v>
      </c>
    </row>
    <row r="13" spans="1:9" ht="13.15" customHeight="1" x14ac:dyDescent="0.2">
      <c r="A13" s="415" t="s">
        <v>1874</v>
      </c>
      <c r="B13" s="422" t="s">
        <v>1868</v>
      </c>
      <c r="C13" s="418" t="s">
        <v>89</v>
      </c>
      <c r="D13" s="423">
        <v>0.74</v>
      </c>
      <c r="E13" s="423">
        <v>0.05</v>
      </c>
      <c r="F13" s="432">
        <f>(grains_table[[#This Row],[Extract %]]*46.214)/1000+1</f>
        <v>1.03419836</v>
      </c>
      <c r="G13" s="418">
        <v>64.3</v>
      </c>
      <c r="H13" s="419">
        <v>0</v>
      </c>
      <c r="I13" s="420" t="s">
        <v>1869</v>
      </c>
    </row>
    <row r="14" spans="1:9" ht="13.15" customHeight="1" x14ac:dyDescent="0.2">
      <c r="A14" s="415" t="s">
        <v>1528</v>
      </c>
      <c r="B14" s="415" t="s">
        <v>1248</v>
      </c>
      <c r="C14" s="365" t="s">
        <v>89</v>
      </c>
      <c r="D14" s="416">
        <v>0.72</v>
      </c>
      <c r="E14" s="416">
        <v>2.5000000000000001E-2</v>
      </c>
      <c r="F14" s="432">
        <f>(grains_table[[#This Row],[Extract %]]*46.214)/1000+1</f>
        <v>1.03327408</v>
      </c>
      <c r="G14" s="418">
        <v>40</v>
      </c>
      <c r="H14" s="419">
        <v>0</v>
      </c>
      <c r="I14" s="420" t="s">
        <v>1494</v>
      </c>
    </row>
    <row r="15" spans="1:9" ht="13.15" customHeight="1" x14ac:dyDescent="0.2">
      <c r="A15" s="415" t="s">
        <v>1529</v>
      </c>
      <c r="B15" s="415" t="s">
        <v>1248</v>
      </c>
      <c r="C15" s="365" t="s">
        <v>89</v>
      </c>
      <c r="D15" s="416">
        <v>0.75</v>
      </c>
      <c r="E15" s="416">
        <v>2.5000000000000001E-2</v>
      </c>
      <c r="F15" s="432">
        <f>(grains_table[[#This Row],[Extract %]]*46.214)/1000+1</f>
        <v>1.0346605</v>
      </c>
      <c r="G15" s="418">
        <v>28</v>
      </c>
      <c r="H15" s="419">
        <v>0</v>
      </c>
      <c r="I15" s="420" t="s">
        <v>1301</v>
      </c>
    </row>
    <row r="16" spans="1:9" ht="13.15" customHeight="1" x14ac:dyDescent="0.2">
      <c r="A16" s="415" t="s">
        <v>1903</v>
      </c>
      <c r="B16" s="422" t="s">
        <v>1868</v>
      </c>
      <c r="C16" s="418" t="s">
        <v>89</v>
      </c>
      <c r="D16" s="423">
        <v>0.74</v>
      </c>
      <c r="E16" s="423">
        <v>2.5000000000000001E-2</v>
      </c>
      <c r="F16" s="432">
        <f>(grains_table[[#This Row],[Extract %]]*46.214)/1000+1</f>
        <v>1.03419836</v>
      </c>
      <c r="G16" s="418">
        <v>525.6</v>
      </c>
      <c r="H16" s="419">
        <v>0</v>
      </c>
      <c r="I16" s="420" t="s">
        <v>1869</v>
      </c>
    </row>
    <row r="17" spans="1:9" ht="13.15" customHeight="1" x14ac:dyDescent="0.2">
      <c r="A17" s="415" t="s">
        <v>1536</v>
      </c>
      <c r="B17" s="415" t="s">
        <v>1249</v>
      </c>
      <c r="C17" s="365" t="s">
        <v>89</v>
      </c>
      <c r="D17" s="416">
        <v>0.7</v>
      </c>
      <c r="E17" s="416">
        <v>4.4999999999999998E-2</v>
      </c>
      <c r="F17" s="432">
        <f>(grains_table[[#This Row],[Extract %]]*46.214)/1000+1</f>
        <v>1.0323498</v>
      </c>
      <c r="G17" s="418">
        <v>530</v>
      </c>
      <c r="H17" s="419">
        <v>0</v>
      </c>
      <c r="I17" s="421" t="s">
        <v>1286</v>
      </c>
    </row>
    <row r="18" spans="1:9" ht="13.15" customHeight="1" x14ac:dyDescent="0.2">
      <c r="A18" s="415" t="s">
        <v>1509</v>
      </c>
      <c r="B18" s="415" t="s">
        <v>1291</v>
      </c>
      <c r="C18" s="365" t="s">
        <v>89</v>
      </c>
      <c r="D18" s="416">
        <v>0.75</v>
      </c>
      <c r="E18" s="416">
        <v>4.4999999999999998E-2</v>
      </c>
      <c r="F18" s="432">
        <f>(grains_table[[#This Row],[Extract %]]*46.214)/1000+1</f>
        <v>1.0346605</v>
      </c>
      <c r="G18" s="418">
        <v>27</v>
      </c>
      <c r="H18" s="419">
        <v>0</v>
      </c>
      <c r="I18" s="420" t="s">
        <v>1318</v>
      </c>
    </row>
    <row r="19" spans="1:9" ht="13.15" customHeight="1" x14ac:dyDescent="0.2">
      <c r="A19" s="415" t="s">
        <v>1508</v>
      </c>
      <c r="B19" s="415" t="s">
        <v>1291</v>
      </c>
      <c r="C19" s="365" t="s">
        <v>89</v>
      </c>
      <c r="D19" s="416">
        <v>0.75</v>
      </c>
      <c r="E19" s="416">
        <v>4.4999999999999998E-2</v>
      </c>
      <c r="F19" s="432">
        <f>(grains_table[[#This Row],[Extract %]]*46.214)/1000+1</f>
        <v>1.0346605</v>
      </c>
      <c r="G19" s="418">
        <v>19.5</v>
      </c>
      <c r="H19" s="419">
        <v>0</v>
      </c>
      <c r="I19" s="420" t="s">
        <v>1317</v>
      </c>
    </row>
    <row r="20" spans="1:9" ht="13.15" customHeight="1" x14ac:dyDescent="0.2">
      <c r="A20" s="415" t="s">
        <v>1507</v>
      </c>
      <c r="B20" s="415" t="s">
        <v>1291</v>
      </c>
      <c r="C20" s="365" t="s">
        <v>89</v>
      </c>
      <c r="D20" s="416">
        <v>0.75</v>
      </c>
      <c r="E20" s="416">
        <v>4.4999999999999998E-2</v>
      </c>
      <c r="F20" s="432">
        <f>(grains_table[[#This Row],[Extract %]]*46.214)/1000+1</f>
        <v>1.0346605</v>
      </c>
      <c r="G20" s="418">
        <v>12</v>
      </c>
      <c r="H20" s="419">
        <v>0</v>
      </c>
      <c r="I20" s="420" t="s">
        <v>1316</v>
      </c>
    </row>
    <row r="21" spans="1:9" ht="13.15" customHeight="1" x14ac:dyDescent="0.2">
      <c r="A21" s="415" t="s">
        <v>1506</v>
      </c>
      <c r="B21" s="415" t="s">
        <v>1291</v>
      </c>
      <c r="C21" s="365" t="s">
        <v>89</v>
      </c>
      <c r="D21" s="416">
        <v>0.75</v>
      </c>
      <c r="E21" s="416">
        <v>4.4999999999999998E-2</v>
      </c>
      <c r="F21" s="432">
        <f>(grains_table[[#This Row],[Extract %]]*46.214)/1000+1</f>
        <v>1.0346605</v>
      </c>
      <c r="G21" s="418">
        <v>5.4</v>
      </c>
      <c r="H21" s="419">
        <v>0</v>
      </c>
      <c r="I21" s="420" t="s">
        <v>1320</v>
      </c>
    </row>
    <row r="22" spans="1:9" ht="13.15" customHeight="1" x14ac:dyDescent="0.2">
      <c r="A22" s="415" t="s">
        <v>1505</v>
      </c>
      <c r="B22" s="415" t="s">
        <v>1291</v>
      </c>
      <c r="C22" s="365" t="s">
        <v>89</v>
      </c>
      <c r="D22" s="416">
        <v>0.75</v>
      </c>
      <c r="E22" s="416">
        <v>4.4999999999999998E-2</v>
      </c>
      <c r="F22" s="432">
        <f>(grains_table[[#This Row],[Extract %]]*46.214)/1000+1</f>
        <v>1.0346605</v>
      </c>
      <c r="G22" s="418">
        <v>45.5</v>
      </c>
      <c r="H22" s="419">
        <v>0</v>
      </c>
      <c r="I22" s="420" t="s">
        <v>1321</v>
      </c>
    </row>
    <row r="23" spans="1:9" ht="13.15" customHeight="1" x14ac:dyDescent="0.2">
      <c r="A23" s="415" t="s">
        <v>1504</v>
      </c>
      <c r="B23" s="415" t="s">
        <v>1291</v>
      </c>
      <c r="C23" s="365" t="s">
        <v>89</v>
      </c>
      <c r="D23" s="416">
        <v>0.75</v>
      </c>
      <c r="E23" s="416">
        <v>4.4999999999999998E-2</v>
      </c>
      <c r="F23" s="432">
        <f>(grains_table[[#This Row],[Extract %]]*46.214)/1000+1</f>
        <v>1.0346605</v>
      </c>
      <c r="G23" s="418">
        <v>63</v>
      </c>
      <c r="H23" s="419">
        <v>0</v>
      </c>
      <c r="I23" s="420" t="s">
        <v>1322</v>
      </c>
    </row>
    <row r="24" spans="1:9" ht="13.15" customHeight="1" x14ac:dyDescent="0.2">
      <c r="A24" s="415" t="s">
        <v>1503</v>
      </c>
      <c r="B24" s="415" t="s">
        <v>1291</v>
      </c>
      <c r="C24" s="365" t="s">
        <v>89</v>
      </c>
      <c r="D24" s="416">
        <v>0.75</v>
      </c>
      <c r="E24" s="416">
        <v>4.4999999999999998E-2</v>
      </c>
      <c r="F24" s="432">
        <f>(grains_table[[#This Row],[Extract %]]*46.214)/1000+1</f>
        <v>1.0346605</v>
      </c>
      <c r="G24" s="418">
        <v>2.35</v>
      </c>
      <c r="H24" s="419">
        <v>0</v>
      </c>
      <c r="I24" s="420" t="s">
        <v>1319</v>
      </c>
    </row>
    <row r="25" spans="1:9" ht="13.15" customHeight="1" x14ac:dyDescent="0.2">
      <c r="A25" s="415" t="s">
        <v>1341</v>
      </c>
      <c r="B25" s="415" t="s">
        <v>1249</v>
      </c>
      <c r="C25" s="365" t="s">
        <v>89</v>
      </c>
      <c r="D25" s="416">
        <v>0.74</v>
      </c>
      <c r="E25" s="416">
        <v>0.06</v>
      </c>
      <c r="F25" s="432">
        <f>(grains_table[[#This Row],[Extract %]]*46.214)/1000+1</f>
        <v>1.03419836</v>
      </c>
      <c r="G25" s="418">
        <v>45</v>
      </c>
      <c r="H25" s="419">
        <v>0</v>
      </c>
      <c r="I25" s="420" t="s">
        <v>1285</v>
      </c>
    </row>
    <row r="26" spans="1:9" ht="13.15" customHeight="1" x14ac:dyDescent="0.2">
      <c r="A26" s="415" t="s">
        <v>1342</v>
      </c>
      <c r="B26" s="415" t="s">
        <v>1249</v>
      </c>
      <c r="C26" s="365" t="s">
        <v>89</v>
      </c>
      <c r="D26" s="416">
        <v>0.75</v>
      </c>
      <c r="E26" s="416">
        <v>9.5000000000000001E-2</v>
      </c>
      <c r="F26" s="432">
        <f>(grains_table[[#This Row],[Extract %]]*46.214)/1000+1</f>
        <v>1.0346605</v>
      </c>
      <c r="G26" s="418">
        <v>8</v>
      </c>
      <c r="H26" s="419">
        <v>0</v>
      </c>
      <c r="I26" s="420" t="s">
        <v>1285</v>
      </c>
    </row>
    <row r="27" spans="1:9" ht="13.15" customHeight="1" x14ac:dyDescent="0.2">
      <c r="A27" s="415" t="s">
        <v>1343</v>
      </c>
      <c r="B27" s="415" t="s">
        <v>1249</v>
      </c>
      <c r="C27" s="365" t="s">
        <v>89</v>
      </c>
      <c r="D27" s="416">
        <v>0.75</v>
      </c>
      <c r="E27" s="416">
        <v>7.4999999999999997E-2</v>
      </c>
      <c r="F27" s="432">
        <f>(grains_table[[#This Row],[Extract %]]*46.214)/1000+1</f>
        <v>1.0346605</v>
      </c>
      <c r="G27" s="418">
        <v>20</v>
      </c>
      <c r="H27" s="419">
        <v>0</v>
      </c>
      <c r="I27" s="420" t="s">
        <v>1285</v>
      </c>
    </row>
    <row r="28" spans="1:9" ht="13.15" customHeight="1" x14ac:dyDescent="0.2">
      <c r="A28" s="415" t="s">
        <v>1437</v>
      </c>
      <c r="B28" s="415" t="s">
        <v>1246</v>
      </c>
      <c r="C28" s="365" t="s">
        <v>89</v>
      </c>
      <c r="D28" s="416">
        <v>0.74</v>
      </c>
      <c r="E28" s="416">
        <v>7.0000000000000007E-2</v>
      </c>
      <c r="F28" s="432">
        <f>(grains_table[[#This Row],[Extract %]]*46.214)/1000+1</f>
        <v>1.03419836</v>
      </c>
      <c r="G28" s="418">
        <v>150</v>
      </c>
      <c r="H28" s="419">
        <v>0</v>
      </c>
      <c r="I28" s="420" t="s">
        <v>1287</v>
      </c>
    </row>
    <row r="29" spans="1:9" ht="13.15" customHeight="1" x14ac:dyDescent="0.2">
      <c r="A29" s="415" t="s">
        <v>1438</v>
      </c>
      <c r="B29" s="415" t="s">
        <v>1246</v>
      </c>
      <c r="C29" s="365" t="s">
        <v>89</v>
      </c>
      <c r="D29" s="416">
        <v>0.74</v>
      </c>
      <c r="E29" s="416">
        <v>0.09</v>
      </c>
      <c r="F29" s="432">
        <f>(grains_table[[#This Row],[Extract %]]*46.214)/1000+1</f>
        <v>1.03419836</v>
      </c>
      <c r="G29" s="418">
        <v>12.75</v>
      </c>
      <c r="H29" s="419">
        <v>0</v>
      </c>
      <c r="I29" s="420" t="s">
        <v>1287</v>
      </c>
    </row>
    <row r="30" spans="1:9" ht="13.15" customHeight="1" x14ac:dyDescent="0.2">
      <c r="A30" s="415" t="s">
        <v>1344</v>
      </c>
      <c r="B30" s="415" t="s">
        <v>1248</v>
      </c>
      <c r="C30" s="365" t="s">
        <v>89</v>
      </c>
      <c r="D30" s="416">
        <v>0.78</v>
      </c>
      <c r="E30" s="416">
        <v>0.04</v>
      </c>
      <c r="F30" s="432">
        <f>(grains_table[[#This Row],[Extract %]]*46.214)/1000+1</f>
        <v>1.03604692</v>
      </c>
      <c r="G30" s="418">
        <v>55</v>
      </c>
      <c r="H30" s="419">
        <v>0</v>
      </c>
      <c r="I30" s="420" t="s">
        <v>1290</v>
      </c>
    </row>
    <row r="31" spans="1:9" ht="13.15" customHeight="1" x14ac:dyDescent="0.2">
      <c r="A31" s="415" t="s">
        <v>1469</v>
      </c>
      <c r="B31" s="415" t="s">
        <v>1246</v>
      </c>
      <c r="C31" s="365" t="s">
        <v>89</v>
      </c>
      <c r="D31" s="416">
        <v>0.65</v>
      </c>
      <c r="E31" s="416">
        <v>3.7999999999999999E-2</v>
      </c>
      <c r="F31" s="432">
        <f>(grains_table[[#This Row],[Extract %]]*46.214)/1000+1</f>
        <v>1.0300391</v>
      </c>
      <c r="G31" s="418">
        <v>337.5</v>
      </c>
      <c r="H31" s="419">
        <v>0</v>
      </c>
      <c r="I31" s="420" t="s">
        <v>1287</v>
      </c>
    </row>
    <row r="32" spans="1:9" ht="13.15" customHeight="1" x14ac:dyDescent="0.2">
      <c r="A32" s="415" t="s">
        <v>1468</v>
      </c>
      <c r="B32" s="415" t="s">
        <v>1246</v>
      </c>
      <c r="C32" s="365" t="s">
        <v>89</v>
      </c>
      <c r="D32" s="416">
        <v>0.65</v>
      </c>
      <c r="E32" s="416">
        <v>3.7999999999999999E-2</v>
      </c>
      <c r="F32" s="432">
        <f>(grains_table[[#This Row],[Extract %]]*46.214)/1000+1</f>
        <v>1.0300391</v>
      </c>
      <c r="G32" s="418">
        <v>431.5</v>
      </c>
      <c r="H32" s="419">
        <v>0</v>
      </c>
      <c r="I32" s="420" t="s">
        <v>1287</v>
      </c>
    </row>
    <row r="33" spans="1:9" ht="13.15" customHeight="1" x14ac:dyDescent="0.2">
      <c r="A33" s="415" t="s">
        <v>1467</v>
      </c>
      <c r="B33" s="415" t="s">
        <v>1246</v>
      </c>
      <c r="C33" s="365" t="s">
        <v>89</v>
      </c>
      <c r="D33" s="416">
        <v>0.65</v>
      </c>
      <c r="E33" s="416">
        <v>3.7999999999999999E-2</v>
      </c>
      <c r="F33" s="432">
        <f>(grains_table[[#This Row],[Extract %]]*46.214)/1000+1</f>
        <v>1.0300391</v>
      </c>
      <c r="G33" s="418">
        <v>525.5</v>
      </c>
      <c r="H33" s="419">
        <v>0</v>
      </c>
      <c r="I33" s="420" t="s">
        <v>1287</v>
      </c>
    </row>
    <row r="34" spans="1:9" ht="13.15" customHeight="1" x14ac:dyDescent="0.2">
      <c r="A34" s="415" t="s">
        <v>1470</v>
      </c>
      <c r="B34" s="415" t="s">
        <v>1246</v>
      </c>
      <c r="C34" s="365" t="s">
        <v>89</v>
      </c>
      <c r="D34" s="416">
        <v>0.65</v>
      </c>
      <c r="E34" s="416">
        <v>3.7999999999999999E-2</v>
      </c>
      <c r="F34" s="432">
        <f>(grains_table[[#This Row],[Extract %]]*46.214)/1000+1</f>
        <v>1.0300391</v>
      </c>
      <c r="G34" s="418">
        <v>337.5</v>
      </c>
      <c r="H34" s="419">
        <v>0</v>
      </c>
      <c r="I34" s="420" t="s">
        <v>1287</v>
      </c>
    </row>
    <row r="35" spans="1:9" ht="13.15" customHeight="1" x14ac:dyDescent="0.2">
      <c r="A35" s="415" t="s">
        <v>1471</v>
      </c>
      <c r="B35" s="415" t="s">
        <v>1246</v>
      </c>
      <c r="C35" s="365" t="s">
        <v>89</v>
      </c>
      <c r="D35" s="416">
        <v>0.65</v>
      </c>
      <c r="E35" s="416">
        <v>3.7999999999999999E-2</v>
      </c>
      <c r="F35" s="432">
        <f>(grains_table[[#This Row],[Extract %]]*46.214)/1000+1</f>
        <v>1.0300391</v>
      </c>
      <c r="G35" s="418">
        <v>431.5</v>
      </c>
      <c r="H35" s="419">
        <v>0</v>
      </c>
      <c r="I35" s="420" t="s">
        <v>1287</v>
      </c>
    </row>
    <row r="36" spans="1:9" ht="13.15" customHeight="1" x14ac:dyDescent="0.2">
      <c r="A36" s="415" t="s">
        <v>1472</v>
      </c>
      <c r="B36" s="415" t="s">
        <v>1246</v>
      </c>
      <c r="C36" s="365" t="s">
        <v>89</v>
      </c>
      <c r="D36" s="416">
        <v>0.65</v>
      </c>
      <c r="E36" s="416">
        <v>3.7999999999999999E-2</v>
      </c>
      <c r="F36" s="432">
        <f>(grains_table[[#This Row],[Extract %]]*46.214)/1000+1</f>
        <v>1.0300391</v>
      </c>
      <c r="G36" s="418">
        <v>525.5</v>
      </c>
      <c r="H36" s="419">
        <v>0</v>
      </c>
      <c r="I36" s="420" t="s">
        <v>1287</v>
      </c>
    </row>
    <row r="37" spans="1:9" ht="13.15" customHeight="1" x14ac:dyDescent="0.2">
      <c r="A37" s="415" t="s">
        <v>1439</v>
      </c>
      <c r="B37" s="415" t="s">
        <v>1246</v>
      </c>
      <c r="C37" s="365" t="s">
        <v>89</v>
      </c>
      <c r="D37" s="416"/>
      <c r="E37" s="416"/>
      <c r="F37" s="432">
        <f>(grains_table[[#This Row],[Extract %]]*46.214)/1000+1</f>
        <v>1</v>
      </c>
      <c r="G37" s="418">
        <v>2.2000000000000002</v>
      </c>
      <c r="H37" s="419">
        <v>0</v>
      </c>
      <c r="I37" s="420" t="s">
        <v>1287</v>
      </c>
    </row>
    <row r="38" spans="1:9" ht="13.15" customHeight="1" x14ac:dyDescent="0.2">
      <c r="A38" s="415" t="s">
        <v>1440</v>
      </c>
      <c r="B38" s="415" t="s">
        <v>1246</v>
      </c>
      <c r="C38" s="365" t="s">
        <v>89</v>
      </c>
      <c r="D38" s="416">
        <v>0.74</v>
      </c>
      <c r="E38" s="416">
        <v>0.09</v>
      </c>
      <c r="F38" s="432">
        <f>(grains_table[[#This Row],[Extract %]]*46.214)/1000+1</f>
        <v>1.03419836</v>
      </c>
      <c r="G38" s="418">
        <v>9.9499999999999993</v>
      </c>
      <c r="H38" s="419">
        <v>0</v>
      </c>
      <c r="I38" s="420" t="s">
        <v>1287</v>
      </c>
    </row>
    <row r="39" spans="1:9" ht="13.15" customHeight="1" x14ac:dyDescent="0.2">
      <c r="A39" s="415" t="s">
        <v>1345</v>
      </c>
      <c r="B39" s="415" t="s">
        <v>1247</v>
      </c>
      <c r="C39" s="365" t="s">
        <v>89</v>
      </c>
      <c r="D39" s="416">
        <v>0.71</v>
      </c>
      <c r="E39" s="416">
        <v>7.4999999999999997E-2</v>
      </c>
      <c r="F39" s="432">
        <f>(grains_table[[#This Row],[Extract %]]*46.214)/1000+1</f>
        <v>1.03281194</v>
      </c>
      <c r="G39" s="418">
        <v>14.05</v>
      </c>
      <c r="H39" s="419">
        <v>0</v>
      </c>
      <c r="I39" s="420" t="s">
        <v>1264</v>
      </c>
    </row>
    <row r="40" spans="1:9" ht="13.15" customHeight="1" x14ac:dyDescent="0.2">
      <c r="A40" s="415" t="s">
        <v>1441</v>
      </c>
      <c r="B40" s="415" t="s">
        <v>1246</v>
      </c>
      <c r="C40" s="365" t="s">
        <v>89</v>
      </c>
      <c r="D40" s="416">
        <v>0.75</v>
      </c>
      <c r="E40" s="416">
        <v>4.4999999999999998E-2</v>
      </c>
      <c r="F40" s="432">
        <f>(grains_table[[#This Row],[Extract %]]*46.214)/1000+1</f>
        <v>1.0346605</v>
      </c>
      <c r="G40" s="418">
        <v>27</v>
      </c>
      <c r="H40" s="419">
        <v>0</v>
      </c>
      <c r="I40" s="420" t="s">
        <v>1287</v>
      </c>
    </row>
    <row r="41" spans="1:9" ht="13.15" customHeight="1" x14ac:dyDescent="0.2">
      <c r="A41" s="415" t="s">
        <v>1346</v>
      </c>
      <c r="B41" s="415" t="s">
        <v>1248</v>
      </c>
      <c r="C41" s="365" t="s">
        <v>89</v>
      </c>
      <c r="D41" s="416">
        <v>0.77</v>
      </c>
      <c r="E41" s="416">
        <v>7.0000000000000007E-2</v>
      </c>
      <c r="F41" s="432">
        <f>(grains_table[[#This Row],[Extract %]]*46.214)/1000+1</f>
        <v>1.03558478</v>
      </c>
      <c r="G41" s="418">
        <v>10</v>
      </c>
      <c r="H41" s="419">
        <v>0</v>
      </c>
      <c r="I41" s="421" t="s">
        <v>1290</v>
      </c>
    </row>
    <row r="42" spans="1:9" ht="13.15" customHeight="1" x14ac:dyDescent="0.2">
      <c r="A42" s="415" t="s">
        <v>1347</v>
      </c>
      <c r="B42" s="415" t="s">
        <v>1248</v>
      </c>
      <c r="C42" s="365" t="s">
        <v>89</v>
      </c>
      <c r="D42" s="416">
        <v>0.75</v>
      </c>
      <c r="E42" s="416">
        <v>0.03</v>
      </c>
      <c r="F42" s="432">
        <f>(grains_table[[#This Row],[Extract %]]*46.214)/1000+1</f>
        <v>1.0346605</v>
      </c>
      <c r="G42" s="418">
        <v>120</v>
      </c>
      <c r="H42" s="419">
        <v>0</v>
      </c>
      <c r="I42" s="420" t="s">
        <v>1290</v>
      </c>
    </row>
    <row r="43" spans="1:9" ht="13.15" customHeight="1" x14ac:dyDescent="0.2">
      <c r="A43" s="415" t="s">
        <v>1348</v>
      </c>
      <c r="B43" s="415" t="s">
        <v>1248</v>
      </c>
      <c r="C43" s="365" t="s">
        <v>89</v>
      </c>
      <c r="D43" s="416">
        <v>0.76</v>
      </c>
      <c r="E43" s="416">
        <v>0.06</v>
      </c>
      <c r="F43" s="432">
        <f>(grains_table[[#This Row],[Extract %]]*46.214)/1000+1</f>
        <v>1.03512264</v>
      </c>
      <c r="G43" s="418">
        <v>20</v>
      </c>
      <c r="H43" s="419">
        <v>0</v>
      </c>
      <c r="I43" s="420" t="s">
        <v>1290</v>
      </c>
    </row>
    <row r="44" spans="1:9" ht="13.15" customHeight="1" x14ac:dyDescent="0.2">
      <c r="A44" s="415" t="s">
        <v>1349</v>
      </c>
      <c r="B44" s="415" t="s">
        <v>1248</v>
      </c>
      <c r="C44" s="365" t="s">
        <v>89</v>
      </c>
      <c r="D44" s="416">
        <v>0.77</v>
      </c>
      <c r="E44" s="416">
        <v>5.5E-2</v>
      </c>
      <c r="F44" s="432">
        <f>(grains_table[[#This Row],[Extract %]]*46.214)/1000+1</f>
        <v>1.03558478</v>
      </c>
      <c r="G44" s="418">
        <v>30</v>
      </c>
      <c r="H44" s="419">
        <v>0</v>
      </c>
      <c r="I44" s="421" t="s">
        <v>1290</v>
      </c>
    </row>
    <row r="45" spans="1:9" ht="13.15" customHeight="1" x14ac:dyDescent="0.2">
      <c r="A45" s="415" t="s">
        <v>1350</v>
      </c>
      <c r="B45" s="415" t="s">
        <v>1248</v>
      </c>
      <c r="C45" s="365" t="s">
        <v>89</v>
      </c>
      <c r="D45" s="416">
        <v>0.77</v>
      </c>
      <c r="E45" s="416">
        <v>5.5E-2</v>
      </c>
      <c r="F45" s="432">
        <f>(grains_table[[#This Row],[Extract %]]*46.214)/1000+1</f>
        <v>1.03558478</v>
      </c>
      <c r="G45" s="418">
        <v>40</v>
      </c>
      <c r="H45" s="419">
        <v>0</v>
      </c>
      <c r="I45" s="421" t="s">
        <v>1290</v>
      </c>
    </row>
    <row r="46" spans="1:9" ht="13.15" customHeight="1" x14ac:dyDescent="0.2">
      <c r="A46" s="415" t="s">
        <v>1351</v>
      </c>
      <c r="B46" s="415" t="s">
        <v>1248</v>
      </c>
      <c r="C46" s="365" t="s">
        <v>89</v>
      </c>
      <c r="D46" s="416">
        <v>0.77</v>
      </c>
      <c r="E46" s="416">
        <v>0.05</v>
      </c>
      <c r="F46" s="432">
        <f>(grains_table[[#This Row],[Extract %]]*46.214)/1000+1</f>
        <v>1.03558478</v>
      </c>
      <c r="G46" s="418">
        <v>60</v>
      </c>
      <c r="H46" s="419">
        <v>0</v>
      </c>
      <c r="I46" s="421" t="s">
        <v>1290</v>
      </c>
    </row>
    <row r="47" spans="1:9" ht="13.15" customHeight="1" x14ac:dyDescent="0.2">
      <c r="A47" s="415" t="s">
        <v>1352</v>
      </c>
      <c r="B47" s="415" t="s">
        <v>1248</v>
      </c>
      <c r="C47" s="365" t="s">
        <v>89</v>
      </c>
      <c r="D47" s="416">
        <v>0.76</v>
      </c>
      <c r="E47" s="416">
        <v>4.4999999999999998E-2</v>
      </c>
      <c r="F47" s="432">
        <f>(grains_table[[#This Row],[Extract %]]*46.214)/1000+1</f>
        <v>1.03512264</v>
      </c>
      <c r="G47" s="418">
        <v>80</v>
      </c>
      <c r="H47" s="419">
        <v>0</v>
      </c>
      <c r="I47" s="421" t="s">
        <v>1290</v>
      </c>
    </row>
    <row r="48" spans="1:9" ht="13.15" customHeight="1" x14ac:dyDescent="0.2">
      <c r="A48" s="415" t="s">
        <v>1353</v>
      </c>
      <c r="B48" s="415" t="s">
        <v>1248</v>
      </c>
      <c r="C48" s="365" t="s">
        <v>89</v>
      </c>
      <c r="D48" s="416">
        <v>0.75</v>
      </c>
      <c r="E48" s="416">
        <v>0.04</v>
      </c>
      <c r="F48" s="432">
        <f>(grains_table[[#This Row],[Extract %]]*46.214)/1000+1</f>
        <v>1.0346605</v>
      </c>
      <c r="G48" s="418">
        <v>90</v>
      </c>
      <c r="H48" s="419">
        <v>0</v>
      </c>
      <c r="I48" s="420" t="s">
        <v>1290</v>
      </c>
    </row>
    <row r="49" spans="1:9" ht="13.15" customHeight="1" x14ac:dyDescent="0.2">
      <c r="A49" s="415" t="s">
        <v>1354</v>
      </c>
      <c r="B49" s="415" t="s">
        <v>1248</v>
      </c>
      <c r="C49" s="365" t="s">
        <v>89</v>
      </c>
      <c r="D49" s="416">
        <v>0.77</v>
      </c>
      <c r="E49" s="416">
        <v>3.5000000000000003E-2</v>
      </c>
      <c r="F49" s="432">
        <f>(grains_table[[#This Row],[Extract %]]*46.214)/1000+1</f>
        <v>1.03558478</v>
      </c>
      <c r="G49" s="418">
        <v>60</v>
      </c>
      <c r="H49" s="419">
        <v>0</v>
      </c>
      <c r="I49" s="420" t="s">
        <v>1290</v>
      </c>
    </row>
    <row r="50" spans="1:9" ht="13.15" customHeight="1" x14ac:dyDescent="0.2">
      <c r="A50" s="415" t="s">
        <v>1355</v>
      </c>
      <c r="B50" s="415" t="s">
        <v>1248</v>
      </c>
      <c r="C50" s="365" t="s">
        <v>89</v>
      </c>
      <c r="D50" s="416">
        <v>0.8</v>
      </c>
      <c r="E50" s="416">
        <v>0.05</v>
      </c>
      <c r="F50" s="432">
        <f>(grains_table[[#This Row],[Extract %]]*46.214)/1000+1</f>
        <v>1.0369712</v>
      </c>
      <c r="G50" s="418">
        <v>60</v>
      </c>
      <c r="H50" s="419">
        <v>0</v>
      </c>
      <c r="I50" s="421" t="s">
        <v>1290</v>
      </c>
    </row>
    <row r="51" spans="1:9" ht="13.15" customHeight="1" x14ac:dyDescent="0.2">
      <c r="A51" s="415" t="s">
        <v>1356</v>
      </c>
      <c r="B51" s="415" t="s">
        <v>1248</v>
      </c>
      <c r="C51" s="365" t="s">
        <v>89</v>
      </c>
      <c r="D51" s="416">
        <v>0.78</v>
      </c>
      <c r="E51" s="416">
        <v>4.4999999999999998E-2</v>
      </c>
      <c r="F51" s="432">
        <f>(grains_table[[#This Row],[Extract %]]*46.214)/1000+1</f>
        <v>1.03604692</v>
      </c>
      <c r="G51" s="418">
        <v>20</v>
      </c>
      <c r="H51" s="419">
        <v>0</v>
      </c>
      <c r="I51" s="420" t="s">
        <v>1290</v>
      </c>
    </row>
    <row r="52" spans="1:9" ht="13.15" customHeight="1" x14ac:dyDescent="0.2">
      <c r="A52" s="415" t="s">
        <v>1459</v>
      </c>
      <c r="B52" s="415" t="s">
        <v>1246</v>
      </c>
      <c r="C52" s="365" t="s">
        <v>89</v>
      </c>
      <c r="D52" s="416">
        <v>0.73</v>
      </c>
      <c r="E52" s="416">
        <v>6.5000000000000002E-2</v>
      </c>
      <c r="F52" s="432">
        <f>(grains_table[[#This Row],[Extract %]]*46.214)/1000+1</f>
        <v>1.03373622</v>
      </c>
      <c r="G52" s="418">
        <v>34.5</v>
      </c>
      <c r="H52" s="419">
        <v>0</v>
      </c>
      <c r="I52" s="420" t="s">
        <v>1287</v>
      </c>
    </row>
    <row r="53" spans="1:9" ht="13.15" customHeight="1" x14ac:dyDescent="0.2">
      <c r="A53" s="415" t="s">
        <v>1460</v>
      </c>
      <c r="B53" s="415" t="s">
        <v>1246</v>
      </c>
      <c r="C53" s="365" t="s">
        <v>89</v>
      </c>
      <c r="D53" s="416">
        <v>0.73</v>
      </c>
      <c r="E53" s="416">
        <v>6.5000000000000002E-2</v>
      </c>
      <c r="F53" s="432">
        <f>(grains_table[[#This Row],[Extract %]]*46.214)/1000+1</f>
        <v>1.03373622</v>
      </c>
      <c r="G53" s="418">
        <v>45.5</v>
      </c>
      <c r="H53" s="419">
        <v>0</v>
      </c>
      <c r="I53" s="420" t="s">
        <v>1287</v>
      </c>
    </row>
    <row r="54" spans="1:9" ht="13.15" customHeight="1" x14ac:dyDescent="0.2">
      <c r="A54" s="415" t="s">
        <v>1461</v>
      </c>
      <c r="B54" s="415" t="s">
        <v>1246</v>
      </c>
      <c r="C54" s="365" t="s">
        <v>89</v>
      </c>
      <c r="D54" s="416">
        <v>0.73</v>
      </c>
      <c r="E54" s="416">
        <v>6.5000000000000002E-2</v>
      </c>
      <c r="F54" s="432">
        <f>(grains_table[[#This Row],[Extract %]]*46.214)/1000+1</f>
        <v>1.03373622</v>
      </c>
      <c r="G54" s="418">
        <v>56.75</v>
      </c>
      <c r="H54" s="419">
        <v>0</v>
      </c>
      <c r="I54" s="420" t="s">
        <v>1287</v>
      </c>
    </row>
    <row r="55" spans="1:9" ht="13.15" customHeight="1" x14ac:dyDescent="0.2">
      <c r="A55" s="415" t="s">
        <v>1462</v>
      </c>
      <c r="B55" s="415" t="s">
        <v>1246</v>
      </c>
      <c r="C55" s="365" t="s">
        <v>89</v>
      </c>
      <c r="D55" s="416">
        <v>0.75</v>
      </c>
      <c r="E55" s="416">
        <v>7.0000000000000007E-2</v>
      </c>
      <c r="F55" s="432">
        <f>(grains_table[[#This Row],[Extract %]]*46.214)/1000+1</f>
        <v>1.0346605</v>
      </c>
      <c r="G55" s="418">
        <v>2.2000000000000002</v>
      </c>
      <c r="H55" s="419">
        <v>0</v>
      </c>
      <c r="I55" s="420" t="s">
        <v>1287</v>
      </c>
    </row>
    <row r="56" spans="1:9" ht="13.15" customHeight="1" x14ac:dyDescent="0.2">
      <c r="A56" s="415" t="s">
        <v>1463</v>
      </c>
      <c r="B56" s="415" t="s">
        <v>1246</v>
      </c>
      <c r="C56" s="365" t="s">
        <v>89</v>
      </c>
      <c r="D56" s="416">
        <v>0.74</v>
      </c>
      <c r="E56" s="416">
        <v>7.4999999999999997E-2</v>
      </c>
      <c r="F56" s="432">
        <f>(grains_table[[#This Row],[Extract %]]*46.214)/1000+1</f>
        <v>1.03419836</v>
      </c>
      <c r="G56" s="418">
        <v>19.5</v>
      </c>
      <c r="H56" s="419">
        <v>0</v>
      </c>
      <c r="I56" s="420" t="s">
        <v>1287</v>
      </c>
    </row>
    <row r="57" spans="1:9" ht="13.15" customHeight="1" x14ac:dyDescent="0.2">
      <c r="A57" s="415" t="s">
        <v>1464</v>
      </c>
      <c r="B57" s="415" t="s">
        <v>1246</v>
      </c>
      <c r="C57" s="365" t="s">
        <v>89</v>
      </c>
      <c r="D57" s="416">
        <v>0.74</v>
      </c>
      <c r="E57" s="416">
        <v>6.5000000000000002E-2</v>
      </c>
      <c r="F57" s="432">
        <f>(grains_table[[#This Row],[Extract %]]*46.214)/1000+1</f>
        <v>1.03419836</v>
      </c>
      <c r="G57" s="418">
        <v>66.5</v>
      </c>
      <c r="H57" s="419">
        <v>0</v>
      </c>
      <c r="I57" s="420" t="s">
        <v>1287</v>
      </c>
    </row>
    <row r="58" spans="1:9" ht="13.15" customHeight="1" x14ac:dyDescent="0.2">
      <c r="A58" s="415" t="s">
        <v>1465</v>
      </c>
      <c r="B58" s="415" t="s">
        <v>1246</v>
      </c>
      <c r="C58" s="365" t="s">
        <v>89</v>
      </c>
      <c r="D58" s="416">
        <v>0.68</v>
      </c>
      <c r="E58" s="416">
        <v>6.5000000000000002E-2</v>
      </c>
      <c r="F58" s="432">
        <f>(grains_table[[#This Row],[Extract %]]*46.214)/1000+1</f>
        <v>1.03142552</v>
      </c>
      <c r="G58" s="418">
        <v>47.5</v>
      </c>
      <c r="H58" s="419">
        <v>0</v>
      </c>
      <c r="I58" s="420" t="s">
        <v>1287</v>
      </c>
    </row>
    <row r="59" spans="1:9" ht="13.15" customHeight="1" x14ac:dyDescent="0.2">
      <c r="A59" s="415" t="s">
        <v>1357</v>
      </c>
      <c r="B59" s="415" t="s">
        <v>1247</v>
      </c>
      <c r="C59" s="365" t="s">
        <v>89</v>
      </c>
      <c r="D59" s="416">
        <v>0.69</v>
      </c>
      <c r="E59" s="416">
        <v>0.05</v>
      </c>
      <c r="F59" s="432">
        <f>(grains_table[[#This Row],[Extract %]]*46.214)/1000+1</f>
        <v>1.03188766</v>
      </c>
      <c r="G59" s="418">
        <v>100.9</v>
      </c>
      <c r="H59" s="419">
        <v>0</v>
      </c>
      <c r="I59" s="421" t="s">
        <v>1269</v>
      </c>
    </row>
    <row r="60" spans="1:9" ht="13.15" customHeight="1" x14ac:dyDescent="0.2">
      <c r="A60" s="415" t="s">
        <v>1358</v>
      </c>
      <c r="B60" s="415" t="s">
        <v>1247</v>
      </c>
      <c r="C60" s="365" t="s">
        <v>89</v>
      </c>
      <c r="D60" s="416">
        <v>0.69</v>
      </c>
      <c r="E60" s="416">
        <v>0.05</v>
      </c>
      <c r="F60" s="432">
        <f>(grains_table[[#This Row],[Extract %]]*46.214)/1000+1</f>
        <v>1.03188766</v>
      </c>
      <c r="G60" s="418">
        <v>178.7</v>
      </c>
      <c r="H60" s="419">
        <v>0</v>
      </c>
      <c r="I60" s="420" t="s">
        <v>1270</v>
      </c>
    </row>
    <row r="61" spans="1:9" ht="13.15" customHeight="1" x14ac:dyDescent="0.2">
      <c r="A61" s="415" t="s">
        <v>1359</v>
      </c>
      <c r="B61" s="415" t="s">
        <v>1247</v>
      </c>
      <c r="C61" s="365" t="s">
        <v>89</v>
      </c>
      <c r="D61" s="416">
        <v>0.69</v>
      </c>
      <c r="E61" s="416">
        <v>0.06</v>
      </c>
      <c r="F61" s="432">
        <f>(grains_table[[#This Row],[Extract %]]*46.214)/1000+1</f>
        <v>1.03188766</v>
      </c>
      <c r="G61" s="418">
        <v>39.549999999999997</v>
      </c>
      <c r="H61" s="419">
        <v>0</v>
      </c>
      <c r="I61" s="420" t="s">
        <v>1266</v>
      </c>
    </row>
    <row r="62" spans="1:9" ht="13.15" customHeight="1" x14ac:dyDescent="0.2">
      <c r="A62" s="415" t="s">
        <v>1360</v>
      </c>
      <c r="B62" s="415" t="s">
        <v>1247</v>
      </c>
      <c r="C62" s="365" t="s">
        <v>89</v>
      </c>
      <c r="D62" s="416">
        <v>0.69</v>
      </c>
      <c r="E62" s="416">
        <v>0.05</v>
      </c>
      <c r="F62" s="432">
        <f>(grains_table[[#This Row],[Extract %]]*46.214)/1000+1</f>
        <v>1.03188766</v>
      </c>
      <c r="G62" s="418">
        <v>67.5</v>
      </c>
      <c r="H62" s="419">
        <v>0</v>
      </c>
      <c r="I62" s="421" t="s">
        <v>1268</v>
      </c>
    </row>
    <row r="63" spans="1:9" ht="13.15" customHeight="1" x14ac:dyDescent="0.2">
      <c r="A63" s="415" t="s">
        <v>1896</v>
      </c>
      <c r="B63" s="422" t="s">
        <v>1868</v>
      </c>
      <c r="C63" s="418" t="s">
        <v>89</v>
      </c>
      <c r="D63" s="423">
        <v>0.79</v>
      </c>
      <c r="E63" s="423">
        <v>4.4999999999999998E-2</v>
      </c>
      <c r="F63" s="432">
        <f>(grains_table[[#This Row],[Extract %]]*46.214)/1000+1</f>
        <v>1.03650906</v>
      </c>
      <c r="G63" s="418">
        <v>26.8</v>
      </c>
      <c r="H63" s="419">
        <v>0</v>
      </c>
      <c r="I63" s="421" t="s">
        <v>1869</v>
      </c>
    </row>
    <row r="64" spans="1:9" ht="13.15" customHeight="1" x14ac:dyDescent="0.2">
      <c r="A64" s="415" t="s">
        <v>1361</v>
      </c>
      <c r="B64" s="415" t="s">
        <v>1247</v>
      </c>
      <c r="C64" s="365" t="s">
        <v>89</v>
      </c>
      <c r="D64" s="416">
        <v>0.69</v>
      </c>
      <c r="E64" s="416">
        <v>0.05</v>
      </c>
      <c r="F64" s="432">
        <f>(grains_table[[#This Row],[Extract %]]*46.214)/1000+1</f>
        <v>1.03188766</v>
      </c>
      <c r="G64" s="418">
        <v>50.5</v>
      </c>
      <c r="H64" s="419">
        <v>0</v>
      </c>
      <c r="I64" s="421" t="s">
        <v>1267</v>
      </c>
    </row>
    <row r="65" spans="1:9" ht="13.15" customHeight="1" x14ac:dyDescent="0.2">
      <c r="A65" s="415" t="s">
        <v>1879</v>
      </c>
      <c r="B65" s="422" t="s">
        <v>1868</v>
      </c>
      <c r="C65" s="418" t="s">
        <v>89</v>
      </c>
      <c r="D65" s="423">
        <v>0.78</v>
      </c>
      <c r="E65" s="423">
        <v>0.06</v>
      </c>
      <c r="F65" s="432">
        <f>(grains_table[[#This Row],[Extract %]]*46.214)/1000+1</f>
        <v>1.03604692</v>
      </c>
      <c r="G65" s="418">
        <v>75.599999999999994</v>
      </c>
      <c r="H65" s="419">
        <v>0</v>
      </c>
      <c r="I65" s="421" t="s">
        <v>1869</v>
      </c>
    </row>
    <row r="66" spans="1:9" ht="13.15" customHeight="1" x14ac:dyDescent="0.2">
      <c r="A66" s="415" t="s">
        <v>1362</v>
      </c>
      <c r="B66" s="415" t="s">
        <v>1247</v>
      </c>
      <c r="C66" s="365" t="s">
        <v>89</v>
      </c>
      <c r="D66" s="416">
        <v>0.69</v>
      </c>
      <c r="E66" s="416">
        <v>0.05</v>
      </c>
      <c r="F66" s="432">
        <f>(grains_table[[#This Row],[Extract %]]*46.214)/1000+1</f>
        <v>1.03188766</v>
      </c>
      <c r="G66" s="418">
        <v>67.5</v>
      </c>
      <c r="H66" s="419">
        <v>0</v>
      </c>
      <c r="I66" s="420" t="s">
        <v>1272</v>
      </c>
    </row>
    <row r="67" spans="1:9" ht="13.15" customHeight="1" x14ac:dyDescent="0.2">
      <c r="A67" s="415" t="s">
        <v>1877</v>
      </c>
      <c r="B67" s="422" t="s">
        <v>1868</v>
      </c>
      <c r="C67" s="418" t="s">
        <v>89</v>
      </c>
      <c r="D67" s="423">
        <v>0.78</v>
      </c>
      <c r="E67" s="423">
        <v>6.5000000000000002E-2</v>
      </c>
      <c r="F67" s="432">
        <f>(grains_table[[#This Row],[Extract %]]*46.214)/1000+1</f>
        <v>1.03604692</v>
      </c>
      <c r="G67" s="418">
        <v>19.3</v>
      </c>
      <c r="H67" s="419">
        <v>0</v>
      </c>
      <c r="I67" s="421" t="s">
        <v>1869</v>
      </c>
    </row>
    <row r="68" spans="1:9" ht="13.15" customHeight="1" x14ac:dyDescent="0.2">
      <c r="A68" s="415" t="s">
        <v>1878</v>
      </c>
      <c r="B68" s="422" t="s">
        <v>1868</v>
      </c>
      <c r="C68" s="418" t="s">
        <v>89</v>
      </c>
      <c r="D68" s="423">
        <v>0.78</v>
      </c>
      <c r="E68" s="423">
        <v>0.06</v>
      </c>
      <c r="F68" s="432">
        <f>(grains_table[[#This Row],[Extract %]]*46.214)/1000+1</f>
        <v>1.03604692</v>
      </c>
      <c r="G68" s="418">
        <v>39.9</v>
      </c>
      <c r="H68" s="419">
        <v>0</v>
      </c>
      <c r="I68" s="421" t="s">
        <v>1869</v>
      </c>
    </row>
    <row r="69" spans="1:9" ht="13.15" customHeight="1" x14ac:dyDescent="0.2">
      <c r="A69" s="415" t="s">
        <v>1363</v>
      </c>
      <c r="B69" s="415" t="s">
        <v>1247</v>
      </c>
      <c r="C69" s="365" t="s">
        <v>89</v>
      </c>
      <c r="D69" s="416">
        <v>0.71</v>
      </c>
      <c r="E69" s="416">
        <v>3.5000000000000003E-2</v>
      </c>
      <c r="F69" s="432">
        <f>(grains_table[[#This Row],[Extract %]]*46.214)/1000+1</f>
        <v>1.03281194</v>
      </c>
      <c r="G69" s="418">
        <v>23.05</v>
      </c>
      <c r="H69" s="419">
        <v>0</v>
      </c>
      <c r="I69" s="420" t="s">
        <v>1265</v>
      </c>
    </row>
    <row r="70" spans="1:9" ht="13.15" customHeight="1" x14ac:dyDescent="0.2">
      <c r="A70" s="415" t="s">
        <v>1435</v>
      </c>
      <c r="B70" s="415" t="s">
        <v>1247</v>
      </c>
      <c r="C70" s="365" t="s">
        <v>89</v>
      </c>
      <c r="D70" s="416">
        <v>0.65</v>
      </c>
      <c r="E70" s="416">
        <v>0.02</v>
      </c>
      <c r="F70" s="432">
        <f>(grains_table[[#This Row],[Extract %]]*46.214)/1000+1</f>
        <v>1.0300391</v>
      </c>
      <c r="G70" s="418">
        <v>103.1</v>
      </c>
      <c r="H70" s="419">
        <v>0</v>
      </c>
      <c r="I70" s="420" t="s">
        <v>1281</v>
      </c>
    </row>
    <row r="71" spans="1:9" ht="13.15" customHeight="1" x14ac:dyDescent="0.2">
      <c r="A71" s="415" t="s">
        <v>1890</v>
      </c>
      <c r="B71" s="422" t="s">
        <v>1868</v>
      </c>
      <c r="C71" s="418" t="s">
        <v>89</v>
      </c>
      <c r="D71" s="423">
        <v>0.78</v>
      </c>
      <c r="E71" s="423">
        <v>6.5000000000000002E-2</v>
      </c>
      <c r="F71" s="432">
        <f>(grains_table[[#This Row],[Extract %]]*46.214)/1000+1</f>
        <v>1.03604692</v>
      </c>
      <c r="G71" s="418">
        <v>24.94</v>
      </c>
      <c r="H71" s="419">
        <v>0</v>
      </c>
      <c r="I71" s="421" t="s">
        <v>1869</v>
      </c>
    </row>
    <row r="72" spans="1:9" ht="13.15" customHeight="1" x14ac:dyDescent="0.2">
      <c r="A72" s="415" t="s">
        <v>1364</v>
      </c>
      <c r="B72" s="415" t="s">
        <v>1247</v>
      </c>
      <c r="C72" s="365" t="s">
        <v>89</v>
      </c>
      <c r="D72" s="416">
        <v>0.69</v>
      </c>
      <c r="E72" s="416">
        <v>0.05</v>
      </c>
      <c r="F72" s="432">
        <f>(grains_table[[#This Row],[Extract %]]*46.214)/1000+1</f>
        <v>1.03188766</v>
      </c>
      <c r="G72" s="418">
        <v>113.1</v>
      </c>
      <c r="H72" s="419">
        <v>0</v>
      </c>
      <c r="I72" s="420" t="s">
        <v>1271</v>
      </c>
    </row>
    <row r="73" spans="1:9" ht="13.15" customHeight="1" x14ac:dyDescent="0.2">
      <c r="A73" s="415" t="s">
        <v>1365</v>
      </c>
      <c r="B73" s="415" t="s">
        <v>1249</v>
      </c>
      <c r="C73" s="365" t="s">
        <v>89</v>
      </c>
      <c r="D73" s="416">
        <v>0.72</v>
      </c>
      <c r="E73" s="416">
        <v>0.05</v>
      </c>
      <c r="F73" s="432">
        <f>(grains_table[[#This Row],[Extract %]]*46.214)/1000+1</f>
        <v>1.03327408</v>
      </c>
      <c r="G73" s="418">
        <v>125</v>
      </c>
      <c r="H73" s="419">
        <v>0</v>
      </c>
      <c r="I73" s="420" t="s">
        <v>1285</v>
      </c>
    </row>
    <row r="74" spans="1:9" ht="13.15" customHeight="1" x14ac:dyDescent="0.2">
      <c r="A74" s="415" t="s">
        <v>1899</v>
      </c>
      <c r="B74" s="422" t="s">
        <v>1868</v>
      </c>
      <c r="C74" s="418" t="s">
        <v>89</v>
      </c>
      <c r="D74" s="423">
        <v>0.71</v>
      </c>
      <c r="E74" s="423">
        <v>0.06</v>
      </c>
      <c r="F74" s="432">
        <f>(grains_table[[#This Row],[Extract %]]*46.214)/1000+1</f>
        <v>1.03281194</v>
      </c>
      <c r="G74" s="418">
        <v>43.3</v>
      </c>
      <c r="H74" s="419">
        <v>0</v>
      </c>
      <c r="I74" s="421" t="s">
        <v>1869</v>
      </c>
    </row>
    <row r="75" spans="1:9" ht="13.15" customHeight="1" x14ac:dyDescent="0.2">
      <c r="A75" s="415" t="s">
        <v>1900</v>
      </c>
      <c r="B75" s="422" t="s">
        <v>1868</v>
      </c>
      <c r="C75" s="418" t="s">
        <v>89</v>
      </c>
      <c r="D75" s="423">
        <v>0.74</v>
      </c>
      <c r="E75" s="423">
        <v>7.4999999999999997E-2</v>
      </c>
      <c r="F75" s="432">
        <f>(grains_table[[#This Row],[Extract %]]*46.214)/1000+1</f>
        <v>1.03419836</v>
      </c>
      <c r="G75" s="418">
        <v>5.0999999999999996</v>
      </c>
      <c r="H75" s="419">
        <v>0</v>
      </c>
      <c r="I75" s="421" t="s">
        <v>1869</v>
      </c>
    </row>
    <row r="76" spans="1:9" ht="13.15" customHeight="1" x14ac:dyDescent="0.2">
      <c r="A76" s="415" t="s">
        <v>1453</v>
      </c>
      <c r="B76" s="415" t="s">
        <v>1291</v>
      </c>
      <c r="C76" s="365" t="s">
        <v>89</v>
      </c>
      <c r="D76" s="416">
        <v>0.5</v>
      </c>
      <c r="E76" s="416">
        <v>4.9000000000000002E-2</v>
      </c>
      <c r="F76" s="432">
        <f>(grains_table[[#This Row],[Extract %]]*46.214)/1000+1</f>
        <v>1.023107</v>
      </c>
      <c r="G76" s="418">
        <v>1.4</v>
      </c>
      <c r="H76" s="433">
        <f>(250+16)/3.5</f>
        <v>76</v>
      </c>
      <c r="I76" s="421" t="s">
        <v>1325</v>
      </c>
    </row>
    <row r="77" spans="1:9" ht="13.15" customHeight="1" x14ac:dyDescent="0.2">
      <c r="A77" s="415" t="s">
        <v>1988</v>
      </c>
      <c r="B77" s="422" t="s">
        <v>1248</v>
      </c>
      <c r="C77" s="418" t="s">
        <v>89</v>
      </c>
      <c r="D77" s="423">
        <v>0.71</v>
      </c>
      <c r="E77" s="423">
        <v>5.5E-2</v>
      </c>
      <c r="F77" s="432">
        <f>(grains_table[[#This Row],[Extract %]]*46.214)/1000+1</f>
        <v>1.03281194</v>
      </c>
      <c r="G77" s="418">
        <v>350</v>
      </c>
      <c r="H77" s="419">
        <v>0</v>
      </c>
      <c r="I77" s="421" t="s">
        <v>1989</v>
      </c>
    </row>
    <row r="78" spans="1:9" ht="13.15" customHeight="1" x14ac:dyDescent="0.2">
      <c r="A78" s="415" t="s">
        <v>2436</v>
      </c>
      <c r="B78" s="422" t="s">
        <v>2383</v>
      </c>
      <c r="C78" s="418" t="s">
        <v>89</v>
      </c>
      <c r="D78" s="423">
        <v>0.72</v>
      </c>
      <c r="E78" s="423">
        <v>0.02</v>
      </c>
      <c r="F78" s="432">
        <f>(grains_table[[#This Row],[Extract %]]*46.214)/1000+1</f>
        <v>1.03327408</v>
      </c>
      <c r="G78" s="418">
        <v>228</v>
      </c>
      <c r="H78" s="419">
        <v>0</v>
      </c>
      <c r="I78" s="421" t="s">
        <v>2435</v>
      </c>
    </row>
    <row r="79" spans="1:9" ht="13.15" customHeight="1" x14ac:dyDescent="0.2">
      <c r="A79" s="415" t="s">
        <v>1990</v>
      </c>
      <c r="B79" s="422" t="s">
        <v>1248</v>
      </c>
      <c r="C79" s="418" t="s">
        <v>89</v>
      </c>
      <c r="D79" s="423">
        <v>0.71</v>
      </c>
      <c r="E79" s="423">
        <v>5.5E-2</v>
      </c>
      <c r="F79" s="432">
        <f>(grains_table[[#This Row],[Extract %]]*46.214)/1000+1</f>
        <v>1.03281194</v>
      </c>
      <c r="G79" s="418">
        <v>420</v>
      </c>
      <c r="H79" s="419">
        <v>0</v>
      </c>
      <c r="I79" s="421" t="s">
        <v>1989</v>
      </c>
    </row>
    <row r="80" spans="1:9" ht="13.15" customHeight="1" x14ac:dyDescent="0.2">
      <c r="A80" s="415" t="s">
        <v>1876</v>
      </c>
      <c r="B80" s="422" t="s">
        <v>1868</v>
      </c>
      <c r="C80" s="418" t="s">
        <v>89</v>
      </c>
      <c r="D80" s="423">
        <v>0.71</v>
      </c>
      <c r="E80" s="423">
        <v>4.4999999999999998E-2</v>
      </c>
      <c r="F80" s="432">
        <f>(grains_table[[#This Row],[Extract %]]*46.214)/1000+1</f>
        <v>1.03281194</v>
      </c>
      <c r="G80" s="418">
        <v>488</v>
      </c>
      <c r="H80" s="419">
        <v>0</v>
      </c>
      <c r="I80" s="421" t="s">
        <v>1869</v>
      </c>
    </row>
    <row r="81" spans="1:9" ht="13.15" customHeight="1" x14ac:dyDescent="0.2">
      <c r="A81" s="415" t="s">
        <v>1875</v>
      </c>
      <c r="B81" s="422" t="s">
        <v>1868</v>
      </c>
      <c r="C81" s="418" t="s">
        <v>89</v>
      </c>
      <c r="D81" s="423">
        <v>0.71</v>
      </c>
      <c r="E81" s="423">
        <v>4.4999999999999998E-2</v>
      </c>
      <c r="F81" s="432">
        <f>(grains_table[[#This Row],[Extract %]]*46.214)/1000+1</f>
        <v>1.03281194</v>
      </c>
      <c r="G81" s="418">
        <v>356.8</v>
      </c>
      <c r="H81" s="419">
        <v>0</v>
      </c>
      <c r="I81" s="421" t="s">
        <v>1869</v>
      </c>
    </row>
    <row r="82" spans="1:9" ht="13.15" customHeight="1" x14ac:dyDescent="0.2">
      <c r="A82" s="415" t="s">
        <v>1535</v>
      </c>
      <c r="B82" s="415" t="s">
        <v>1249</v>
      </c>
      <c r="C82" s="365" t="s">
        <v>89</v>
      </c>
      <c r="D82" s="416">
        <v>0.7</v>
      </c>
      <c r="E82" s="416">
        <v>4.4999999999999998E-2</v>
      </c>
      <c r="F82" s="432">
        <f>(grains_table[[#This Row],[Extract %]]*46.214)/1000+1</f>
        <v>1.0323498</v>
      </c>
      <c r="G82" s="418">
        <v>340</v>
      </c>
      <c r="H82" s="419">
        <v>0</v>
      </c>
      <c r="I82" s="421" t="s">
        <v>1286</v>
      </c>
    </row>
    <row r="83" spans="1:9" ht="13.15" customHeight="1" x14ac:dyDescent="0.2">
      <c r="A83" s="415" t="s">
        <v>1884</v>
      </c>
      <c r="B83" s="422" t="s">
        <v>1868</v>
      </c>
      <c r="C83" s="418" t="s">
        <v>89</v>
      </c>
      <c r="D83" s="423">
        <v>0.58919999999999995</v>
      </c>
      <c r="E83" s="423">
        <v>6.2799999999999995E-2</v>
      </c>
      <c r="F83" s="432">
        <f>(grains_table[[#This Row],[Extract %]]*46.214)/1000+1</f>
        <v>1.0272292888000001</v>
      </c>
      <c r="G83" s="418">
        <v>1.5</v>
      </c>
      <c r="H83" s="419">
        <v>0</v>
      </c>
      <c r="I83" s="421" t="s">
        <v>1869</v>
      </c>
    </row>
    <row r="84" spans="1:9" ht="13.15" customHeight="1" x14ac:dyDescent="0.2">
      <c r="A84" s="415" t="s">
        <v>1366</v>
      </c>
      <c r="B84" s="415" t="s">
        <v>1248</v>
      </c>
      <c r="C84" s="365" t="s">
        <v>89</v>
      </c>
      <c r="D84" s="416">
        <v>0.75</v>
      </c>
      <c r="E84" s="416">
        <v>6.5000000000000002E-2</v>
      </c>
      <c r="F84" s="432">
        <f>(grains_table[[#This Row],[Extract %]]*46.214)/1000+1</f>
        <v>1.0346605</v>
      </c>
      <c r="G84" s="418">
        <v>1.5</v>
      </c>
      <c r="H84" s="419">
        <v>0</v>
      </c>
      <c r="I84" s="420" t="s">
        <v>1292</v>
      </c>
    </row>
    <row r="85" spans="1:9" ht="13.15" customHeight="1" x14ac:dyDescent="0.2">
      <c r="A85" s="415" t="s">
        <v>1367</v>
      </c>
      <c r="B85" s="415" t="s">
        <v>1248</v>
      </c>
      <c r="C85" s="365" t="s">
        <v>89</v>
      </c>
      <c r="D85" s="416">
        <v>0.75</v>
      </c>
      <c r="E85" s="416">
        <v>5.5E-2</v>
      </c>
      <c r="F85" s="432">
        <f>(grains_table[[#This Row],[Extract %]]*46.214)/1000+1</f>
        <v>1.0346605</v>
      </c>
      <c r="G85" s="418">
        <v>30</v>
      </c>
      <c r="H85" s="419">
        <v>0</v>
      </c>
      <c r="I85" s="420" t="s">
        <v>1292</v>
      </c>
    </row>
    <row r="86" spans="1:9" ht="13.15" customHeight="1" x14ac:dyDescent="0.2">
      <c r="A86" s="415" t="s">
        <v>1368</v>
      </c>
      <c r="B86" s="415" t="s">
        <v>1247</v>
      </c>
      <c r="C86" s="365" t="s">
        <v>89</v>
      </c>
      <c r="D86" s="416">
        <v>0.67500000000000004</v>
      </c>
      <c r="E86" s="416">
        <v>7.0000000000000007E-2</v>
      </c>
      <c r="F86" s="432">
        <f>(grains_table[[#This Row],[Extract %]]*46.214)/1000+1</f>
        <v>1.0311944500000001</v>
      </c>
      <c r="G86" s="418">
        <v>1.1000000000000001</v>
      </c>
      <c r="H86" s="419">
        <v>0</v>
      </c>
      <c r="I86" s="420" t="s">
        <v>1283</v>
      </c>
    </row>
    <row r="87" spans="1:9" ht="13.15" customHeight="1" x14ac:dyDescent="0.2">
      <c r="A87" s="415" t="s">
        <v>1882</v>
      </c>
      <c r="B87" s="422" t="s">
        <v>1868</v>
      </c>
      <c r="C87" s="418" t="s">
        <v>89</v>
      </c>
      <c r="D87" s="423">
        <v>0.82</v>
      </c>
      <c r="E87" s="423">
        <v>0.05</v>
      </c>
      <c r="F87" s="432">
        <f>(grains_table[[#This Row],[Extract %]]*46.214)/1000+1</f>
        <v>1.03789548</v>
      </c>
      <c r="G87" s="418">
        <v>3.6</v>
      </c>
      <c r="H87" s="419">
        <v>0</v>
      </c>
      <c r="I87" s="420" t="s">
        <v>1869</v>
      </c>
    </row>
    <row r="88" spans="1:9" x14ac:dyDescent="0.2">
      <c r="A88" s="415" t="s">
        <v>1537</v>
      </c>
      <c r="B88" s="415" t="s">
        <v>1248</v>
      </c>
      <c r="C88" s="365" t="s">
        <v>702</v>
      </c>
      <c r="D88" s="423"/>
      <c r="E88" s="423"/>
      <c r="F88" s="417">
        <v>1.0449999999999999</v>
      </c>
      <c r="G88" s="418">
        <v>6</v>
      </c>
      <c r="H88" s="419">
        <v>0</v>
      </c>
      <c r="I88" s="420" t="s">
        <v>1490</v>
      </c>
    </row>
    <row r="89" spans="1:9" ht="13.15" customHeight="1" x14ac:dyDescent="0.2">
      <c r="A89" s="415" t="s">
        <v>1538</v>
      </c>
      <c r="B89" s="415" t="s">
        <v>1248</v>
      </c>
      <c r="C89" s="365" t="s">
        <v>702</v>
      </c>
      <c r="D89" s="423"/>
      <c r="E89" s="423"/>
      <c r="F89" s="417">
        <v>1.0449999999999999</v>
      </c>
      <c r="G89" s="418">
        <v>2</v>
      </c>
      <c r="H89" s="419">
        <v>0</v>
      </c>
      <c r="I89" s="420" t="s">
        <v>1490</v>
      </c>
    </row>
    <row r="90" spans="1:9" ht="13.15" customHeight="1" x14ac:dyDescent="0.2">
      <c r="A90" s="415" t="s">
        <v>1474</v>
      </c>
      <c r="B90" s="415" t="s">
        <v>562</v>
      </c>
      <c r="C90" s="365" t="s">
        <v>702</v>
      </c>
      <c r="D90" s="416"/>
      <c r="E90" s="416"/>
      <c r="F90" s="417">
        <v>1.0383439999999999</v>
      </c>
      <c r="G90" s="418">
        <v>6.7</v>
      </c>
      <c r="H90" s="419">
        <v>0</v>
      </c>
      <c r="I90" s="420" t="s">
        <v>1466</v>
      </c>
    </row>
    <row r="91" spans="1:9" ht="13.15" customHeight="1" x14ac:dyDescent="0.2">
      <c r="A91" s="415" t="s">
        <v>1475</v>
      </c>
      <c r="B91" s="415" t="s">
        <v>562</v>
      </c>
      <c r="C91" s="365" t="s">
        <v>702</v>
      </c>
      <c r="D91" s="416"/>
      <c r="E91" s="416"/>
      <c r="F91" s="417">
        <v>1.0377449999999999</v>
      </c>
      <c r="G91" s="418">
        <v>22</v>
      </c>
      <c r="H91" s="419">
        <v>0</v>
      </c>
      <c r="I91" s="420" t="s">
        <v>1466</v>
      </c>
    </row>
    <row r="92" spans="1:9" ht="13.15" customHeight="1" x14ac:dyDescent="0.2">
      <c r="A92" s="415" t="s">
        <v>1476</v>
      </c>
      <c r="B92" s="415" t="s">
        <v>562</v>
      </c>
      <c r="C92" s="365" t="s">
        <v>702</v>
      </c>
      <c r="D92" s="416"/>
      <c r="E92" s="416"/>
      <c r="F92" s="417">
        <v>1.0377449999999999</v>
      </c>
      <c r="G92" s="418">
        <v>36</v>
      </c>
      <c r="H92" s="419">
        <v>0</v>
      </c>
      <c r="I92" s="420" t="s">
        <v>1466</v>
      </c>
    </row>
    <row r="93" spans="1:9" ht="13.15" customHeight="1" x14ac:dyDescent="0.2">
      <c r="A93" s="415" t="s">
        <v>1477</v>
      </c>
      <c r="B93" s="415" t="s">
        <v>562</v>
      </c>
      <c r="C93" s="365" t="s">
        <v>702</v>
      </c>
      <c r="D93" s="416"/>
      <c r="E93" s="416"/>
      <c r="F93" s="417">
        <v>1.0383439999999999</v>
      </c>
      <c r="G93" s="418">
        <v>5.0999999999999996</v>
      </c>
      <c r="H93" s="419">
        <v>0</v>
      </c>
      <c r="I93" s="420" t="s">
        <v>1466</v>
      </c>
    </row>
    <row r="94" spans="1:9" ht="13.15" customHeight="1" x14ac:dyDescent="0.2">
      <c r="A94" s="415" t="s">
        <v>1478</v>
      </c>
      <c r="B94" s="415" t="s">
        <v>562</v>
      </c>
      <c r="C94" s="365" t="s">
        <v>702</v>
      </c>
      <c r="D94" s="416"/>
      <c r="E94" s="416"/>
      <c r="F94" s="417">
        <v>1.0383439999999999</v>
      </c>
      <c r="G94" s="418">
        <v>3.8</v>
      </c>
      <c r="H94" s="419">
        <v>0</v>
      </c>
      <c r="I94" s="420" t="s">
        <v>1466</v>
      </c>
    </row>
    <row r="95" spans="1:9" ht="13.15" customHeight="1" x14ac:dyDescent="0.2">
      <c r="A95" s="415" t="s">
        <v>1479</v>
      </c>
      <c r="B95" s="415" t="s">
        <v>562</v>
      </c>
      <c r="C95" s="365" t="s">
        <v>702</v>
      </c>
      <c r="D95" s="416"/>
      <c r="E95" s="416"/>
      <c r="F95" s="417">
        <v>1.0377449999999999</v>
      </c>
      <c r="G95" s="418">
        <v>12.75</v>
      </c>
      <c r="H95" s="419">
        <v>0</v>
      </c>
      <c r="I95" s="420" t="s">
        <v>1466</v>
      </c>
    </row>
    <row r="96" spans="1:9" ht="13.15" customHeight="1" x14ac:dyDescent="0.2">
      <c r="A96" s="415" t="s">
        <v>1480</v>
      </c>
      <c r="B96" s="415" t="s">
        <v>562</v>
      </c>
      <c r="C96" s="365" t="s">
        <v>702</v>
      </c>
      <c r="D96" s="416"/>
      <c r="E96" s="416"/>
      <c r="F96" s="417">
        <v>1.0377449999999999</v>
      </c>
      <c r="G96" s="418">
        <v>533.5</v>
      </c>
      <c r="H96" s="419">
        <v>0</v>
      </c>
      <c r="I96" s="420" t="s">
        <v>1466</v>
      </c>
    </row>
    <row r="97" spans="1:9" ht="13.15" customHeight="1" x14ac:dyDescent="0.2">
      <c r="A97" s="415" t="s">
        <v>1237</v>
      </c>
      <c r="B97" s="415" t="s">
        <v>1248</v>
      </c>
      <c r="C97" s="365" t="s">
        <v>89</v>
      </c>
      <c r="D97" s="416">
        <v>0.7</v>
      </c>
      <c r="E97" s="416">
        <v>0.09</v>
      </c>
      <c r="F97" s="417">
        <f>(grains_table[[#This Row],[Extract %]]*46.214)/1000+1</f>
        <v>1.0323498</v>
      </c>
      <c r="G97" s="418">
        <v>1.4</v>
      </c>
      <c r="H97" s="419">
        <v>0</v>
      </c>
      <c r="I97" s="420" t="s">
        <v>1489</v>
      </c>
    </row>
    <row r="98" spans="1:9" ht="13.15" customHeight="1" x14ac:dyDescent="0.2">
      <c r="A98" s="415" t="s">
        <v>1881</v>
      </c>
      <c r="B98" s="422" t="s">
        <v>1868</v>
      </c>
      <c r="C98" s="418" t="s">
        <v>89</v>
      </c>
      <c r="D98" s="423">
        <v>0.7</v>
      </c>
      <c r="E98" s="423">
        <v>0.09</v>
      </c>
      <c r="F98" s="417">
        <v>1.032</v>
      </c>
      <c r="G98" s="418">
        <v>1.4</v>
      </c>
      <c r="H98" s="433">
        <v>0</v>
      </c>
      <c r="I98" s="420" t="s">
        <v>1869</v>
      </c>
    </row>
    <row r="99" spans="1:9" ht="13.15" customHeight="1" x14ac:dyDescent="0.2">
      <c r="A99" s="415" t="s">
        <v>1240</v>
      </c>
      <c r="B99" s="415" t="s">
        <v>1248</v>
      </c>
      <c r="C99" s="365" t="s">
        <v>89</v>
      </c>
      <c r="D99" s="416">
        <v>0.6</v>
      </c>
      <c r="E99" s="416">
        <v>7.0000000000000007E-2</v>
      </c>
      <c r="F99" s="417">
        <f>(grains_table[[#This Row],[Extract %]]*46.214)/1000+1</f>
        <v>1.0277284</v>
      </c>
      <c r="G99" s="418">
        <v>1</v>
      </c>
      <c r="H99" s="433">
        <v>0</v>
      </c>
      <c r="I99" s="420" t="s">
        <v>1489</v>
      </c>
    </row>
    <row r="100" spans="1:9" ht="13.15" customHeight="1" x14ac:dyDescent="0.2">
      <c r="A100" s="415" t="s">
        <v>1239</v>
      </c>
      <c r="B100" s="415" t="s">
        <v>1248</v>
      </c>
      <c r="C100" s="365" t="s">
        <v>89</v>
      </c>
      <c r="D100" s="416">
        <v>0.7</v>
      </c>
      <c r="E100" s="416">
        <v>7.4999999999999997E-2</v>
      </c>
      <c r="F100" s="417">
        <f>(grains_table[[#This Row],[Extract %]]*46.214)/1000+1</f>
        <v>1.0323498</v>
      </c>
      <c r="G100" s="418">
        <v>2.5</v>
      </c>
      <c r="H100" s="433">
        <v>0</v>
      </c>
      <c r="I100" s="420" t="s">
        <v>1489</v>
      </c>
    </row>
    <row r="101" spans="1:9" ht="13.15" customHeight="1" x14ac:dyDescent="0.2">
      <c r="A101" s="415" t="s">
        <v>1241</v>
      </c>
      <c r="B101" s="415" t="s">
        <v>1248</v>
      </c>
      <c r="C101" s="365" t="s">
        <v>89</v>
      </c>
      <c r="D101" s="416">
        <v>0.7</v>
      </c>
      <c r="E101" s="416">
        <v>7.0000000000000007E-2</v>
      </c>
      <c r="F101" s="417">
        <f>(grains_table[[#This Row],[Extract %]]*46.214)/1000+1</f>
        <v>1.0323498</v>
      </c>
      <c r="G101" s="418">
        <v>2</v>
      </c>
      <c r="H101" s="433">
        <v>0</v>
      </c>
      <c r="I101" s="420" t="s">
        <v>1489</v>
      </c>
    </row>
    <row r="102" spans="1:9" ht="13.15" customHeight="1" x14ac:dyDescent="0.2">
      <c r="A102" s="415" t="s">
        <v>1242</v>
      </c>
      <c r="B102" s="415" t="s">
        <v>1248</v>
      </c>
      <c r="C102" s="365" t="s">
        <v>89</v>
      </c>
      <c r="D102" s="416">
        <v>0.71</v>
      </c>
      <c r="E102" s="416">
        <v>0.09</v>
      </c>
      <c r="F102" s="417">
        <f>(grains_table[[#This Row],[Extract %]]*46.214)/1000+1</f>
        <v>1.03281194</v>
      </c>
      <c r="G102" s="418">
        <v>3</v>
      </c>
      <c r="H102" s="433">
        <v>0</v>
      </c>
      <c r="I102" s="420" t="s">
        <v>1489</v>
      </c>
    </row>
    <row r="103" spans="1:9" ht="13.15" customHeight="1" x14ac:dyDescent="0.2">
      <c r="A103" s="415" t="s">
        <v>1243</v>
      </c>
      <c r="B103" s="415" t="s">
        <v>1248</v>
      </c>
      <c r="C103" s="365" t="s">
        <v>89</v>
      </c>
      <c r="D103" s="416">
        <v>0.71</v>
      </c>
      <c r="E103" s="416">
        <v>7.0000000000000007E-2</v>
      </c>
      <c r="F103" s="417">
        <f>(grains_table[[#This Row],[Extract %]]*46.214)/1000+1</f>
        <v>1.03281194</v>
      </c>
      <c r="G103" s="418">
        <v>2.5</v>
      </c>
      <c r="H103" s="433">
        <v>0</v>
      </c>
      <c r="I103" s="420" t="s">
        <v>1489</v>
      </c>
    </row>
    <row r="104" spans="1:9" ht="13.15" customHeight="1" x14ac:dyDescent="0.2">
      <c r="A104" s="415" t="s">
        <v>1238</v>
      </c>
      <c r="B104" s="415" t="s">
        <v>1248</v>
      </c>
      <c r="C104" s="365" t="s">
        <v>89</v>
      </c>
      <c r="D104" s="416">
        <v>0.75</v>
      </c>
      <c r="E104" s="416">
        <v>0.08</v>
      </c>
      <c r="F104" s="417">
        <f>(grains_table[[#This Row],[Extract %]]*46.214)/1000+1</f>
        <v>1.0346605</v>
      </c>
      <c r="G104" s="418">
        <v>0.8</v>
      </c>
      <c r="H104" s="433">
        <v>0</v>
      </c>
      <c r="I104" s="420" t="s">
        <v>1489</v>
      </c>
    </row>
    <row r="105" spans="1:9" ht="13.15" customHeight="1" x14ac:dyDescent="0.2">
      <c r="A105" s="415" t="s">
        <v>1530</v>
      </c>
      <c r="B105" s="415" t="s">
        <v>1246</v>
      </c>
      <c r="C105" s="365" t="s">
        <v>89</v>
      </c>
      <c r="D105" s="416">
        <v>0.78</v>
      </c>
      <c r="E105" s="416">
        <v>4.4999999999999998E-2</v>
      </c>
      <c r="F105" s="417">
        <f>(grains_table[[#This Row],[Extract %]]*46.214)/1000+1</f>
        <v>1.03604692</v>
      </c>
      <c r="G105" s="418">
        <v>6.6</v>
      </c>
      <c r="H105" s="433"/>
      <c r="I105" s="420" t="s">
        <v>1287</v>
      </c>
    </row>
    <row r="106" spans="1:9" ht="13.15" customHeight="1" x14ac:dyDescent="0.2">
      <c r="A106" s="415" t="s">
        <v>1540</v>
      </c>
      <c r="B106" s="415" t="s">
        <v>1248</v>
      </c>
      <c r="C106" s="365" t="s">
        <v>702</v>
      </c>
      <c r="D106" s="423"/>
      <c r="E106" s="423"/>
      <c r="F106" s="417">
        <v>1.036</v>
      </c>
      <c r="G106" s="418">
        <v>6</v>
      </c>
      <c r="H106" s="433">
        <v>0</v>
      </c>
      <c r="I106" s="420" t="s">
        <v>1490</v>
      </c>
    </row>
    <row r="107" spans="1:9" ht="13.15" customHeight="1" x14ac:dyDescent="0.2">
      <c r="A107" s="415" t="s">
        <v>1539</v>
      </c>
      <c r="B107" s="415" t="s">
        <v>1248</v>
      </c>
      <c r="C107" s="365" t="s">
        <v>702</v>
      </c>
      <c r="D107" s="416"/>
      <c r="E107" s="416"/>
      <c r="F107" s="417">
        <v>1.036</v>
      </c>
      <c r="G107" s="418">
        <v>2</v>
      </c>
      <c r="H107" s="433">
        <v>0</v>
      </c>
      <c r="I107" s="420" t="s">
        <v>1490</v>
      </c>
    </row>
    <row r="108" spans="1:9" ht="13.15" customHeight="1" x14ac:dyDescent="0.2">
      <c r="A108" s="415" t="s">
        <v>1481</v>
      </c>
      <c r="B108" s="415" t="s">
        <v>562</v>
      </c>
      <c r="C108" s="365" t="s">
        <v>702</v>
      </c>
      <c r="D108" s="416"/>
      <c r="E108" s="416"/>
      <c r="F108" s="417">
        <v>1.036</v>
      </c>
      <c r="G108" s="418">
        <v>7.2</v>
      </c>
      <c r="H108" s="433">
        <v>0</v>
      </c>
      <c r="I108" s="420" t="s">
        <v>1466</v>
      </c>
    </row>
    <row r="109" spans="1:9" ht="13.15" customHeight="1" x14ac:dyDescent="0.2">
      <c r="A109" s="415" t="s">
        <v>1482</v>
      </c>
      <c r="B109" s="415" t="s">
        <v>562</v>
      </c>
      <c r="C109" s="365" t="s">
        <v>702</v>
      </c>
      <c r="D109" s="416"/>
      <c r="E109" s="416"/>
      <c r="F109" s="417">
        <v>1.036</v>
      </c>
      <c r="G109" s="418">
        <v>3.8</v>
      </c>
      <c r="H109" s="433">
        <v>0</v>
      </c>
      <c r="I109" s="420" t="s">
        <v>1466</v>
      </c>
    </row>
    <row r="110" spans="1:9" ht="13.15" customHeight="1" x14ac:dyDescent="0.2">
      <c r="A110" s="415" t="s">
        <v>1483</v>
      </c>
      <c r="B110" s="415" t="s">
        <v>562</v>
      </c>
      <c r="C110" s="365" t="s">
        <v>702</v>
      </c>
      <c r="D110" s="416"/>
      <c r="E110" s="416"/>
      <c r="F110" s="417">
        <v>1.036</v>
      </c>
      <c r="G110" s="418">
        <v>10.25</v>
      </c>
      <c r="H110" s="433">
        <v>0</v>
      </c>
      <c r="I110" s="420" t="s">
        <v>1466</v>
      </c>
    </row>
    <row r="111" spans="1:9" ht="13.15" customHeight="1" x14ac:dyDescent="0.2">
      <c r="A111" s="415" t="s">
        <v>1484</v>
      </c>
      <c r="B111" s="415" t="s">
        <v>562</v>
      </c>
      <c r="C111" s="365" t="s">
        <v>702</v>
      </c>
      <c r="D111" s="416"/>
      <c r="E111" s="416"/>
      <c r="F111" s="417">
        <v>1.036</v>
      </c>
      <c r="G111" s="418">
        <v>5.3</v>
      </c>
      <c r="H111" s="433">
        <v>0</v>
      </c>
      <c r="I111" s="420" t="s">
        <v>1466</v>
      </c>
    </row>
    <row r="112" spans="1:9" ht="13.15" customHeight="1" x14ac:dyDescent="0.2">
      <c r="A112" s="415" t="s">
        <v>1387</v>
      </c>
      <c r="B112" s="415" t="s">
        <v>1291</v>
      </c>
      <c r="C112" s="365" t="s">
        <v>89</v>
      </c>
      <c r="D112" s="416">
        <v>0.75</v>
      </c>
      <c r="E112" s="416">
        <v>4.9000000000000002E-2</v>
      </c>
      <c r="F112" s="432">
        <f>(grains_table[[#This Row],[Extract %]]*46.214)/1000+1</f>
        <v>1.0346605</v>
      </c>
      <c r="G112" s="418">
        <v>28</v>
      </c>
      <c r="H112" s="433">
        <v>0</v>
      </c>
      <c r="I112" s="420" t="s">
        <v>1307</v>
      </c>
    </row>
    <row r="113" spans="1:9" ht="13.15" customHeight="1" x14ac:dyDescent="0.2">
      <c r="A113" s="415" t="s">
        <v>1388</v>
      </c>
      <c r="B113" s="415" t="s">
        <v>1291</v>
      </c>
      <c r="C113" s="365" t="s">
        <v>89</v>
      </c>
      <c r="D113" s="416">
        <v>0.75</v>
      </c>
      <c r="E113" s="416">
        <v>4.9000000000000002E-2</v>
      </c>
      <c r="F113" s="432">
        <f>(grains_table[[#This Row],[Extract %]]*46.214)/1000+1</f>
        <v>1.0346605</v>
      </c>
      <c r="G113" s="418">
        <v>19.5</v>
      </c>
      <c r="H113" s="433">
        <v>0</v>
      </c>
      <c r="I113" s="420" t="s">
        <v>1308</v>
      </c>
    </row>
    <row r="114" spans="1:9" ht="13.15" customHeight="1" x14ac:dyDescent="0.2">
      <c r="A114" s="415" t="s">
        <v>1389</v>
      </c>
      <c r="B114" s="415" t="s">
        <v>1246</v>
      </c>
      <c r="C114" s="365" t="s">
        <v>89</v>
      </c>
      <c r="D114" s="416">
        <v>0.75</v>
      </c>
      <c r="E114" s="416">
        <v>4.4999999999999998E-2</v>
      </c>
      <c r="F114" s="432">
        <f>(grains_table[[#This Row],[Extract %]]*46.214)/1000+1</f>
        <v>1.0346605</v>
      </c>
      <c r="G114" s="418">
        <v>27</v>
      </c>
      <c r="H114" s="433"/>
      <c r="I114" s="420" t="s">
        <v>1287</v>
      </c>
    </row>
    <row r="115" spans="1:9" ht="13.15" customHeight="1" x14ac:dyDescent="0.2">
      <c r="A115" s="415" t="s">
        <v>1381</v>
      </c>
      <c r="B115" s="415" t="s">
        <v>1248</v>
      </c>
      <c r="C115" s="365" t="s">
        <v>89</v>
      </c>
      <c r="D115" s="416">
        <v>0.77</v>
      </c>
      <c r="E115" s="416">
        <v>2.5000000000000001E-2</v>
      </c>
      <c r="F115" s="432">
        <f>(grains_table[[#This Row],[Extract %]]*46.214)/1000+1</f>
        <v>1.03558478</v>
      </c>
      <c r="G115" s="418">
        <v>20</v>
      </c>
      <c r="H115" s="433">
        <v>20</v>
      </c>
      <c r="I115" s="420" t="s">
        <v>1288</v>
      </c>
    </row>
    <row r="116" spans="1:9" ht="13.15" customHeight="1" x14ac:dyDescent="0.2">
      <c r="A116" s="415" t="s">
        <v>1382</v>
      </c>
      <c r="B116" s="415" t="s">
        <v>1291</v>
      </c>
      <c r="C116" s="365" t="s">
        <v>89</v>
      </c>
      <c r="D116" s="416">
        <v>0.80500000000000005</v>
      </c>
      <c r="E116" s="416">
        <v>4.9000000000000002E-2</v>
      </c>
      <c r="F116" s="432">
        <f>(grains_table[[#This Row],[Extract %]]*46.214)/1000+1</f>
        <v>1.0372022700000001</v>
      </c>
      <c r="G116" s="418">
        <v>6.3</v>
      </c>
      <c r="H116" s="433">
        <f>(230+16)/3.5</f>
        <v>70.285714285714292</v>
      </c>
      <c r="I116" s="420" t="s">
        <v>1309</v>
      </c>
    </row>
    <row r="117" spans="1:9" ht="13.15" customHeight="1" x14ac:dyDescent="0.2">
      <c r="A117" s="415" t="s">
        <v>1383</v>
      </c>
      <c r="B117" s="415" t="s">
        <v>1291</v>
      </c>
      <c r="C117" s="365" t="s">
        <v>89</v>
      </c>
      <c r="D117" s="416">
        <v>0.8</v>
      </c>
      <c r="E117" s="416">
        <v>4.9000000000000002E-2</v>
      </c>
      <c r="F117" s="432">
        <f>(grains_table[[#This Row],[Extract %]]*46.214)/1000+1</f>
        <v>1.0369712</v>
      </c>
      <c r="G117" s="418">
        <v>11.05</v>
      </c>
      <c r="H117" s="433">
        <f>(230+16)/3.5</f>
        <v>70.285714285714292</v>
      </c>
      <c r="I117" s="420" t="s">
        <v>1306</v>
      </c>
    </row>
    <row r="118" spans="1:9" ht="13.15" customHeight="1" x14ac:dyDescent="0.2">
      <c r="A118" s="415" t="s">
        <v>1384</v>
      </c>
      <c r="B118" s="415" t="s">
        <v>1248</v>
      </c>
      <c r="C118" s="365" t="s">
        <v>89</v>
      </c>
      <c r="D118" s="416">
        <v>0.78</v>
      </c>
      <c r="E118" s="416">
        <v>3.3000000000000002E-2</v>
      </c>
      <c r="F118" s="432">
        <f>(grains_table[[#This Row],[Extract %]]*46.214)/1000+1</f>
        <v>1.03604692</v>
      </c>
      <c r="G118" s="418">
        <v>10</v>
      </c>
      <c r="H118" s="433">
        <v>40</v>
      </c>
      <c r="I118" s="420" t="s">
        <v>1297</v>
      </c>
    </row>
    <row r="119" spans="1:9" ht="13.15" customHeight="1" x14ac:dyDescent="0.2">
      <c r="A119" s="415" t="s">
        <v>2150</v>
      </c>
      <c r="B119" s="422" t="s">
        <v>1630</v>
      </c>
      <c r="C119" s="418" t="s">
        <v>89</v>
      </c>
      <c r="D119" s="423">
        <v>0.80500000000000005</v>
      </c>
      <c r="E119" s="423">
        <v>4.4999999999999998E-2</v>
      </c>
      <c r="F119" s="432">
        <f>(grains_table[[#This Row],[Extract %]]*46.214)/1000+1</f>
        <v>1.0372022700000001</v>
      </c>
      <c r="G119" s="418">
        <v>15.2</v>
      </c>
      <c r="H119" s="433">
        <v>40</v>
      </c>
      <c r="I119" s="420" t="s">
        <v>2149</v>
      </c>
    </row>
    <row r="120" spans="1:9" ht="13.15" customHeight="1" x14ac:dyDescent="0.2">
      <c r="A120" s="415" t="s">
        <v>2013</v>
      </c>
      <c r="B120" s="415" t="s">
        <v>1248</v>
      </c>
      <c r="C120" s="365" t="s">
        <v>89</v>
      </c>
      <c r="D120" s="416">
        <v>0.78</v>
      </c>
      <c r="E120" s="416">
        <v>3.3000000000000002E-2</v>
      </c>
      <c r="F120" s="432">
        <f>(grains_table[[#This Row],[Extract %]]*46.214)/1000+1</f>
        <v>1.03604692</v>
      </c>
      <c r="G120" s="418">
        <v>30</v>
      </c>
      <c r="H120" s="433">
        <v>40</v>
      </c>
      <c r="I120" s="420" t="s">
        <v>1297</v>
      </c>
    </row>
    <row r="121" spans="1:9" ht="13.15" customHeight="1" x14ac:dyDescent="0.2">
      <c r="A121" s="415" t="s">
        <v>2151</v>
      </c>
      <c r="B121" s="415" t="s">
        <v>1630</v>
      </c>
      <c r="C121" s="365" t="s">
        <v>89</v>
      </c>
      <c r="D121" s="416">
        <v>0.80500000000000005</v>
      </c>
      <c r="E121" s="416">
        <v>4.4999999999999998E-2</v>
      </c>
      <c r="F121" s="432">
        <f>(grains_table[[#This Row],[Extract %]]*46.214)/1000+1</f>
        <v>1.0372022700000001</v>
      </c>
      <c r="G121" s="418">
        <v>9.4</v>
      </c>
      <c r="H121" s="419">
        <v>40</v>
      </c>
      <c r="I121" s="420" t="s">
        <v>2149</v>
      </c>
    </row>
    <row r="122" spans="1:9" ht="13.15" customHeight="1" x14ac:dyDescent="0.2">
      <c r="A122" s="415" t="s">
        <v>1887</v>
      </c>
      <c r="B122" s="422" t="s">
        <v>1868</v>
      </c>
      <c r="C122" s="418" t="s">
        <v>89</v>
      </c>
      <c r="D122" s="423">
        <v>0.81</v>
      </c>
      <c r="E122" s="423">
        <v>0.03</v>
      </c>
      <c r="F122" s="432">
        <f>(grains_table[[#This Row],[Extract %]]*46.214)/1000+1</f>
        <v>1.03743334</v>
      </c>
      <c r="G122" s="418">
        <v>6</v>
      </c>
      <c r="H122" s="433">
        <f>(160+16)/3.5</f>
        <v>50.285714285714285</v>
      </c>
      <c r="I122" s="420" t="s">
        <v>1869</v>
      </c>
    </row>
    <row r="123" spans="1:9" ht="13.15" customHeight="1" x14ac:dyDescent="0.2">
      <c r="A123" s="415" t="s">
        <v>1386</v>
      </c>
      <c r="B123" s="415" t="s">
        <v>1247</v>
      </c>
      <c r="C123" s="365" t="s">
        <v>89</v>
      </c>
      <c r="D123" s="416">
        <v>0.8</v>
      </c>
      <c r="E123" s="416">
        <v>0.04</v>
      </c>
      <c r="F123" s="432">
        <f>(grains_table[[#This Row],[Extract %]]*46.214)/1000+1</f>
        <v>1.0369712</v>
      </c>
      <c r="G123" s="418">
        <v>8.6</v>
      </c>
      <c r="H123" s="433">
        <v>25</v>
      </c>
      <c r="I123" s="420" t="s">
        <v>1260</v>
      </c>
    </row>
    <row r="124" spans="1:9" ht="13.15" customHeight="1" x14ac:dyDescent="0.2">
      <c r="A124" s="415" t="s">
        <v>1385</v>
      </c>
      <c r="B124" s="415" t="s">
        <v>1249</v>
      </c>
      <c r="C124" s="365" t="s">
        <v>89</v>
      </c>
      <c r="D124" s="416">
        <v>0.79500000000000004</v>
      </c>
      <c r="E124" s="416">
        <v>4.4999999999999998E-2</v>
      </c>
      <c r="F124" s="432">
        <f>(grains_table[[#This Row],[Extract %]]*46.214)/1000+1</f>
        <v>1.0367401300000001</v>
      </c>
      <c r="G124" s="418">
        <v>6</v>
      </c>
      <c r="H124" s="433"/>
      <c r="I124" s="420" t="s">
        <v>1284</v>
      </c>
    </row>
    <row r="125" spans="1:9" ht="13.15" customHeight="1" x14ac:dyDescent="0.2">
      <c r="A125" s="415" t="s">
        <v>1888</v>
      </c>
      <c r="B125" s="422"/>
      <c r="C125" s="418" t="s">
        <v>89</v>
      </c>
      <c r="D125" s="423">
        <v>0</v>
      </c>
      <c r="E125" s="423">
        <v>0</v>
      </c>
      <c r="F125" s="432">
        <v>1</v>
      </c>
      <c r="G125" s="418">
        <v>0</v>
      </c>
      <c r="H125" s="433"/>
      <c r="I125" s="420"/>
    </row>
    <row r="126" spans="1:9" ht="13.15" customHeight="1" x14ac:dyDescent="0.2">
      <c r="A126" s="415" t="s">
        <v>1456</v>
      </c>
      <c r="B126" s="415" t="s">
        <v>1247</v>
      </c>
      <c r="C126" s="365" t="s">
        <v>89</v>
      </c>
      <c r="D126" s="416">
        <v>0.69</v>
      </c>
      <c r="E126" s="416">
        <v>7.0000000000000007E-2</v>
      </c>
      <c r="F126" s="432">
        <f>(grains_table[[#This Row],[Extract %]]*46.214)/1000+1</f>
        <v>1.03188766</v>
      </c>
      <c r="G126" s="418">
        <v>7.35</v>
      </c>
      <c r="H126" s="433"/>
      <c r="I126" s="420" t="s">
        <v>1280</v>
      </c>
    </row>
    <row r="127" spans="1:9" ht="13.15" customHeight="1" x14ac:dyDescent="0.2">
      <c r="A127" s="415" t="s">
        <v>1454</v>
      </c>
      <c r="B127" s="415" t="s">
        <v>1247</v>
      </c>
      <c r="C127" s="365" t="s">
        <v>89</v>
      </c>
      <c r="D127" s="416">
        <v>0.74</v>
      </c>
      <c r="E127" s="416">
        <v>7.0000000000000007E-2</v>
      </c>
      <c r="F127" s="432">
        <f>(grains_table[[#This Row],[Extract %]]*46.214)/1000+1</f>
        <v>1.03419836</v>
      </c>
      <c r="G127" s="418">
        <v>1.7</v>
      </c>
      <c r="H127" s="433"/>
      <c r="I127" s="420" t="s">
        <v>1278</v>
      </c>
    </row>
    <row r="128" spans="1:9" ht="13.15" customHeight="1" x14ac:dyDescent="0.2">
      <c r="A128" s="415" t="s">
        <v>1452</v>
      </c>
      <c r="B128" s="415" t="s">
        <v>1291</v>
      </c>
      <c r="C128" s="418" t="s">
        <v>89</v>
      </c>
      <c r="D128" s="416">
        <v>0.79</v>
      </c>
      <c r="E128" s="416">
        <v>4.9000000000000002E-2</v>
      </c>
      <c r="F128" s="432">
        <f>(grains_table[[#This Row],[Extract %]]*46.214)/1000+1</f>
        <v>1.03650906</v>
      </c>
      <c r="G128" s="418">
        <v>12</v>
      </c>
      <c r="H128" s="433">
        <f>(200+16)/3.5</f>
        <v>61.714285714285715</v>
      </c>
      <c r="I128" s="420" t="s">
        <v>1314</v>
      </c>
    </row>
    <row r="129" spans="1:9" ht="13.15" customHeight="1" x14ac:dyDescent="0.2">
      <c r="A129" s="415" t="s">
        <v>1450</v>
      </c>
      <c r="B129" s="415" t="s">
        <v>1291</v>
      </c>
      <c r="C129" s="365" t="s">
        <v>89</v>
      </c>
      <c r="D129" s="416">
        <v>0.75</v>
      </c>
      <c r="E129" s="416">
        <v>4.4999999999999998E-2</v>
      </c>
      <c r="F129" s="432">
        <f>(grains_table[[#This Row],[Extract %]]*46.214)/1000+1</f>
        <v>1.0346605</v>
      </c>
      <c r="G129" s="418">
        <v>132.5</v>
      </c>
      <c r="H129" s="433">
        <v>0</v>
      </c>
      <c r="I129" s="420" t="s">
        <v>1315</v>
      </c>
    </row>
    <row r="130" spans="1:9" ht="13.15" customHeight="1" x14ac:dyDescent="0.2">
      <c r="A130" s="415" t="s">
        <v>1512</v>
      </c>
      <c r="B130" s="415" t="s">
        <v>1246</v>
      </c>
      <c r="C130" s="365" t="s">
        <v>89</v>
      </c>
      <c r="D130" s="416">
        <v>0.75</v>
      </c>
      <c r="E130" s="416">
        <v>4.4999999999999998E-2</v>
      </c>
      <c r="F130" s="432">
        <f>(grains_table[[#This Row],[Extract %]]*46.214)/1000+1</f>
        <v>1.0346605</v>
      </c>
      <c r="G130" s="418">
        <v>17.5</v>
      </c>
      <c r="H130" s="433"/>
      <c r="I130" s="420" t="s">
        <v>1287</v>
      </c>
    </row>
    <row r="131" spans="1:9" ht="13.15" customHeight="1" x14ac:dyDescent="0.2">
      <c r="A131" s="415" t="s">
        <v>1371</v>
      </c>
      <c r="B131" s="415" t="s">
        <v>1291</v>
      </c>
      <c r="C131" s="365" t="s">
        <v>89</v>
      </c>
      <c r="D131" s="416">
        <v>0.80500000000000005</v>
      </c>
      <c r="E131" s="416">
        <v>4.9000000000000002E-2</v>
      </c>
      <c r="F131" s="432">
        <f>(grains_table[[#This Row],[Extract %]]*46.214)/1000+1</f>
        <v>1.0372022700000001</v>
      </c>
      <c r="G131" s="418">
        <v>2.7</v>
      </c>
      <c r="H131" s="433">
        <f>(250+16)/3.5</f>
        <v>76</v>
      </c>
      <c r="I131" s="420" t="s">
        <v>1304</v>
      </c>
    </row>
    <row r="132" spans="1:9" ht="13.15" customHeight="1" x14ac:dyDescent="0.2">
      <c r="A132" s="415" t="s">
        <v>1372</v>
      </c>
      <c r="B132" s="415" t="s">
        <v>1247</v>
      </c>
      <c r="C132" s="365" t="s">
        <v>89</v>
      </c>
      <c r="D132" s="416">
        <v>0.80500000000000005</v>
      </c>
      <c r="E132" s="416">
        <v>3.6999999999999998E-2</v>
      </c>
      <c r="F132" s="432">
        <f>(grains_table[[#This Row],[Extract %]]*46.214)/1000+1</f>
        <v>1.0372022700000001</v>
      </c>
      <c r="G132" s="418">
        <v>2.6</v>
      </c>
      <c r="H132" s="433">
        <v>50</v>
      </c>
      <c r="I132" s="420" t="s">
        <v>1256</v>
      </c>
    </row>
    <row r="133" spans="1:9" ht="13.15" customHeight="1" x14ac:dyDescent="0.2">
      <c r="A133" s="415" t="s">
        <v>1369</v>
      </c>
      <c r="B133" s="415" t="s">
        <v>1247</v>
      </c>
      <c r="C133" s="365" t="s">
        <v>89</v>
      </c>
      <c r="D133" s="416">
        <v>0.8</v>
      </c>
      <c r="E133" s="416">
        <v>0.04</v>
      </c>
      <c r="F133" s="432">
        <f>(grains_table[[#This Row],[Extract %]]*46.214)/1000+1</f>
        <v>1.0369712</v>
      </c>
      <c r="G133" s="418">
        <v>8.6</v>
      </c>
      <c r="H133" s="433">
        <v>25</v>
      </c>
      <c r="I133" s="420" t="s">
        <v>1263</v>
      </c>
    </row>
    <row r="134" spans="1:9" ht="13.15" customHeight="1" x14ac:dyDescent="0.2">
      <c r="A134" s="415" t="s">
        <v>1373</v>
      </c>
      <c r="B134" s="415" t="s">
        <v>1247</v>
      </c>
      <c r="C134" s="365" t="s">
        <v>89</v>
      </c>
      <c r="D134" s="416">
        <v>0.80500000000000005</v>
      </c>
      <c r="E134" s="416">
        <v>3.6999999999999998E-2</v>
      </c>
      <c r="F134" s="432">
        <f>(grains_table[[#This Row],[Extract %]]*46.214)/1000+1</f>
        <v>1.0372022700000001</v>
      </c>
      <c r="G134" s="418">
        <v>1.85</v>
      </c>
      <c r="H134" s="433">
        <v>50</v>
      </c>
      <c r="I134" s="420" t="s">
        <v>1257</v>
      </c>
    </row>
    <row r="135" spans="1:9" ht="13.15" customHeight="1" x14ac:dyDescent="0.2">
      <c r="A135" s="415" t="s">
        <v>1485</v>
      </c>
      <c r="B135" s="415" t="s">
        <v>1247</v>
      </c>
      <c r="C135" s="365" t="s">
        <v>89</v>
      </c>
      <c r="D135" s="416">
        <v>0.81</v>
      </c>
      <c r="E135" s="416">
        <v>3.6999999999999998E-2</v>
      </c>
      <c r="F135" s="432">
        <f>(grains_table[[#This Row],[Extract %]]*46.214)/1000+1</f>
        <v>1.03743334</v>
      </c>
      <c r="G135" s="418">
        <v>2.6</v>
      </c>
      <c r="H135" s="433">
        <v>50</v>
      </c>
      <c r="I135" s="420" t="s">
        <v>1253</v>
      </c>
    </row>
    <row r="136" spans="1:9" ht="13.15" customHeight="1" x14ac:dyDescent="0.2">
      <c r="A136" s="415" t="s">
        <v>1486</v>
      </c>
      <c r="B136" s="415" t="s">
        <v>1247</v>
      </c>
      <c r="C136" s="365" t="s">
        <v>89</v>
      </c>
      <c r="D136" s="416">
        <v>0.81</v>
      </c>
      <c r="E136" s="416">
        <v>3.6999999999999998E-2</v>
      </c>
      <c r="F136" s="432">
        <f>(grains_table[[#This Row],[Extract %]]*46.214)/1000+1</f>
        <v>1.03743334</v>
      </c>
      <c r="G136" s="418">
        <v>2.6</v>
      </c>
      <c r="H136" s="433">
        <v>50</v>
      </c>
      <c r="I136" s="420" t="s">
        <v>1254</v>
      </c>
    </row>
    <row r="137" spans="1:9" ht="13.15" customHeight="1" x14ac:dyDescent="0.2">
      <c r="A137" s="415" t="s">
        <v>1431</v>
      </c>
      <c r="B137" s="415" t="s">
        <v>1432</v>
      </c>
      <c r="C137" s="365" t="s">
        <v>89</v>
      </c>
      <c r="D137" s="416">
        <v>0.8</v>
      </c>
      <c r="E137" s="416">
        <v>0.04</v>
      </c>
      <c r="F137" s="432">
        <f>(grains_table[[#This Row],[Extract %]]*46.214)/1000+1</f>
        <v>1.0369712</v>
      </c>
      <c r="G137" s="418">
        <v>2.65</v>
      </c>
      <c r="H137" s="433"/>
      <c r="I137" s="420" t="s">
        <v>1491</v>
      </c>
    </row>
    <row r="138" spans="1:9" ht="13.15" customHeight="1" x14ac:dyDescent="0.2">
      <c r="A138" s="415" t="s">
        <v>1370</v>
      </c>
      <c r="B138" s="415" t="s">
        <v>1247</v>
      </c>
      <c r="C138" s="365" t="s">
        <v>89</v>
      </c>
      <c r="D138" s="416">
        <v>0.75</v>
      </c>
      <c r="E138" s="416">
        <v>3.5000000000000003E-2</v>
      </c>
      <c r="F138" s="432">
        <f>(grains_table[[#This Row],[Extract %]]*46.214)/1000+1</f>
        <v>1.0346605</v>
      </c>
      <c r="G138" s="418">
        <v>17.45</v>
      </c>
      <c r="H138" s="433"/>
      <c r="I138" s="420" t="s">
        <v>1261</v>
      </c>
    </row>
    <row r="139" spans="1:9" ht="13.15" customHeight="1" x14ac:dyDescent="0.2">
      <c r="A139" s="415" t="s">
        <v>1374</v>
      </c>
      <c r="B139" s="415" t="s">
        <v>1248</v>
      </c>
      <c r="C139" s="365" t="s">
        <v>89</v>
      </c>
      <c r="D139" s="416">
        <v>0.78500000000000003</v>
      </c>
      <c r="E139" s="416">
        <v>1.4999999999999999E-2</v>
      </c>
      <c r="F139" s="432">
        <f>(grains_table[[#This Row],[Extract %]]*46.214)/1000+1</f>
        <v>1.0362779900000001</v>
      </c>
      <c r="G139" s="418">
        <v>3.5</v>
      </c>
      <c r="H139" s="433">
        <v>85</v>
      </c>
      <c r="I139" s="420" t="s">
        <v>1520</v>
      </c>
    </row>
    <row r="140" spans="1:9" ht="13.15" customHeight="1" x14ac:dyDescent="0.2">
      <c r="A140" s="415" t="s">
        <v>1672</v>
      </c>
      <c r="B140" s="415" t="s">
        <v>1551</v>
      </c>
      <c r="C140" s="365" t="s">
        <v>89</v>
      </c>
      <c r="D140" s="416">
        <v>0.79</v>
      </c>
      <c r="E140" s="416">
        <v>4.4999999999999998E-2</v>
      </c>
      <c r="F140" s="432">
        <f>(grains_table[[#This Row],[Extract %]]*46.214)/1000+1</f>
        <v>1.03650906</v>
      </c>
      <c r="G140" s="418">
        <v>3.5</v>
      </c>
      <c r="H140" s="433"/>
      <c r="I140" s="420" t="s">
        <v>1673</v>
      </c>
    </row>
    <row r="141" spans="1:9" ht="13.15" customHeight="1" x14ac:dyDescent="0.2">
      <c r="A141" s="415" t="s">
        <v>1376</v>
      </c>
      <c r="B141" s="415" t="s">
        <v>1246</v>
      </c>
      <c r="C141" s="365" t="s">
        <v>89</v>
      </c>
      <c r="D141" s="416">
        <v>0.79</v>
      </c>
      <c r="E141" s="416">
        <v>4.4999999999999998E-2</v>
      </c>
      <c r="F141" s="432">
        <f>(grains_table[[#This Row],[Extract %]]*46.214)/1000+1</f>
        <v>1.03650906</v>
      </c>
      <c r="G141" s="418">
        <v>3</v>
      </c>
      <c r="H141" s="433"/>
      <c r="I141" s="420" t="s">
        <v>1287</v>
      </c>
    </row>
    <row r="142" spans="1:9" ht="13.15" customHeight="1" x14ac:dyDescent="0.2">
      <c r="A142" s="415" t="s">
        <v>1375</v>
      </c>
      <c r="B142" s="415" t="s">
        <v>1249</v>
      </c>
      <c r="C142" s="365" t="s">
        <v>89</v>
      </c>
      <c r="D142" s="416">
        <v>0.8</v>
      </c>
      <c r="E142" s="416">
        <v>4.4999999999999998E-2</v>
      </c>
      <c r="F142" s="432">
        <f>(grains_table[[#This Row],[Extract %]]*46.214)/1000+1</f>
        <v>1.0369712</v>
      </c>
      <c r="G142" s="418">
        <v>3.8</v>
      </c>
      <c r="H142" s="433"/>
      <c r="I142" s="420" t="s">
        <v>1284</v>
      </c>
    </row>
    <row r="143" spans="1:9" ht="13.15" customHeight="1" x14ac:dyDescent="0.2">
      <c r="A143" s="415" t="s">
        <v>1870</v>
      </c>
      <c r="B143" s="415" t="s">
        <v>1868</v>
      </c>
      <c r="C143" s="365" t="s">
        <v>89</v>
      </c>
      <c r="D143" s="416">
        <v>0.80500000000000005</v>
      </c>
      <c r="E143" s="416">
        <v>3.5000000000000003E-2</v>
      </c>
      <c r="F143" s="432">
        <f>(grains_table[[#This Row],[Extract %]]*46.214)/1000+1</f>
        <v>1.0372022700000001</v>
      </c>
      <c r="G143" s="418">
        <v>2.7</v>
      </c>
      <c r="H143" s="433">
        <f>(150+16)/3.5</f>
        <v>47.428571428571431</v>
      </c>
      <c r="I143" s="420" t="s">
        <v>1869</v>
      </c>
    </row>
    <row r="144" spans="1:9" ht="13.15" customHeight="1" x14ac:dyDescent="0.2">
      <c r="A144" s="415" t="s">
        <v>1871</v>
      </c>
      <c r="B144" s="415" t="s">
        <v>1868</v>
      </c>
      <c r="C144" s="365" t="s">
        <v>89</v>
      </c>
      <c r="D144" s="416">
        <v>0.80500000000000005</v>
      </c>
      <c r="E144" s="416">
        <v>3.5000000000000003E-2</v>
      </c>
      <c r="F144" s="432">
        <f>(grains_table[[#This Row],[Extract %]]*46.214)/1000+1</f>
        <v>1.0372022700000001</v>
      </c>
      <c r="G144" s="418">
        <v>2.4</v>
      </c>
      <c r="H144" s="433">
        <f>(160+16)/3.5</f>
        <v>50.285714285714285</v>
      </c>
      <c r="I144" s="420" t="s">
        <v>1869</v>
      </c>
    </row>
    <row r="145" spans="1:9" ht="13.15" customHeight="1" x14ac:dyDescent="0.2">
      <c r="A145" s="415" t="s">
        <v>1377</v>
      </c>
      <c r="B145" s="415" t="s">
        <v>1248</v>
      </c>
      <c r="C145" s="365" t="s">
        <v>89</v>
      </c>
      <c r="D145" s="416">
        <v>0.79</v>
      </c>
      <c r="E145" s="416">
        <v>3.5000000000000003E-2</v>
      </c>
      <c r="F145" s="432">
        <f>(grains_table[[#This Row],[Extract %]]*46.214)/1000+1</f>
        <v>1.03650906</v>
      </c>
      <c r="G145" s="418">
        <v>5.3</v>
      </c>
      <c r="H145" s="433">
        <v>65</v>
      </c>
      <c r="I145" s="420" t="s">
        <v>1520</v>
      </c>
    </row>
    <row r="146" spans="1:9" ht="13.15" customHeight="1" x14ac:dyDescent="0.2">
      <c r="A146" s="415" t="s">
        <v>1378</v>
      </c>
      <c r="B146" s="415" t="s">
        <v>1248</v>
      </c>
      <c r="C146" s="365" t="s">
        <v>89</v>
      </c>
      <c r="D146" s="416">
        <v>0.81</v>
      </c>
      <c r="E146" s="416">
        <v>4.2000000000000003E-2</v>
      </c>
      <c r="F146" s="432">
        <f>(grains_table[[#This Row],[Extract %]]*46.214)/1000+1</f>
        <v>1.03743334</v>
      </c>
      <c r="G146" s="418">
        <v>1.8</v>
      </c>
      <c r="H146" s="433">
        <v>140</v>
      </c>
      <c r="I146" s="420" t="s">
        <v>1520</v>
      </c>
    </row>
    <row r="147" spans="1:9" ht="13.15" customHeight="1" x14ac:dyDescent="0.2">
      <c r="A147" s="415" t="s">
        <v>1550</v>
      </c>
      <c r="B147" s="415" t="s">
        <v>1551</v>
      </c>
      <c r="C147" s="418" t="s">
        <v>89</v>
      </c>
      <c r="D147" s="423">
        <v>0.8</v>
      </c>
      <c r="E147" s="423">
        <v>0.04</v>
      </c>
      <c r="F147" s="432">
        <v>1.0369999999999999</v>
      </c>
      <c r="G147" s="418">
        <v>1.8</v>
      </c>
      <c r="H147" s="433"/>
      <c r="I147" s="420" t="s">
        <v>1552</v>
      </c>
    </row>
    <row r="148" spans="1:9" ht="13.15" customHeight="1" x14ac:dyDescent="0.2">
      <c r="A148" s="415" t="s">
        <v>1379</v>
      </c>
      <c r="B148" s="415" t="s">
        <v>1248</v>
      </c>
      <c r="C148" s="365" t="s">
        <v>89</v>
      </c>
      <c r="D148" s="416">
        <v>0.8</v>
      </c>
      <c r="E148" s="416">
        <v>4.5999999999999999E-2</v>
      </c>
      <c r="F148" s="432">
        <f>(grains_table[[#This Row],[Extract %]]*46.214)/1000+1</f>
        <v>1.0369712</v>
      </c>
      <c r="G148" s="418">
        <v>1.7</v>
      </c>
      <c r="H148" s="433">
        <v>150</v>
      </c>
      <c r="I148" s="420" t="s">
        <v>1298</v>
      </c>
    </row>
    <row r="149" spans="1:9" ht="13.15" customHeight="1" x14ac:dyDescent="0.2">
      <c r="A149" s="415" t="s">
        <v>1380</v>
      </c>
      <c r="B149" s="415" t="s">
        <v>1247</v>
      </c>
      <c r="C149" s="365" t="s">
        <v>89</v>
      </c>
      <c r="D149" s="416">
        <v>0.80500000000000005</v>
      </c>
      <c r="E149" s="416">
        <v>3.6999999999999998E-2</v>
      </c>
      <c r="F149" s="432">
        <f>(grains_table[[#This Row],[Extract %]]*46.214)/1000+1</f>
        <v>1.0372022700000001</v>
      </c>
      <c r="G149" s="418">
        <v>1.7</v>
      </c>
      <c r="H149" s="433">
        <v>50</v>
      </c>
      <c r="I149" s="420" t="s">
        <v>1255</v>
      </c>
    </row>
    <row r="150" spans="1:9" ht="13.15" customHeight="1" x14ac:dyDescent="0.2">
      <c r="A150" s="415" t="s">
        <v>1624</v>
      </c>
      <c r="B150" s="415" t="s">
        <v>1551</v>
      </c>
      <c r="C150" s="365" t="s">
        <v>89</v>
      </c>
      <c r="D150" s="416">
        <v>0.79</v>
      </c>
      <c r="E150" s="416">
        <v>4.2000000000000003E-2</v>
      </c>
      <c r="F150" s="432">
        <f>(grains_table[[#This Row],[Extract %]]*46.214)/1000+1</f>
        <v>1.03650906</v>
      </c>
      <c r="G150" s="418">
        <v>2.2999999999999998</v>
      </c>
      <c r="H150" s="433">
        <v>160</v>
      </c>
      <c r="I150" s="420" t="s">
        <v>1625</v>
      </c>
    </row>
    <row r="151" spans="1:9" ht="13.15" customHeight="1" x14ac:dyDescent="0.2">
      <c r="A151" s="415" t="s">
        <v>1330</v>
      </c>
      <c r="B151" s="415" t="s">
        <v>1291</v>
      </c>
      <c r="C151" s="365" t="s">
        <v>89</v>
      </c>
      <c r="D151" s="416">
        <v>0.80500000000000005</v>
      </c>
      <c r="E151" s="416">
        <v>4.9000000000000002E-2</v>
      </c>
      <c r="F151" s="432">
        <f>(grains_table[[#This Row],[Extract %]]*46.214)/1000+1</f>
        <v>1.0372022700000001</v>
      </c>
      <c r="G151" s="418">
        <v>1.5</v>
      </c>
      <c r="H151" s="433">
        <f>(250+16)/3.5</f>
        <v>76</v>
      </c>
      <c r="I151" s="420" t="s">
        <v>1302</v>
      </c>
    </row>
    <row r="152" spans="1:9" ht="13.15" customHeight="1" x14ac:dyDescent="0.2">
      <c r="A152" s="415" t="s">
        <v>1331</v>
      </c>
      <c r="B152" s="415" t="s">
        <v>1291</v>
      </c>
      <c r="C152" s="365" t="s">
        <v>89</v>
      </c>
      <c r="D152" s="416">
        <v>0.80500000000000005</v>
      </c>
      <c r="E152" s="416">
        <v>4.9000000000000002E-2</v>
      </c>
      <c r="F152" s="432">
        <f>(grains_table[[#This Row],[Extract %]]*46.214)/1000+1</f>
        <v>1.0372022700000001</v>
      </c>
      <c r="G152" s="418">
        <v>1.95</v>
      </c>
      <c r="H152" s="433">
        <f>(250+16)/3.5</f>
        <v>76</v>
      </c>
      <c r="I152" s="420" t="s">
        <v>1303</v>
      </c>
    </row>
    <row r="153" spans="1:9" ht="13.15" customHeight="1" x14ac:dyDescent="0.2">
      <c r="A153" s="415" t="s">
        <v>1332</v>
      </c>
      <c r="B153" s="415" t="s">
        <v>1246</v>
      </c>
      <c r="C153" s="365" t="s">
        <v>89</v>
      </c>
      <c r="D153" s="416">
        <v>0.8</v>
      </c>
      <c r="E153" s="416">
        <v>0.05</v>
      </c>
      <c r="F153" s="432">
        <f>(grains_table[[#This Row],[Extract %]]*46.214)/1000+1</f>
        <v>1.0369712</v>
      </c>
      <c r="G153" s="418">
        <v>2.0499999999999998</v>
      </c>
      <c r="H153" s="419"/>
      <c r="I153" s="420" t="s">
        <v>1287</v>
      </c>
    </row>
    <row r="154" spans="1:9" ht="13.15" customHeight="1" x14ac:dyDescent="0.2">
      <c r="A154" s="415" t="s">
        <v>1487</v>
      </c>
      <c r="B154" s="415" t="s">
        <v>1246</v>
      </c>
      <c r="C154" s="365" t="s">
        <v>89</v>
      </c>
      <c r="D154" s="416">
        <v>0.80500000000000005</v>
      </c>
      <c r="E154" s="416">
        <v>4.4999999999999998E-2</v>
      </c>
      <c r="F154" s="432">
        <f>(grains_table[[#This Row],[Extract %]]*46.214)/1000+1</f>
        <v>1.0372022700000001</v>
      </c>
      <c r="G154" s="418">
        <v>1.3</v>
      </c>
      <c r="H154" s="419"/>
      <c r="I154" s="420" t="s">
        <v>1287</v>
      </c>
    </row>
    <row r="155" spans="1:9" ht="13.15" customHeight="1" x14ac:dyDescent="0.2">
      <c r="A155" s="415" t="s">
        <v>1333</v>
      </c>
      <c r="B155" s="415" t="s">
        <v>1247</v>
      </c>
      <c r="C155" s="365" t="s">
        <v>89</v>
      </c>
      <c r="D155" s="416">
        <v>0.81</v>
      </c>
      <c r="E155" s="416">
        <v>4.4999999999999998E-2</v>
      </c>
      <c r="F155" s="432">
        <f>(grains_table[[#This Row],[Extract %]]*46.214)/1000+1</f>
        <v>1.03743334</v>
      </c>
      <c r="G155" s="418">
        <v>1.7</v>
      </c>
      <c r="H155" s="433">
        <v>50</v>
      </c>
      <c r="I155" s="420" t="s">
        <v>1258</v>
      </c>
    </row>
    <row r="156" spans="1:9" ht="13.15" customHeight="1" x14ac:dyDescent="0.2">
      <c r="A156" s="415" t="s">
        <v>1531</v>
      </c>
      <c r="B156" s="415" t="s">
        <v>1246</v>
      </c>
      <c r="C156" s="365" t="s">
        <v>89</v>
      </c>
      <c r="D156" s="416">
        <v>0.79</v>
      </c>
      <c r="E156" s="416">
        <v>5.5E-2</v>
      </c>
      <c r="F156" s="432">
        <f>(grains_table[[#This Row],[Extract %]]*46.214)/1000+1</f>
        <v>1.03650906</v>
      </c>
      <c r="G156" s="418">
        <v>1.95</v>
      </c>
      <c r="H156" s="433"/>
      <c r="I156" s="420" t="s">
        <v>1287</v>
      </c>
    </row>
    <row r="157" spans="1:9" ht="13.15" customHeight="1" x14ac:dyDescent="0.2">
      <c r="A157" s="415" t="s">
        <v>1880</v>
      </c>
      <c r="B157" s="422" t="s">
        <v>1868</v>
      </c>
      <c r="C157" s="418" t="s">
        <v>89</v>
      </c>
      <c r="D157" s="423">
        <v>0.81</v>
      </c>
      <c r="E157" s="423">
        <v>3.5000000000000003E-2</v>
      </c>
      <c r="F157" s="432">
        <f>(grains_table[[#This Row],[Extract %]]*46.214)/1000+1</f>
        <v>1.03743334</v>
      </c>
      <c r="G157" s="418">
        <v>2.1</v>
      </c>
      <c r="H157" s="433">
        <f>(240+16)/3.5</f>
        <v>73.142857142857139</v>
      </c>
      <c r="I157" s="420" t="s">
        <v>1869</v>
      </c>
    </row>
    <row r="158" spans="1:9" ht="13.15" customHeight="1" x14ac:dyDescent="0.2">
      <c r="A158" s="415" t="s">
        <v>1883</v>
      </c>
      <c r="B158" s="422" t="s">
        <v>1868</v>
      </c>
      <c r="C158" s="418" t="s">
        <v>89</v>
      </c>
      <c r="D158" s="423">
        <v>0.81</v>
      </c>
      <c r="E158" s="423">
        <v>3.5000000000000003E-2</v>
      </c>
      <c r="F158" s="432">
        <f>(grains_table[[#This Row],[Extract %]]*46.214)/1000+1</f>
        <v>1.03743334</v>
      </c>
      <c r="G158" s="418">
        <v>1.6</v>
      </c>
      <c r="H158" s="433">
        <f>(240+16)/3.5</f>
        <v>73.142857142857139</v>
      </c>
      <c r="I158" s="420" t="s">
        <v>1869</v>
      </c>
    </row>
    <row r="159" spans="1:9" ht="13.15" customHeight="1" x14ac:dyDescent="0.2">
      <c r="A159" s="415" t="s">
        <v>1430</v>
      </c>
      <c r="B159" s="415" t="s">
        <v>1432</v>
      </c>
      <c r="C159" s="365" t="s">
        <v>89</v>
      </c>
      <c r="D159" s="416">
        <v>0.8</v>
      </c>
      <c r="E159" s="416">
        <v>0.04</v>
      </c>
      <c r="F159" s="432">
        <f>(grains_table[[#This Row],[Extract %]]*46.214)/1000+1</f>
        <v>1.0369712</v>
      </c>
      <c r="G159" s="418">
        <v>1.6</v>
      </c>
      <c r="H159" s="433"/>
      <c r="I159" s="420" t="s">
        <v>1491</v>
      </c>
    </row>
    <row r="160" spans="1:9" ht="13.15" customHeight="1" x14ac:dyDescent="0.2">
      <c r="A160" s="415" t="s">
        <v>1334</v>
      </c>
      <c r="B160" s="415" t="s">
        <v>1248</v>
      </c>
      <c r="C160" s="365" t="s">
        <v>89</v>
      </c>
      <c r="D160" s="416">
        <v>0.80500000000000005</v>
      </c>
      <c r="E160" s="416">
        <v>4.4999999999999998E-2</v>
      </c>
      <c r="F160" s="432">
        <f>(grains_table[[#This Row],[Extract %]]*46.214)/1000+1</f>
        <v>1.0372022700000001</v>
      </c>
      <c r="G160" s="418">
        <v>1.2</v>
      </c>
      <c r="H160" s="433">
        <v>140</v>
      </c>
      <c r="I160" s="420" t="s">
        <v>1298</v>
      </c>
    </row>
    <row r="161" spans="1:9" ht="13.15" customHeight="1" x14ac:dyDescent="0.2">
      <c r="A161" s="415" t="s">
        <v>1335</v>
      </c>
      <c r="B161" s="415" t="s">
        <v>1249</v>
      </c>
      <c r="C161" s="365" t="s">
        <v>89</v>
      </c>
      <c r="D161" s="416">
        <v>0.8</v>
      </c>
      <c r="E161" s="416">
        <v>4.4999999999999998E-2</v>
      </c>
      <c r="F161" s="432">
        <f>(grains_table[[#This Row],[Extract %]]*46.214)/1000+1</f>
        <v>1.0369712</v>
      </c>
      <c r="G161" s="418">
        <v>1.6</v>
      </c>
      <c r="H161" s="433">
        <f>(230+16)/3.5</f>
        <v>70.285714285714292</v>
      </c>
      <c r="I161" s="420" t="s">
        <v>1284</v>
      </c>
    </row>
    <row r="162" spans="1:9" ht="13.15" customHeight="1" x14ac:dyDescent="0.2">
      <c r="A162" s="415" t="s">
        <v>1336</v>
      </c>
      <c r="B162" s="415" t="s">
        <v>1246</v>
      </c>
      <c r="C162" s="365" t="s">
        <v>89</v>
      </c>
      <c r="D162" s="416">
        <v>0.80500000000000005</v>
      </c>
      <c r="E162" s="416">
        <v>0.05</v>
      </c>
      <c r="F162" s="432">
        <f>(grains_table[[#This Row],[Extract %]]*46.214)/1000+1</f>
        <v>1.0372022700000001</v>
      </c>
      <c r="G162" s="418">
        <v>1.85</v>
      </c>
      <c r="H162" s="433"/>
      <c r="I162" s="420" t="s">
        <v>1287</v>
      </c>
    </row>
    <row r="163" spans="1:9" ht="13.15" customHeight="1" x14ac:dyDescent="0.2">
      <c r="A163" s="415" t="s">
        <v>1889</v>
      </c>
      <c r="B163" s="422" t="s">
        <v>1868</v>
      </c>
      <c r="C163" s="418" t="s">
        <v>89</v>
      </c>
      <c r="D163" s="423">
        <v>0.81</v>
      </c>
      <c r="E163" s="423">
        <v>3.5000000000000003E-2</v>
      </c>
      <c r="F163" s="432">
        <f>(grains_table[[#This Row],[Extract %]]*46.214)/1000+1</f>
        <v>1.03743334</v>
      </c>
      <c r="G163" s="418">
        <v>2</v>
      </c>
      <c r="H163" s="433">
        <f>(240+16)/3.5</f>
        <v>73.142857142857139</v>
      </c>
      <c r="I163" s="420" t="s">
        <v>1869</v>
      </c>
    </row>
    <row r="164" spans="1:9" ht="13.15" customHeight="1" x14ac:dyDescent="0.2">
      <c r="A164" s="415" t="s">
        <v>1631</v>
      </c>
      <c r="B164" s="422" t="s">
        <v>1630</v>
      </c>
      <c r="C164" s="418" t="s">
        <v>89</v>
      </c>
      <c r="D164" s="416">
        <v>0.81</v>
      </c>
      <c r="E164" s="416">
        <v>4.4999999999999998E-2</v>
      </c>
      <c r="F164" s="432">
        <f>(grains_table[[#This Row],[Extract %]]*46.214)/1000+1</f>
        <v>1.03743334</v>
      </c>
      <c r="G164" s="418">
        <v>2</v>
      </c>
      <c r="H164" s="433">
        <f>(220+16)/3.5</f>
        <v>67.428571428571431</v>
      </c>
      <c r="I164" s="420" t="s">
        <v>1629</v>
      </c>
    </row>
    <row r="165" spans="1:9" ht="13.15" customHeight="1" x14ac:dyDescent="0.2">
      <c r="A165" s="415" t="s">
        <v>2124</v>
      </c>
      <c r="B165" s="422" t="s">
        <v>1551</v>
      </c>
      <c r="C165" s="418" t="s">
        <v>89</v>
      </c>
      <c r="D165" s="423">
        <v>0.8</v>
      </c>
      <c r="E165" s="423">
        <v>0.04</v>
      </c>
      <c r="F165" s="432">
        <f>(grains_table[[#This Row],[Extract %]]*46.214)/1000+1</f>
        <v>1.0369712</v>
      </c>
      <c r="G165" s="418">
        <v>1.75</v>
      </c>
      <c r="H165" s="433">
        <v>140</v>
      </c>
      <c r="I165" s="420" t="s">
        <v>2125</v>
      </c>
    </row>
    <row r="166" spans="1:9" ht="13.15" customHeight="1" x14ac:dyDescent="0.2">
      <c r="A166" s="415" t="s">
        <v>1337</v>
      </c>
      <c r="B166" s="415" t="s">
        <v>1248</v>
      </c>
      <c r="C166" s="365" t="s">
        <v>89</v>
      </c>
      <c r="D166" s="416">
        <v>0.83299999999999996</v>
      </c>
      <c r="E166" s="416">
        <v>4.3999999999999997E-2</v>
      </c>
      <c r="F166" s="432">
        <f>(grains_table[[#This Row],[Extract %]]*46.214)/1000+1</f>
        <v>1.038496262</v>
      </c>
      <c r="G166" s="418">
        <v>1.8</v>
      </c>
      <c r="H166" s="433">
        <v>100</v>
      </c>
      <c r="I166" s="420" t="s">
        <v>1298</v>
      </c>
    </row>
    <row r="167" spans="1:9" ht="13.15" customHeight="1" x14ac:dyDescent="0.2">
      <c r="A167" s="415" t="s">
        <v>2416</v>
      </c>
      <c r="B167" s="422" t="s">
        <v>125</v>
      </c>
      <c r="C167" s="418" t="s">
        <v>89</v>
      </c>
      <c r="D167" s="423"/>
      <c r="E167" s="423"/>
      <c r="F167" s="417">
        <v>1.0289999999999999</v>
      </c>
      <c r="G167" s="418">
        <v>1</v>
      </c>
      <c r="H167" s="419">
        <v>0</v>
      </c>
      <c r="I167" s="420"/>
    </row>
    <row r="168" spans="1:9" ht="13.15" customHeight="1" x14ac:dyDescent="0.2">
      <c r="A168" s="415" t="s">
        <v>2417</v>
      </c>
      <c r="B168" s="422" t="s">
        <v>125</v>
      </c>
      <c r="C168" s="418" t="s">
        <v>89</v>
      </c>
      <c r="D168" s="423"/>
      <c r="E168" s="423"/>
      <c r="F168" s="417">
        <v>1.0289999999999999</v>
      </c>
      <c r="G168" s="418">
        <v>1</v>
      </c>
      <c r="H168" s="419">
        <v>0</v>
      </c>
      <c r="I168" s="420"/>
    </row>
    <row r="169" spans="1:9" ht="13.15" customHeight="1" x14ac:dyDescent="0.2">
      <c r="A169" s="415" t="s">
        <v>1626</v>
      </c>
      <c r="B169" s="422" t="s">
        <v>125</v>
      </c>
      <c r="C169" s="418" t="s">
        <v>89</v>
      </c>
      <c r="D169" s="423">
        <v>0</v>
      </c>
      <c r="E169" s="423">
        <v>0</v>
      </c>
      <c r="F169" s="432">
        <f>(grains_table[[#This Row],[Extract %]]*46.214)/1000+1</f>
        <v>1</v>
      </c>
      <c r="G169" s="418">
        <v>0</v>
      </c>
      <c r="H169" s="433">
        <v>0</v>
      </c>
      <c r="I169" s="420"/>
    </row>
    <row r="170" spans="1:9" ht="13.15" customHeight="1" x14ac:dyDescent="0.2">
      <c r="A170" s="415" t="s">
        <v>2418</v>
      </c>
      <c r="B170" s="422" t="s">
        <v>125</v>
      </c>
      <c r="C170" s="418" t="s">
        <v>702</v>
      </c>
      <c r="D170" s="423"/>
      <c r="E170" s="423"/>
      <c r="F170" s="417">
        <v>1.036</v>
      </c>
      <c r="G170" s="418"/>
      <c r="H170" s="419">
        <v>0</v>
      </c>
      <c r="I170" s="420" t="s">
        <v>2419</v>
      </c>
    </row>
    <row r="171" spans="1:9" ht="13.15" customHeight="1" x14ac:dyDescent="0.2">
      <c r="A171" s="415" t="s">
        <v>1234</v>
      </c>
      <c r="B171" s="415" t="s">
        <v>1248</v>
      </c>
      <c r="C171" s="365" t="s">
        <v>89</v>
      </c>
      <c r="D171" s="416"/>
      <c r="E171" s="416">
        <v>0.05</v>
      </c>
      <c r="F171" s="432">
        <v>1.0249999999999999</v>
      </c>
      <c r="G171" s="418">
        <v>300</v>
      </c>
      <c r="H171" s="433">
        <v>0</v>
      </c>
      <c r="I171" s="420" t="s">
        <v>1549</v>
      </c>
    </row>
    <row r="172" spans="1:9" ht="13.15" customHeight="1" x14ac:dyDescent="0.2">
      <c r="A172" s="415" t="s">
        <v>1891</v>
      </c>
      <c r="B172" s="422" t="s">
        <v>1868</v>
      </c>
      <c r="C172" s="418" t="s">
        <v>89</v>
      </c>
      <c r="D172" s="423">
        <v>0.72</v>
      </c>
      <c r="E172" s="423">
        <v>4.4999999999999998E-2</v>
      </c>
      <c r="F172" s="432">
        <f>(grains_table[[#This Row],[Extract %]]*46.214)/1000+1</f>
        <v>1.03327408</v>
      </c>
      <c r="G172" s="418">
        <v>507</v>
      </c>
      <c r="H172" s="433">
        <v>0</v>
      </c>
      <c r="I172" s="420" t="s">
        <v>1869</v>
      </c>
    </row>
    <row r="173" spans="1:9" ht="13.15" customHeight="1" x14ac:dyDescent="0.2">
      <c r="A173" s="415" t="s">
        <v>1250</v>
      </c>
      <c r="B173" s="415" t="s">
        <v>1247</v>
      </c>
      <c r="C173" s="365" t="s">
        <v>89</v>
      </c>
      <c r="D173" s="416">
        <v>0.62</v>
      </c>
      <c r="E173" s="416">
        <v>0.03</v>
      </c>
      <c r="F173" s="432">
        <f>(grains_table[[#This Row],[Extract %]]*46.214)/1000+1</f>
        <v>1.02865268</v>
      </c>
      <c r="G173" s="418">
        <v>600.6</v>
      </c>
      <c r="H173" s="433">
        <v>0</v>
      </c>
      <c r="I173" s="420" t="s">
        <v>1277</v>
      </c>
    </row>
    <row r="174" spans="1:9" ht="13.15" customHeight="1" x14ac:dyDescent="0.2">
      <c r="A174" s="415" t="s">
        <v>1251</v>
      </c>
      <c r="B174" s="415" t="s">
        <v>1246</v>
      </c>
      <c r="C174" s="365" t="s">
        <v>89</v>
      </c>
      <c r="D174" s="416">
        <v>0.65</v>
      </c>
      <c r="E174" s="416">
        <v>3.7999999999999999E-2</v>
      </c>
      <c r="F174" s="432">
        <f>(grains_table[[#This Row],[Extract %]]*46.214)/1000+1</f>
        <v>1.0300391</v>
      </c>
      <c r="G174" s="418">
        <v>431.5</v>
      </c>
      <c r="H174" s="433">
        <v>0</v>
      </c>
      <c r="I174" s="420" t="s">
        <v>1287</v>
      </c>
    </row>
    <row r="175" spans="1:9" ht="13.15" customHeight="1" x14ac:dyDescent="0.2">
      <c r="A175" s="415" t="s">
        <v>1449</v>
      </c>
      <c r="B175" s="415" t="s">
        <v>1291</v>
      </c>
      <c r="C175" s="365" t="s">
        <v>89</v>
      </c>
      <c r="D175" s="416"/>
      <c r="E175" s="416">
        <v>5.5E-2</v>
      </c>
      <c r="F175" s="432">
        <f>(grains_table[[#This Row],[Extract %]]*46.214)/1000+1</f>
        <v>1</v>
      </c>
      <c r="G175" s="418">
        <v>490</v>
      </c>
      <c r="H175" s="433">
        <v>0</v>
      </c>
      <c r="I175" s="421" t="s">
        <v>1329</v>
      </c>
    </row>
    <row r="176" spans="1:9" ht="13.15" customHeight="1" x14ac:dyDescent="0.2">
      <c r="A176" s="415" t="s">
        <v>1458</v>
      </c>
      <c r="B176" s="415" t="s">
        <v>1248</v>
      </c>
      <c r="C176" s="365" t="s">
        <v>89</v>
      </c>
      <c r="D176" s="416"/>
      <c r="E176" s="416">
        <v>0.06</v>
      </c>
      <c r="F176" s="432">
        <f>(grains_table[[#This Row],[Extract %]]*46.214)/1000+1</f>
        <v>1</v>
      </c>
      <c r="G176" s="418">
        <v>500</v>
      </c>
      <c r="H176" s="433">
        <v>0</v>
      </c>
      <c r="I176" s="420" t="s">
        <v>1492</v>
      </c>
    </row>
    <row r="177" spans="1:9" ht="13.15" customHeight="1" x14ac:dyDescent="0.2">
      <c r="A177" s="415" t="s">
        <v>1434</v>
      </c>
      <c r="B177" s="415" t="s">
        <v>1249</v>
      </c>
      <c r="C177" s="365" t="s">
        <v>89</v>
      </c>
      <c r="D177" s="416">
        <v>0.7</v>
      </c>
      <c r="E177" s="416">
        <v>4.4999999999999998E-2</v>
      </c>
      <c r="F177" s="432">
        <f>(grains_table[[#This Row],[Extract %]]*46.214)/1000+1</f>
        <v>1.0323498</v>
      </c>
      <c r="G177" s="418">
        <v>453</v>
      </c>
      <c r="H177" s="433">
        <v>0</v>
      </c>
      <c r="I177" s="421" t="s">
        <v>1286</v>
      </c>
    </row>
    <row r="178" spans="1:9" ht="13.15" customHeight="1" x14ac:dyDescent="0.2">
      <c r="A178" s="415" t="s">
        <v>1390</v>
      </c>
      <c r="B178" s="415" t="s">
        <v>1247</v>
      </c>
      <c r="C178" s="365" t="s">
        <v>89</v>
      </c>
      <c r="D178" s="416">
        <v>0.69</v>
      </c>
      <c r="E178" s="416">
        <v>0.05</v>
      </c>
      <c r="F178" s="432">
        <f>(grains_table[[#This Row],[Extract %]]*46.214)/1000+1</f>
        <v>1.03188766</v>
      </c>
      <c r="G178" s="418">
        <v>24</v>
      </c>
      <c r="H178" s="433">
        <v>0</v>
      </c>
      <c r="I178" s="420" t="s">
        <v>1273</v>
      </c>
    </row>
    <row r="179" spans="1:9" ht="13.15" customHeight="1" x14ac:dyDescent="0.2">
      <c r="A179" s="415" t="s">
        <v>1391</v>
      </c>
      <c r="B179" s="415" t="s">
        <v>1291</v>
      </c>
      <c r="C179" s="365" t="s">
        <v>89</v>
      </c>
      <c r="D179" s="416">
        <v>0.65</v>
      </c>
      <c r="E179" s="416">
        <v>4.4999999999999998E-2</v>
      </c>
      <c r="F179" s="432">
        <f>(grains_table[[#This Row],[Extract %]]*46.214)/1000+1</f>
        <v>1.0300391</v>
      </c>
      <c r="G179" s="418">
        <v>432.5</v>
      </c>
      <c r="H179" s="433">
        <v>0</v>
      </c>
      <c r="I179" s="421" t="s">
        <v>1323</v>
      </c>
    </row>
    <row r="180" spans="1:9" ht="13.15" customHeight="1" x14ac:dyDescent="0.2">
      <c r="A180" s="415" t="s">
        <v>1392</v>
      </c>
      <c r="B180" s="415" t="s">
        <v>1291</v>
      </c>
      <c r="C180" s="365" t="s">
        <v>89</v>
      </c>
      <c r="D180" s="416">
        <v>0.65</v>
      </c>
      <c r="E180" s="416">
        <v>4.4999999999999998E-2</v>
      </c>
      <c r="F180" s="432">
        <f>(grains_table[[#This Row],[Extract %]]*46.214)/1000+1</f>
        <v>1.0300391</v>
      </c>
      <c r="G180" s="418">
        <v>509.5</v>
      </c>
      <c r="H180" s="433">
        <v>0</v>
      </c>
      <c r="I180" s="421" t="s">
        <v>1324</v>
      </c>
    </row>
    <row r="181" spans="1:9" ht="13.15" customHeight="1" x14ac:dyDescent="0.2">
      <c r="A181" s="415" t="s">
        <v>1393</v>
      </c>
      <c r="B181" s="415" t="s">
        <v>1291</v>
      </c>
      <c r="C181" s="365" t="s">
        <v>89</v>
      </c>
      <c r="D181" s="416">
        <v>0.75</v>
      </c>
      <c r="E181" s="416">
        <v>4.4999999999999998E-2</v>
      </c>
      <c r="F181" s="432">
        <f>(grains_table[[#This Row],[Extract %]]*46.214)/1000+1</f>
        <v>1.0346605</v>
      </c>
      <c r="G181" s="418">
        <v>340</v>
      </c>
      <c r="H181" s="433">
        <v>0</v>
      </c>
      <c r="I181" s="420" t="s">
        <v>1502</v>
      </c>
    </row>
    <row r="182" spans="1:9" ht="13.15" customHeight="1" x14ac:dyDescent="0.2">
      <c r="A182" s="415" t="s">
        <v>1394</v>
      </c>
      <c r="B182" s="415" t="s">
        <v>1248</v>
      </c>
      <c r="C182" s="365" t="s">
        <v>89</v>
      </c>
      <c r="D182" s="416"/>
      <c r="E182" s="416">
        <v>0.06</v>
      </c>
      <c r="F182" s="432">
        <f>(grains_table[[#This Row],[Extract %]]*46.214)/1000+1</f>
        <v>1</v>
      </c>
      <c r="G182" s="418">
        <v>500</v>
      </c>
      <c r="H182" s="433">
        <v>0</v>
      </c>
      <c r="I182" s="420" t="s">
        <v>1501</v>
      </c>
    </row>
    <row r="183" spans="1:9" ht="13.15" customHeight="1" x14ac:dyDescent="0.2">
      <c r="A183" s="415" t="s">
        <v>1395</v>
      </c>
      <c r="B183" s="415" t="s">
        <v>1247</v>
      </c>
      <c r="C183" s="365" t="s">
        <v>89</v>
      </c>
      <c r="D183" s="416">
        <v>0.69</v>
      </c>
      <c r="E183" s="416">
        <v>0.03</v>
      </c>
      <c r="F183" s="432">
        <f>(grains_table[[#This Row],[Extract %]]*46.214)/1000+1</f>
        <v>1.03188766</v>
      </c>
      <c r="G183" s="418">
        <v>625.54999999999995</v>
      </c>
      <c r="H183" s="433">
        <v>0</v>
      </c>
      <c r="I183" s="420" t="s">
        <v>1276</v>
      </c>
    </row>
    <row r="184" spans="1:9" ht="13.15" customHeight="1" x14ac:dyDescent="0.2">
      <c r="A184" s="415" t="s">
        <v>1396</v>
      </c>
      <c r="B184" s="415" t="s">
        <v>1248</v>
      </c>
      <c r="C184" s="365" t="s">
        <v>89</v>
      </c>
      <c r="D184" s="416"/>
      <c r="E184" s="416">
        <v>0.06</v>
      </c>
      <c r="F184" s="432">
        <f>(grains_table[[#This Row],[Extract %]]*46.214)/1000+1</f>
        <v>1</v>
      </c>
      <c r="G184" s="418">
        <v>500</v>
      </c>
      <c r="H184" s="433">
        <v>0</v>
      </c>
      <c r="I184" s="420" t="s">
        <v>1501</v>
      </c>
    </row>
    <row r="185" spans="1:9" ht="13.15" customHeight="1" x14ac:dyDescent="0.2">
      <c r="A185" s="415" t="s">
        <v>1397</v>
      </c>
      <c r="B185" s="415" t="s">
        <v>1248</v>
      </c>
      <c r="C185" s="365" t="s">
        <v>89</v>
      </c>
      <c r="D185" s="416"/>
      <c r="E185" s="416">
        <v>0.06</v>
      </c>
      <c r="F185" s="432">
        <f>(grains_table[[#This Row],[Extract %]]*46.214)/1000+1</f>
        <v>1</v>
      </c>
      <c r="G185" s="418">
        <v>500</v>
      </c>
      <c r="H185" s="433">
        <v>0</v>
      </c>
      <c r="I185" s="420" t="s">
        <v>1501</v>
      </c>
    </row>
    <row r="186" spans="1:9" ht="13.15" customHeight="1" x14ac:dyDescent="0.2">
      <c r="A186" s="415" t="s">
        <v>1398</v>
      </c>
      <c r="B186" s="415" t="s">
        <v>1247</v>
      </c>
      <c r="C186" s="365" t="s">
        <v>89</v>
      </c>
      <c r="D186" s="416">
        <v>0.68700000000000006</v>
      </c>
      <c r="E186" s="416">
        <v>0.04</v>
      </c>
      <c r="F186" s="432">
        <f>(grains_table[[#This Row],[Extract %]]*46.214)/1000+1</f>
        <v>1.031749018</v>
      </c>
      <c r="G186" s="418">
        <v>193.7</v>
      </c>
      <c r="H186" s="433">
        <v>0</v>
      </c>
      <c r="I186" s="420" t="s">
        <v>1274</v>
      </c>
    </row>
    <row r="187" spans="1:9" ht="13.15" customHeight="1" x14ac:dyDescent="0.2">
      <c r="A187" s="415" t="s">
        <v>1399</v>
      </c>
      <c r="B187" s="415" t="s">
        <v>1248</v>
      </c>
      <c r="C187" s="365" t="s">
        <v>89</v>
      </c>
      <c r="D187" s="416">
        <v>0.79</v>
      </c>
      <c r="E187" s="416">
        <v>2.1999999999999999E-2</v>
      </c>
      <c r="F187" s="432">
        <f>(grains_table[[#This Row],[Extract %]]*46.214)/1000+1</f>
        <v>1.03650906</v>
      </c>
      <c r="G187" s="418">
        <v>55</v>
      </c>
      <c r="H187" s="433">
        <v>0</v>
      </c>
      <c r="I187" s="420" t="s">
        <v>1289</v>
      </c>
    </row>
    <row r="188" spans="1:9" ht="13.15" customHeight="1" x14ac:dyDescent="0.2">
      <c r="A188" s="415" t="s">
        <v>1400</v>
      </c>
      <c r="B188" s="415" t="s">
        <v>1248</v>
      </c>
      <c r="C188" s="365" t="s">
        <v>89</v>
      </c>
      <c r="D188" s="416">
        <v>0.6</v>
      </c>
      <c r="E188" s="416">
        <v>0</v>
      </c>
      <c r="F188" s="432">
        <f>(grains_table[[#This Row],[Extract %]]*46.214)/1000+1</f>
        <v>1.0277284</v>
      </c>
      <c r="G188" s="418">
        <v>350</v>
      </c>
      <c r="H188" s="433">
        <v>0</v>
      </c>
      <c r="I188" s="420" t="s">
        <v>1293</v>
      </c>
    </row>
    <row r="189" spans="1:9" ht="13.15" customHeight="1" x14ac:dyDescent="0.2">
      <c r="A189" s="415" t="s">
        <v>1401</v>
      </c>
      <c r="B189" s="415" t="s">
        <v>1247</v>
      </c>
      <c r="C189" s="365" t="s">
        <v>89</v>
      </c>
      <c r="D189" s="416">
        <v>0.69</v>
      </c>
      <c r="E189" s="416">
        <v>0.03</v>
      </c>
      <c r="F189" s="432">
        <f>(grains_table[[#This Row],[Extract %]]*46.214)/1000+1</f>
        <v>1.03188766</v>
      </c>
      <c r="G189" s="418">
        <v>444.4</v>
      </c>
      <c r="H189" s="433">
        <v>0</v>
      </c>
      <c r="I189" s="420" t="s">
        <v>1275</v>
      </c>
    </row>
    <row r="190" spans="1:9" ht="13.15" customHeight="1" x14ac:dyDescent="0.2">
      <c r="A190" s="415" t="s">
        <v>1427</v>
      </c>
      <c r="B190" s="415" t="s">
        <v>1246</v>
      </c>
      <c r="C190" s="365" t="s">
        <v>89</v>
      </c>
      <c r="D190" s="416">
        <v>0.65</v>
      </c>
      <c r="E190" s="416">
        <v>0.04</v>
      </c>
      <c r="F190" s="432">
        <f>(grains_table[[#This Row],[Extract %]]*46.214)/1000+1</f>
        <v>1.0300391</v>
      </c>
      <c r="G190" s="418">
        <v>244</v>
      </c>
      <c r="H190" s="433">
        <v>0</v>
      </c>
      <c r="I190" s="420" t="s">
        <v>1287</v>
      </c>
    </row>
    <row r="191" spans="1:9" ht="13.15" customHeight="1" x14ac:dyDescent="0.2">
      <c r="A191" s="415" t="s">
        <v>1428</v>
      </c>
      <c r="B191" s="415" t="s">
        <v>1246</v>
      </c>
      <c r="C191" s="365" t="s">
        <v>89</v>
      </c>
      <c r="D191" s="416">
        <v>0.65</v>
      </c>
      <c r="E191" s="416">
        <v>0.04</v>
      </c>
      <c r="F191" s="432">
        <f>(grains_table[[#This Row],[Extract %]]*46.214)/1000+1</f>
        <v>1.0300391</v>
      </c>
      <c r="G191" s="418">
        <v>273</v>
      </c>
      <c r="H191" s="433">
        <v>0</v>
      </c>
      <c r="I191" s="420" t="s">
        <v>1287</v>
      </c>
    </row>
    <row r="192" spans="1:9" ht="13.15" customHeight="1" x14ac:dyDescent="0.2">
      <c r="A192" s="415" t="s">
        <v>1429</v>
      </c>
      <c r="B192" s="415" t="s">
        <v>1246</v>
      </c>
      <c r="C192" s="365" t="s">
        <v>89</v>
      </c>
      <c r="D192" s="416">
        <v>0.65</v>
      </c>
      <c r="E192" s="416">
        <v>0.04</v>
      </c>
      <c r="F192" s="432">
        <f>(grains_table[[#This Row],[Extract %]]*46.214)/1000+1</f>
        <v>1.0300391</v>
      </c>
      <c r="G192" s="418">
        <v>394.5</v>
      </c>
      <c r="H192" s="433">
        <v>0</v>
      </c>
      <c r="I192" s="420" t="s">
        <v>1287</v>
      </c>
    </row>
    <row r="193" spans="1:9" ht="13.15" customHeight="1" x14ac:dyDescent="0.2">
      <c r="A193" s="415" t="s">
        <v>2384</v>
      </c>
      <c r="B193" s="422" t="s">
        <v>2383</v>
      </c>
      <c r="C193" s="418" t="s">
        <v>89</v>
      </c>
      <c r="D193" s="423">
        <v>0.76</v>
      </c>
      <c r="E193" s="423">
        <v>0.03</v>
      </c>
      <c r="F193" s="417">
        <f>(grains_table[[#This Row],[Extract %]]*46.214)/1000+1</f>
        <v>1.03512264</v>
      </c>
      <c r="G193" s="418">
        <v>225</v>
      </c>
      <c r="H193" s="419">
        <v>0</v>
      </c>
      <c r="I193" s="420" t="s">
        <v>2385</v>
      </c>
    </row>
    <row r="194" spans="1:9" ht="13.15" customHeight="1" x14ac:dyDescent="0.2">
      <c r="A194" s="415" t="s">
        <v>1402</v>
      </c>
      <c r="B194" s="415" t="s">
        <v>1248</v>
      </c>
      <c r="C194" s="365" t="s">
        <v>89</v>
      </c>
      <c r="D194" s="416"/>
      <c r="E194" s="416">
        <v>5.5E-2</v>
      </c>
      <c r="F194" s="432">
        <f>(grains_table[[#This Row],[Extract %]]*46.214)/1000+1</f>
        <v>1</v>
      </c>
      <c r="G194" s="418">
        <v>420</v>
      </c>
      <c r="H194" s="433">
        <v>0</v>
      </c>
      <c r="I194" s="420" t="s">
        <v>1493</v>
      </c>
    </row>
    <row r="195" spans="1:9" ht="13.15" customHeight="1" x14ac:dyDescent="0.2">
      <c r="A195" s="415" t="s">
        <v>1403</v>
      </c>
      <c r="B195" s="415" t="s">
        <v>1248</v>
      </c>
      <c r="C195" s="365" t="s">
        <v>89</v>
      </c>
      <c r="D195" s="416">
        <v>0.72</v>
      </c>
      <c r="E195" s="416">
        <v>2.5000000000000001E-2</v>
      </c>
      <c r="F195" s="432">
        <f>(grains_table[[#This Row],[Extract %]]*46.214)/1000+1</f>
        <v>1.03327408</v>
      </c>
      <c r="G195" s="418">
        <v>130</v>
      </c>
      <c r="H195" s="433">
        <v>0</v>
      </c>
      <c r="I195" s="420" t="s">
        <v>1294</v>
      </c>
    </row>
    <row r="196" spans="1:9" ht="13.15" customHeight="1" x14ac:dyDescent="0.2">
      <c r="A196" s="415" t="s">
        <v>1404</v>
      </c>
      <c r="B196" s="415" t="s">
        <v>1248</v>
      </c>
      <c r="C196" s="365" t="s">
        <v>89</v>
      </c>
      <c r="D196" s="416">
        <v>0.55000000000000004</v>
      </c>
      <c r="E196" s="416">
        <v>6.5000000000000002E-2</v>
      </c>
      <c r="F196" s="432">
        <f>(grains_table[[#This Row],[Extract %]]*46.214)/1000+1</f>
        <v>1.0254177</v>
      </c>
      <c r="G196" s="418">
        <v>550</v>
      </c>
      <c r="H196" s="433">
        <v>0</v>
      </c>
      <c r="I196" s="421" t="s">
        <v>1493</v>
      </c>
    </row>
    <row r="197" spans="1:9" ht="13.15" customHeight="1" x14ac:dyDescent="0.2">
      <c r="A197" s="415" t="s">
        <v>1436</v>
      </c>
      <c r="B197" s="415" t="s">
        <v>1246</v>
      </c>
      <c r="C197" s="365" t="s">
        <v>89</v>
      </c>
      <c r="D197" s="416">
        <v>0.65</v>
      </c>
      <c r="E197" s="416">
        <v>0.04</v>
      </c>
      <c r="F197" s="432">
        <f>(grains_table[[#This Row],[Extract %]]*46.214)/1000+1</f>
        <v>1.0300391</v>
      </c>
      <c r="G197" s="418">
        <v>244</v>
      </c>
      <c r="H197" s="433">
        <v>0</v>
      </c>
      <c r="I197" s="420" t="s">
        <v>1287</v>
      </c>
    </row>
    <row r="198" spans="1:9" ht="13.15" customHeight="1" x14ac:dyDescent="0.2">
      <c r="A198" s="415" t="s">
        <v>1897</v>
      </c>
      <c r="B198" s="422" t="s">
        <v>1868</v>
      </c>
      <c r="C198" s="418" t="s">
        <v>89</v>
      </c>
      <c r="D198" s="423">
        <v>0.78</v>
      </c>
      <c r="E198" s="423">
        <v>0.05</v>
      </c>
      <c r="F198" s="432">
        <f>(grains_table[[#This Row],[Extract %]]*46.214)/1000+1</f>
        <v>1.03604692</v>
      </c>
      <c r="G198" s="418">
        <v>120.6</v>
      </c>
      <c r="H198" s="433">
        <v>0</v>
      </c>
      <c r="I198" s="420" t="s">
        <v>1869</v>
      </c>
    </row>
    <row r="199" spans="1:9" ht="13.15" customHeight="1" x14ac:dyDescent="0.2">
      <c r="A199" s="415" t="s">
        <v>1405</v>
      </c>
      <c r="B199" s="415" t="s">
        <v>1249</v>
      </c>
      <c r="C199" s="365" t="s">
        <v>89</v>
      </c>
      <c r="D199" s="416">
        <v>0.83</v>
      </c>
      <c r="E199" s="416">
        <v>6.5000000000000002E-2</v>
      </c>
      <c r="F199" s="432">
        <f>(grains_table[[#This Row],[Extract %]]*46.214)/1000+1</f>
        <v>1.03835762</v>
      </c>
      <c r="G199" s="418">
        <v>12</v>
      </c>
      <c r="H199" s="433">
        <v>0</v>
      </c>
      <c r="I199" s="420" t="s">
        <v>1286</v>
      </c>
    </row>
    <row r="200" spans="1:9" ht="13.15" customHeight="1" x14ac:dyDescent="0.2">
      <c r="A200" s="415" t="s">
        <v>1892</v>
      </c>
      <c r="B200" s="422" t="s">
        <v>1868</v>
      </c>
      <c r="C200" s="418" t="s">
        <v>89</v>
      </c>
      <c r="D200" s="423">
        <v>0.71</v>
      </c>
      <c r="E200" s="423">
        <v>4.4999999999999998E-2</v>
      </c>
      <c r="F200" s="432">
        <f>(grains_table[[#This Row],[Extract %]]*46.214)/1000+1</f>
        <v>1.03281194</v>
      </c>
      <c r="G200" s="418">
        <v>207</v>
      </c>
      <c r="H200" s="433">
        <v>0</v>
      </c>
      <c r="I200" s="421" t="s">
        <v>1869</v>
      </c>
    </row>
    <row r="201" spans="1:9" ht="13.15" customHeight="1" x14ac:dyDescent="0.2">
      <c r="A201" s="415" t="s">
        <v>1893</v>
      </c>
      <c r="B201" s="422"/>
      <c r="C201" s="418" t="s">
        <v>89</v>
      </c>
      <c r="D201" s="423">
        <v>0</v>
      </c>
      <c r="E201" s="423">
        <v>0</v>
      </c>
      <c r="F201" s="432">
        <v>1.032</v>
      </c>
      <c r="G201" s="418">
        <v>2.5</v>
      </c>
      <c r="H201" s="433"/>
      <c r="I201" s="420"/>
    </row>
    <row r="202" spans="1:9" ht="13.15" customHeight="1" x14ac:dyDescent="0.2">
      <c r="A202" s="415" t="s">
        <v>1895</v>
      </c>
      <c r="B202" s="422" t="s">
        <v>1868</v>
      </c>
      <c r="C202" s="418" t="s">
        <v>89</v>
      </c>
      <c r="D202" s="423">
        <v>0.73</v>
      </c>
      <c r="E202" s="423">
        <v>0.03</v>
      </c>
      <c r="F202" s="432">
        <f>(grains_table[[#This Row],[Extract %]]*46.214)/1000+1</f>
        <v>1.03373622</v>
      </c>
      <c r="G202" s="418">
        <v>188</v>
      </c>
      <c r="H202" s="433">
        <v>0</v>
      </c>
      <c r="I202" s="420" t="s">
        <v>1869</v>
      </c>
    </row>
    <row r="203" spans="1:9" ht="13.15" customHeight="1" x14ac:dyDescent="0.2">
      <c r="A203" s="415" t="s">
        <v>1455</v>
      </c>
      <c r="B203" s="415" t="s">
        <v>1247</v>
      </c>
      <c r="C203" s="365" t="s">
        <v>89</v>
      </c>
      <c r="D203" s="416">
        <v>0.78</v>
      </c>
      <c r="E203" s="416">
        <v>7.0000000000000007E-2</v>
      </c>
      <c r="F203" s="432">
        <f>(grains_table[[#This Row],[Extract %]]*46.214)/1000+1</f>
        <v>1.03604692</v>
      </c>
      <c r="G203" s="418">
        <v>2.0499999999999998</v>
      </c>
      <c r="H203" s="433"/>
      <c r="I203" s="420" t="s">
        <v>1282</v>
      </c>
    </row>
    <row r="204" spans="1:9" ht="13.15" customHeight="1" x14ac:dyDescent="0.2">
      <c r="A204" s="415" t="s">
        <v>1433</v>
      </c>
      <c r="B204" s="415" t="s">
        <v>1246</v>
      </c>
      <c r="C204" s="365" t="s">
        <v>89</v>
      </c>
      <c r="D204" s="416">
        <v>0.81</v>
      </c>
      <c r="E204" s="416">
        <v>0.06</v>
      </c>
      <c r="F204" s="432">
        <f>(grains_table[[#This Row],[Extract %]]*46.214)/1000+1</f>
        <v>1.03743334</v>
      </c>
      <c r="G204" s="418">
        <v>3.15</v>
      </c>
      <c r="H204" s="433"/>
      <c r="I204" s="420" t="s">
        <v>1287</v>
      </c>
    </row>
    <row r="205" spans="1:9" ht="13.15" customHeight="1" x14ac:dyDescent="0.2">
      <c r="A205" s="415" t="s">
        <v>1457</v>
      </c>
      <c r="B205" s="415" t="s">
        <v>1248</v>
      </c>
      <c r="C205" s="365" t="s">
        <v>89</v>
      </c>
      <c r="D205" s="416">
        <v>0.8</v>
      </c>
      <c r="E205" s="416">
        <v>4.4999999999999998E-2</v>
      </c>
      <c r="F205" s="432">
        <f>(grains_table[[#This Row],[Extract %]]*46.214)/1000+1</f>
        <v>1.0369712</v>
      </c>
      <c r="G205" s="418">
        <v>3.7</v>
      </c>
      <c r="H205" s="433">
        <v>105</v>
      </c>
      <c r="I205" s="420" t="s">
        <v>1495</v>
      </c>
    </row>
    <row r="206" spans="1:9" ht="13.15" customHeight="1" x14ac:dyDescent="0.2">
      <c r="A206" s="415" t="s">
        <v>1894</v>
      </c>
      <c r="B206" s="422" t="s">
        <v>1868</v>
      </c>
      <c r="C206" s="418" t="s">
        <v>89</v>
      </c>
      <c r="D206" s="423">
        <v>0.81</v>
      </c>
      <c r="E206" s="423">
        <v>0.06</v>
      </c>
      <c r="F206" s="432">
        <f>(grains_table[[#This Row],[Extract %]]*46.214)/1000+1</f>
        <v>1.03743334</v>
      </c>
      <c r="G206" s="418">
        <v>3.2</v>
      </c>
      <c r="H206" s="433">
        <v>0</v>
      </c>
      <c r="I206" s="420" t="s">
        <v>1869</v>
      </c>
    </row>
    <row r="207" spans="1:9" ht="13.15" customHeight="1" x14ac:dyDescent="0.2">
      <c r="A207" s="415" t="s">
        <v>1410</v>
      </c>
      <c r="B207" s="415" t="s">
        <v>1248</v>
      </c>
      <c r="C207" s="365" t="s">
        <v>89</v>
      </c>
      <c r="D207" s="416">
        <v>0.80500000000000005</v>
      </c>
      <c r="E207" s="416">
        <v>0.06</v>
      </c>
      <c r="F207" s="432">
        <f>(grains_table[[#This Row],[Extract %]]*46.214)/1000+1</f>
        <v>1.0372022700000001</v>
      </c>
      <c r="G207" s="418">
        <v>6</v>
      </c>
      <c r="H207" s="433">
        <v>90</v>
      </c>
      <c r="I207" s="420" t="s">
        <v>1495</v>
      </c>
    </row>
    <row r="208" spans="1:9" ht="13.15" customHeight="1" x14ac:dyDescent="0.2">
      <c r="A208" s="415" t="s">
        <v>1411</v>
      </c>
      <c r="B208" s="415" t="s">
        <v>1246</v>
      </c>
      <c r="C208" s="365" t="s">
        <v>89</v>
      </c>
      <c r="D208" s="416">
        <v>0.77</v>
      </c>
      <c r="E208" s="416">
        <v>0.05</v>
      </c>
      <c r="F208" s="432">
        <f>(grains_table[[#This Row],[Extract %]]*46.214)/1000+1</f>
        <v>1.03558478</v>
      </c>
      <c r="G208" s="418">
        <v>2.85</v>
      </c>
      <c r="H208" s="433"/>
      <c r="I208" s="420" t="s">
        <v>1287</v>
      </c>
    </row>
    <row r="209" spans="1:9" ht="13.15" customHeight="1" x14ac:dyDescent="0.2">
      <c r="A209" s="415" t="s">
        <v>1412</v>
      </c>
      <c r="B209" s="415" t="s">
        <v>1291</v>
      </c>
      <c r="C209" s="365" t="s">
        <v>89</v>
      </c>
      <c r="D209" s="416">
        <v>0.78</v>
      </c>
      <c r="E209" s="416">
        <v>5.5E-2</v>
      </c>
      <c r="F209" s="432">
        <f>(grains_table[[#This Row],[Extract %]]*46.214)/1000+1</f>
        <v>1.03604692</v>
      </c>
      <c r="G209" s="418">
        <v>5.85</v>
      </c>
      <c r="H209" s="433">
        <f>(250+16)/3.5</f>
        <v>76</v>
      </c>
      <c r="I209" s="421" t="s">
        <v>1328</v>
      </c>
    </row>
    <row r="210" spans="1:9" ht="13.15" customHeight="1" x14ac:dyDescent="0.2">
      <c r="A210" s="415" t="s">
        <v>1413</v>
      </c>
      <c r="B210" s="415" t="s">
        <v>1291</v>
      </c>
      <c r="C210" s="365" t="s">
        <v>89</v>
      </c>
      <c r="D210" s="416">
        <v>0.77</v>
      </c>
      <c r="E210" s="416">
        <v>5.5E-2</v>
      </c>
      <c r="F210" s="432">
        <f>(grains_table[[#This Row],[Extract %]]*46.214)/1000+1</f>
        <v>1.03558478</v>
      </c>
      <c r="G210" s="418">
        <v>5.85</v>
      </c>
      <c r="H210" s="433">
        <f>(250+16)/3.5</f>
        <v>76</v>
      </c>
      <c r="I210" s="421" t="s">
        <v>1327</v>
      </c>
    </row>
    <row r="211" spans="1:9" ht="13.15" customHeight="1" x14ac:dyDescent="0.2">
      <c r="A211" s="415" t="s">
        <v>1414</v>
      </c>
      <c r="B211" s="415" t="s">
        <v>1248</v>
      </c>
      <c r="C211" s="365" t="s">
        <v>89</v>
      </c>
      <c r="D211" s="416">
        <v>0.80500000000000005</v>
      </c>
      <c r="E211" s="416">
        <v>0.06</v>
      </c>
      <c r="F211" s="432">
        <f>(grains_table[[#This Row],[Extract %]]*46.214)/1000+1</f>
        <v>1.0372022700000001</v>
      </c>
      <c r="G211" s="418">
        <v>5</v>
      </c>
      <c r="H211" s="433">
        <v>90</v>
      </c>
      <c r="I211" s="420" t="s">
        <v>1495</v>
      </c>
    </row>
    <row r="212" spans="1:9" ht="13.15" customHeight="1" x14ac:dyDescent="0.2">
      <c r="A212" s="415" t="s">
        <v>1885</v>
      </c>
      <c r="B212" s="422" t="s">
        <v>1868</v>
      </c>
      <c r="C212" s="418" t="s">
        <v>89</v>
      </c>
      <c r="D212" s="423">
        <v>0.81499999999999995</v>
      </c>
      <c r="E212" s="423">
        <v>3.7999999999999999E-2</v>
      </c>
      <c r="F212" s="432">
        <f>(grains_table[[#This Row],[Extract %]]*46.214)/1000+1</f>
        <v>1.0376644100000001</v>
      </c>
      <c r="G212" s="418">
        <v>2.02</v>
      </c>
      <c r="H212" s="433">
        <f>(250+16)/3.5</f>
        <v>76</v>
      </c>
      <c r="I212" s="420" t="s">
        <v>1869</v>
      </c>
    </row>
    <row r="213" spans="1:9" ht="13.15" customHeight="1" x14ac:dyDescent="0.2">
      <c r="A213" s="415" t="s">
        <v>1415</v>
      </c>
      <c r="B213" s="415" t="s">
        <v>1248</v>
      </c>
      <c r="C213" s="365" t="s">
        <v>89</v>
      </c>
      <c r="D213" s="416">
        <v>0.80500000000000005</v>
      </c>
      <c r="E213" s="416">
        <v>0.06</v>
      </c>
      <c r="F213" s="432">
        <f>(grains_table[[#This Row],[Extract %]]*46.214)/1000+1</f>
        <v>1.0372022700000001</v>
      </c>
      <c r="G213" s="418">
        <v>5</v>
      </c>
      <c r="H213" s="433">
        <v>90</v>
      </c>
      <c r="I213" s="420" t="s">
        <v>1495</v>
      </c>
    </row>
    <row r="214" spans="1:9" ht="13.15" customHeight="1" x14ac:dyDescent="0.2">
      <c r="A214" s="415" t="s">
        <v>1886</v>
      </c>
      <c r="B214" s="422" t="s">
        <v>1868</v>
      </c>
      <c r="C214" s="418" t="s">
        <v>89</v>
      </c>
      <c r="D214" s="423">
        <v>0.81</v>
      </c>
      <c r="E214" s="423">
        <v>3.5000000000000003E-2</v>
      </c>
      <c r="F214" s="432">
        <f>(grains_table[[#This Row],[Extract %]]*46.214)/1000+1</f>
        <v>1.03743334</v>
      </c>
      <c r="G214" s="418">
        <v>1.99</v>
      </c>
      <c r="H214" s="433">
        <f>(240+16)/3.5</f>
        <v>73.142857142857139</v>
      </c>
      <c r="I214" s="420" t="s">
        <v>1869</v>
      </c>
    </row>
    <row r="215" spans="1:9" ht="13.15" customHeight="1" x14ac:dyDescent="0.2">
      <c r="A215" s="415" t="s">
        <v>1416</v>
      </c>
      <c r="B215" s="415" t="s">
        <v>1246</v>
      </c>
      <c r="C215" s="365" t="s">
        <v>89</v>
      </c>
      <c r="D215" s="416">
        <v>0.82</v>
      </c>
      <c r="E215" s="416">
        <v>5.5E-2</v>
      </c>
      <c r="F215" s="432">
        <f>(grains_table[[#This Row],[Extract %]]*46.214)/1000+1</f>
        <v>1.03789548</v>
      </c>
      <c r="G215" s="418">
        <v>2.4500000000000002</v>
      </c>
      <c r="H215" s="433"/>
      <c r="I215" s="420" t="s">
        <v>1287</v>
      </c>
    </row>
    <row r="216" spans="1:9" ht="13.15" customHeight="1" x14ac:dyDescent="0.2">
      <c r="A216" s="415" t="s">
        <v>1252</v>
      </c>
      <c r="B216" s="415" t="s">
        <v>1246</v>
      </c>
      <c r="C216" s="365" t="s">
        <v>89</v>
      </c>
      <c r="D216" s="416">
        <v>0.8</v>
      </c>
      <c r="E216" s="416">
        <v>0.06</v>
      </c>
      <c r="F216" s="432">
        <f>(grains_table[[#This Row],[Extract %]]*46.214)/1000+1</f>
        <v>1.0369712</v>
      </c>
      <c r="G216" s="418">
        <v>2.4500000000000002</v>
      </c>
      <c r="H216" s="433"/>
      <c r="I216" s="420" t="s">
        <v>1287</v>
      </c>
    </row>
    <row r="217" spans="1:9" ht="13.15" customHeight="1" x14ac:dyDescent="0.2">
      <c r="A217" s="415" t="s">
        <v>1451</v>
      </c>
      <c r="B217" s="415" t="s">
        <v>1291</v>
      </c>
      <c r="C217" s="365" t="s">
        <v>89</v>
      </c>
      <c r="D217" s="416">
        <v>0.82</v>
      </c>
      <c r="E217" s="416">
        <v>5.5E-2</v>
      </c>
      <c r="F217" s="432">
        <f>(grains_table[[#This Row],[Extract %]]*46.214)/1000+1</f>
        <v>1.03789548</v>
      </c>
      <c r="G217" s="418">
        <v>2.25</v>
      </c>
      <c r="H217" s="433">
        <v>0</v>
      </c>
      <c r="I217" s="421" t="s">
        <v>1312</v>
      </c>
    </row>
    <row r="218" spans="1:9" ht="13.15" customHeight="1" x14ac:dyDescent="0.2">
      <c r="A218" s="415" t="s">
        <v>1498</v>
      </c>
      <c r="B218" s="415"/>
      <c r="C218" s="365" t="s">
        <v>702</v>
      </c>
      <c r="D218" s="416"/>
      <c r="E218" s="416"/>
      <c r="F218" s="432">
        <v>1.046</v>
      </c>
      <c r="G218" s="418">
        <v>50</v>
      </c>
      <c r="H218" s="433">
        <v>0</v>
      </c>
      <c r="I218" s="420" t="s">
        <v>1496</v>
      </c>
    </row>
    <row r="219" spans="1:9" ht="13.15" customHeight="1" x14ac:dyDescent="0.2">
      <c r="A219" s="415" t="s">
        <v>1497</v>
      </c>
      <c r="B219" s="415"/>
      <c r="C219" s="365" t="s">
        <v>702</v>
      </c>
      <c r="D219" s="416"/>
      <c r="E219" s="416"/>
      <c r="F219" s="432">
        <v>1.046</v>
      </c>
      <c r="G219" s="418">
        <v>8</v>
      </c>
      <c r="H219" s="433">
        <v>0</v>
      </c>
      <c r="I219" s="420" t="s">
        <v>1496</v>
      </c>
    </row>
    <row r="220" spans="1:9" ht="13.15" customHeight="1" x14ac:dyDescent="0.2">
      <c r="A220" s="415" t="s">
        <v>1910</v>
      </c>
      <c r="B220" s="415"/>
      <c r="C220" s="365" t="s">
        <v>702</v>
      </c>
      <c r="D220" s="416"/>
      <c r="E220" s="416"/>
      <c r="F220" s="432">
        <v>1.0449999999999999</v>
      </c>
      <c r="G220" s="418">
        <v>75</v>
      </c>
      <c r="H220" s="433">
        <v>0</v>
      </c>
      <c r="I220" s="420" t="s">
        <v>1908</v>
      </c>
    </row>
    <row r="221" spans="1:9" ht="13.15" customHeight="1" x14ac:dyDescent="0.2">
      <c r="A221" s="415" t="s">
        <v>1911</v>
      </c>
      <c r="B221" s="415"/>
      <c r="C221" s="365" t="s">
        <v>702</v>
      </c>
      <c r="D221" s="416"/>
      <c r="E221" s="416"/>
      <c r="F221" s="432">
        <v>1.0449999999999999</v>
      </c>
      <c r="G221" s="418">
        <v>1</v>
      </c>
      <c r="H221" s="433">
        <v>0</v>
      </c>
      <c r="I221" s="420" t="s">
        <v>1908</v>
      </c>
    </row>
    <row r="222" spans="1:9" ht="13.15" customHeight="1" x14ac:dyDescent="0.2">
      <c r="A222" s="415" t="s">
        <v>1912</v>
      </c>
      <c r="B222" s="415"/>
      <c r="C222" s="365" t="s">
        <v>702</v>
      </c>
      <c r="D222" s="416"/>
      <c r="E222" s="416"/>
      <c r="F222" s="432">
        <v>1.0449999999999999</v>
      </c>
      <c r="G222" s="418">
        <v>275</v>
      </c>
      <c r="H222" s="433">
        <v>0</v>
      </c>
      <c r="I222" s="420" t="s">
        <v>1908</v>
      </c>
    </row>
    <row r="223" spans="1:9" ht="13.15" customHeight="1" x14ac:dyDescent="0.2">
      <c r="A223" s="415" t="s">
        <v>1499</v>
      </c>
      <c r="B223" s="415"/>
      <c r="C223" s="365" t="s">
        <v>702</v>
      </c>
      <c r="D223" s="416"/>
      <c r="E223" s="416"/>
      <c r="F223" s="432">
        <v>1.042</v>
      </c>
      <c r="G223" s="418">
        <v>0</v>
      </c>
      <c r="H223" s="433">
        <v>0</v>
      </c>
      <c r="I223" s="420" t="s">
        <v>1908</v>
      </c>
    </row>
    <row r="224" spans="1:9" ht="13.15" customHeight="1" x14ac:dyDescent="0.2">
      <c r="A224" s="415" t="s">
        <v>1448</v>
      </c>
      <c r="B224" s="415"/>
      <c r="C224" s="365" t="s">
        <v>702</v>
      </c>
      <c r="D224" s="416"/>
      <c r="E224" s="416"/>
      <c r="F224" s="417">
        <v>1.046</v>
      </c>
      <c r="G224" s="418">
        <v>2</v>
      </c>
      <c r="H224" s="433">
        <v>0</v>
      </c>
      <c r="I224" s="420" t="s">
        <v>1496</v>
      </c>
    </row>
    <row r="225" spans="1:9" ht="13.15" customHeight="1" x14ac:dyDescent="0.2">
      <c r="A225" s="415" t="s">
        <v>1442</v>
      </c>
      <c r="B225" s="415"/>
      <c r="C225" s="365" t="s">
        <v>702</v>
      </c>
      <c r="D225" s="416"/>
      <c r="E225" s="416"/>
      <c r="F225" s="417">
        <v>1.036</v>
      </c>
      <c r="G225" s="418">
        <v>1</v>
      </c>
      <c r="H225" s="433">
        <v>0</v>
      </c>
      <c r="I225" s="420" t="s">
        <v>1908</v>
      </c>
    </row>
    <row r="226" spans="1:9" ht="13.15" customHeight="1" x14ac:dyDescent="0.2">
      <c r="A226" s="415" t="s">
        <v>1443</v>
      </c>
      <c r="B226" s="415"/>
      <c r="C226" s="365" t="s">
        <v>702</v>
      </c>
      <c r="D226" s="416"/>
      <c r="E226" s="416"/>
      <c r="F226" s="417">
        <v>1.036</v>
      </c>
      <c r="G226" s="418">
        <v>0</v>
      </c>
      <c r="H226" s="433">
        <v>0</v>
      </c>
      <c r="I226" s="420" t="s">
        <v>1496</v>
      </c>
    </row>
    <row r="227" spans="1:9" ht="13.15" customHeight="1" x14ac:dyDescent="0.2">
      <c r="A227" s="415" t="s">
        <v>1444</v>
      </c>
      <c r="B227" s="415"/>
      <c r="C227" s="365" t="s">
        <v>702</v>
      </c>
      <c r="D227" s="416"/>
      <c r="E227" s="416"/>
      <c r="F227" s="417">
        <v>1.046</v>
      </c>
      <c r="G227" s="418">
        <v>0</v>
      </c>
      <c r="H227" s="433">
        <v>0</v>
      </c>
      <c r="I227" s="420" t="s">
        <v>1908</v>
      </c>
    </row>
    <row r="228" spans="1:9" ht="13.15" customHeight="1" x14ac:dyDescent="0.2">
      <c r="A228" s="415" t="s">
        <v>1445</v>
      </c>
      <c r="B228" s="415"/>
      <c r="C228" s="365" t="s">
        <v>702</v>
      </c>
      <c r="D228" s="416"/>
      <c r="E228" s="416"/>
      <c r="F228" s="417">
        <v>1.0309999999999999</v>
      </c>
      <c r="G228" s="418">
        <v>35</v>
      </c>
      <c r="H228" s="433">
        <v>0</v>
      </c>
      <c r="I228" s="420" t="s">
        <v>1908</v>
      </c>
    </row>
    <row r="229" spans="1:9" ht="13.15" customHeight="1" x14ac:dyDescent="0.2">
      <c r="A229" s="415" t="s">
        <v>1446</v>
      </c>
      <c r="B229" s="415"/>
      <c r="C229" s="365" t="s">
        <v>702</v>
      </c>
      <c r="D229" s="416"/>
      <c r="E229" s="416"/>
      <c r="F229" s="417">
        <v>1.036</v>
      </c>
      <c r="G229" s="418">
        <v>80</v>
      </c>
      <c r="H229" s="433">
        <v>0</v>
      </c>
      <c r="I229" s="420" t="s">
        <v>1908</v>
      </c>
    </row>
    <row r="230" spans="1:9" ht="13.15" customHeight="1" x14ac:dyDescent="0.2">
      <c r="A230" s="415" t="s">
        <v>1447</v>
      </c>
      <c r="B230" s="415"/>
      <c r="C230" s="365" t="s">
        <v>702</v>
      </c>
      <c r="D230" s="416"/>
      <c r="E230" s="416"/>
      <c r="F230" s="417">
        <v>1.046</v>
      </c>
      <c r="G230" s="418">
        <v>1</v>
      </c>
      <c r="H230" s="433">
        <v>0</v>
      </c>
      <c r="I230" s="420" t="s">
        <v>1908</v>
      </c>
    </row>
    <row r="231" spans="1:9" ht="13.15" customHeight="1" x14ac:dyDescent="0.2">
      <c r="A231" s="415" t="s">
        <v>1235</v>
      </c>
      <c r="B231" s="415" t="s">
        <v>1248</v>
      </c>
      <c r="C231" s="365" t="s">
        <v>89</v>
      </c>
      <c r="D231" s="416">
        <v>0.76</v>
      </c>
      <c r="E231" s="416">
        <v>8.5000000000000006E-2</v>
      </c>
      <c r="F231" s="432">
        <f>(grains_table[[#This Row],[Extract %]]*46.214)/1000+1</f>
        <v>1.03512264</v>
      </c>
      <c r="G231" s="418">
        <v>1.5</v>
      </c>
      <c r="H231" s="433">
        <v>0</v>
      </c>
      <c r="I231" s="420" t="s">
        <v>1500</v>
      </c>
    </row>
    <row r="232" spans="1:9" ht="13.15" customHeight="1" x14ac:dyDescent="0.2">
      <c r="A232" s="415" t="s">
        <v>1406</v>
      </c>
      <c r="B232" s="415" t="s">
        <v>1291</v>
      </c>
      <c r="C232" s="365" t="s">
        <v>89</v>
      </c>
      <c r="D232" s="416">
        <v>0.80500000000000005</v>
      </c>
      <c r="E232" s="416">
        <v>4.9000000000000002E-2</v>
      </c>
      <c r="F232" s="432">
        <f>(grains_table[[#This Row],[Extract %]]*46.214)/1000+1</f>
        <v>1.0372022700000001</v>
      </c>
      <c r="G232" s="418">
        <v>3.85</v>
      </c>
      <c r="H232" s="433">
        <f>(250+16)/3.5</f>
        <v>76</v>
      </c>
      <c r="I232" s="420" t="s">
        <v>1305</v>
      </c>
    </row>
    <row r="233" spans="1:9" ht="13.15" customHeight="1" x14ac:dyDescent="0.2">
      <c r="A233" s="415" t="s">
        <v>1407</v>
      </c>
      <c r="B233" s="415" t="s">
        <v>1248</v>
      </c>
      <c r="C233" s="365" t="s">
        <v>89</v>
      </c>
      <c r="D233" s="416">
        <v>0.8</v>
      </c>
      <c r="E233" s="416">
        <v>3.5000000000000003E-2</v>
      </c>
      <c r="F233" s="432">
        <f>(grains_table[[#This Row],[Extract %]]*46.214)/1000+1</f>
        <v>1.0369712</v>
      </c>
      <c r="G233" s="418">
        <v>3.5</v>
      </c>
      <c r="H233" s="433">
        <v>80</v>
      </c>
      <c r="I233" s="420" t="s">
        <v>1299</v>
      </c>
    </row>
    <row r="234" spans="1:9" ht="13.15" customHeight="1" x14ac:dyDescent="0.2">
      <c r="A234" s="415" t="s">
        <v>1901</v>
      </c>
      <c r="B234" s="422" t="s">
        <v>1868</v>
      </c>
      <c r="C234" s="418" t="s">
        <v>89</v>
      </c>
      <c r="D234" s="423">
        <v>0.80500000000000005</v>
      </c>
      <c r="E234" s="423">
        <v>3.5000000000000003E-2</v>
      </c>
      <c r="F234" s="432">
        <f>(grains_table[[#This Row],[Extract %]]*46.214)/1000+1</f>
        <v>1.0372022700000001</v>
      </c>
      <c r="G234" s="418">
        <v>3.1</v>
      </c>
      <c r="H234" s="433">
        <f>(200+16)/3.5</f>
        <v>61.714285714285715</v>
      </c>
      <c r="I234" s="420" t="s">
        <v>1869</v>
      </c>
    </row>
    <row r="235" spans="1:9" ht="13.15" customHeight="1" x14ac:dyDescent="0.2">
      <c r="A235" s="415" t="s">
        <v>1408</v>
      </c>
      <c r="B235" s="415" t="s">
        <v>1247</v>
      </c>
      <c r="C235" s="365" t="s">
        <v>89</v>
      </c>
      <c r="D235" s="416">
        <v>0.75</v>
      </c>
      <c r="E235" s="416">
        <v>3.5000000000000003E-2</v>
      </c>
      <c r="F235" s="432">
        <f>(grains_table[[#This Row],[Extract %]]*46.214)/1000+1</f>
        <v>1.0346605</v>
      </c>
      <c r="G235" s="365">
        <v>3.35</v>
      </c>
      <c r="H235" s="434"/>
      <c r="I235" s="420" t="s">
        <v>1259</v>
      </c>
    </row>
    <row r="236" spans="1:9" ht="13.15" customHeight="1" x14ac:dyDescent="0.2">
      <c r="A236" s="415" t="s">
        <v>1409</v>
      </c>
      <c r="B236" s="415" t="s">
        <v>1246</v>
      </c>
      <c r="C236" s="365" t="s">
        <v>89</v>
      </c>
      <c r="D236" s="416">
        <v>0.79</v>
      </c>
      <c r="E236" s="416">
        <v>5.5E-2</v>
      </c>
      <c r="F236" s="432">
        <f>(grains_table[[#This Row],[Extract %]]*46.214)/1000+1</f>
        <v>1.03650906</v>
      </c>
      <c r="G236" s="418">
        <v>3.35</v>
      </c>
      <c r="H236" s="433"/>
      <c r="I236" s="420" t="s">
        <v>1287</v>
      </c>
    </row>
    <row r="237" spans="1:9" ht="13.15" customHeight="1" x14ac:dyDescent="0.2">
      <c r="A237" s="415" t="s">
        <v>1417</v>
      </c>
      <c r="B237" s="415" t="s">
        <v>1291</v>
      </c>
      <c r="C237" s="365" t="s">
        <v>89</v>
      </c>
      <c r="D237" s="416">
        <v>0.82</v>
      </c>
      <c r="E237" s="416">
        <v>5.5E-2</v>
      </c>
      <c r="F237" s="432">
        <f>(grains_table[[#This Row],[Extract %]]*46.214)/1000+1</f>
        <v>1.03789548</v>
      </c>
      <c r="G237" s="418">
        <v>1.6</v>
      </c>
      <c r="H237" s="433">
        <f>(250+16)/3.5</f>
        <v>76</v>
      </c>
      <c r="I237" s="421" t="s">
        <v>1313</v>
      </c>
    </row>
    <row r="238" spans="1:9" ht="13.15" customHeight="1" x14ac:dyDescent="0.2">
      <c r="A238" s="415" t="s">
        <v>1418</v>
      </c>
      <c r="B238" s="415" t="s">
        <v>1291</v>
      </c>
      <c r="C238" s="365" t="s">
        <v>89</v>
      </c>
      <c r="D238" s="416">
        <v>0.82</v>
      </c>
      <c r="E238" s="416">
        <v>5.5E-2</v>
      </c>
      <c r="F238" s="432">
        <f>(grains_table[[#This Row],[Extract %]]*46.214)/1000+1</f>
        <v>1.03789548</v>
      </c>
      <c r="G238" s="418">
        <v>2.25</v>
      </c>
      <c r="H238" s="433">
        <f>(250+16)/3.5</f>
        <v>76</v>
      </c>
      <c r="I238" s="421" t="s">
        <v>1310</v>
      </c>
    </row>
    <row r="239" spans="1:9" ht="13.15" customHeight="1" x14ac:dyDescent="0.2">
      <c r="A239" s="415" t="s">
        <v>1419</v>
      </c>
      <c r="B239" s="415" t="s">
        <v>1291</v>
      </c>
      <c r="C239" s="365" t="s">
        <v>89</v>
      </c>
      <c r="D239" s="416">
        <v>0.82</v>
      </c>
      <c r="E239" s="416">
        <v>5.5E-2</v>
      </c>
      <c r="F239" s="432">
        <f>(grains_table[[#This Row],[Extract %]]*46.214)/1000+1</f>
        <v>1.03789548</v>
      </c>
      <c r="G239" s="418">
        <v>7.25</v>
      </c>
      <c r="H239" s="433">
        <f>(250+16)/3.5</f>
        <v>76</v>
      </c>
      <c r="I239" s="421" t="s">
        <v>1311</v>
      </c>
    </row>
    <row r="240" spans="1:9" ht="13.15" customHeight="1" x14ac:dyDescent="0.2">
      <c r="A240" s="415" t="s">
        <v>1420</v>
      </c>
      <c r="B240" s="415" t="s">
        <v>1246</v>
      </c>
      <c r="C240" s="365" t="s">
        <v>89</v>
      </c>
      <c r="D240" s="416">
        <v>0.81</v>
      </c>
      <c r="E240" s="416">
        <v>7.0000000000000007E-2</v>
      </c>
      <c r="F240" s="432">
        <f>(grains_table[[#This Row],[Extract %]]*46.214)/1000+1</f>
        <v>1.03743334</v>
      </c>
      <c r="G240" s="418">
        <v>2.0499999999999998</v>
      </c>
      <c r="H240" s="433"/>
      <c r="I240" s="420" t="s">
        <v>1287</v>
      </c>
    </row>
    <row r="241" spans="1:9" ht="13.15" customHeight="1" x14ac:dyDescent="0.2">
      <c r="A241" s="415" t="s">
        <v>1421</v>
      </c>
      <c r="B241" s="415" t="s">
        <v>1246</v>
      </c>
      <c r="C241" s="365" t="s">
        <v>89</v>
      </c>
      <c r="D241" s="416">
        <v>0.82</v>
      </c>
      <c r="E241" s="416">
        <v>5.5E-2</v>
      </c>
      <c r="F241" s="432">
        <f>(grains_table[[#This Row],[Extract %]]*46.214)/1000+1</f>
        <v>1.03789548</v>
      </c>
      <c r="G241" s="418">
        <v>2.0499999999999998</v>
      </c>
      <c r="H241" s="433"/>
      <c r="I241" s="420" t="s">
        <v>1287</v>
      </c>
    </row>
    <row r="242" spans="1:9" ht="13.15" customHeight="1" x14ac:dyDescent="0.2">
      <c r="A242" s="415" t="s">
        <v>1902</v>
      </c>
      <c r="B242" s="422" t="s">
        <v>1868</v>
      </c>
      <c r="C242" s="418" t="s">
        <v>89</v>
      </c>
      <c r="D242" s="423">
        <v>0.85</v>
      </c>
      <c r="E242" s="423">
        <v>4.8000000000000001E-2</v>
      </c>
      <c r="F242" s="432">
        <f>(grains_table[[#This Row],[Extract %]]*46.214)/1000+1</f>
        <v>1.0392819</v>
      </c>
      <c r="G242" s="418">
        <v>2.1</v>
      </c>
      <c r="H242" s="433">
        <f>(240+16)/3.5</f>
        <v>73.142857142857139</v>
      </c>
      <c r="I242" s="420" t="s">
        <v>1869</v>
      </c>
    </row>
    <row r="243" spans="1:9" ht="13.15" customHeight="1" x14ac:dyDescent="0.2">
      <c r="A243" s="415" t="s">
        <v>1422</v>
      </c>
      <c r="B243" s="415" t="s">
        <v>1247</v>
      </c>
      <c r="C243" s="365" t="s">
        <v>89</v>
      </c>
      <c r="D243" s="416">
        <v>0.82899999999999996</v>
      </c>
      <c r="E243" s="416">
        <v>0.04</v>
      </c>
      <c r="F243" s="432">
        <f>(grains_table[[#This Row],[Extract %]]*46.214)/1000+1</f>
        <v>1.038311406</v>
      </c>
      <c r="G243" s="418">
        <v>2.0499999999999998</v>
      </c>
      <c r="H243" s="433"/>
      <c r="I243" s="421" t="s">
        <v>1279</v>
      </c>
    </row>
    <row r="244" spans="1:9" ht="13.15" customHeight="1" x14ac:dyDescent="0.2">
      <c r="A244" s="415" t="s">
        <v>1423</v>
      </c>
      <c r="B244" s="415" t="s">
        <v>1249</v>
      </c>
      <c r="C244" s="365" t="s">
        <v>89</v>
      </c>
      <c r="D244" s="416">
        <v>0.83</v>
      </c>
      <c r="E244" s="416">
        <v>6.5000000000000002E-2</v>
      </c>
      <c r="F244" s="432">
        <f>(grains_table[[#This Row],[Extract %]]*46.214)/1000+1</f>
        <v>1.03835762</v>
      </c>
      <c r="G244" s="418">
        <v>1.6</v>
      </c>
      <c r="H244" s="433"/>
      <c r="I244" s="420" t="s">
        <v>1284</v>
      </c>
    </row>
    <row r="245" spans="1:9" ht="13.15" customHeight="1" x14ac:dyDescent="0.2">
      <c r="A245" s="415" t="s">
        <v>1424</v>
      </c>
      <c r="B245" s="415" t="s">
        <v>1246</v>
      </c>
      <c r="C245" s="365" t="s">
        <v>89</v>
      </c>
      <c r="D245" s="416"/>
      <c r="E245" s="416"/>
      <c r="F245" s="432">
        <f>(grains_table[[#This Row],[Extract %]]*46.214)/1000+1</f>
        <v>1</v>
      </c>
      <c r="G245" s="418">
        <v>7.15</v>
      </c>
      <c r="H245" s="433"/>
      <c r="I245" s="420" t="s">
        <v>1287</v>
      </c>
    </row>
    <row r="246" spans="1:9" ht="13.15" customHeight="1" x14ac:dyDescent="0.2">
      <c r="A246" s="415" t="s">
        <v>1425</v>
      </c>
      <c r="B246" s="415" t="s">
        <v>1248</v>
      </c>
      <c r="C246" s="365" t="s">
        <v>89</v>
      </c>
      <c r="D246" s="416">
        <v>0.81</v>
      </c>
      <c r="E246" s="416">
        <v>0.04</v>
      </c>
      <c r="F246" s="432">
        <f>(grains_table[[#This Row],[Extract %]]*46.214)/1000+1</f>
        <v>1.03743334</v>
      </c>
      <c r="G246" s="418">
        <v>2.2999999999999998</v>
      </c>
      <c r="H246" s="433">
        <v>180</v>
      </c>
      <c r="I246" s="421" t="s">
        <v>1300</v>
      </c>
    </row>
    <row r="247" spans="1:9" ht="13.15" customHeight="1" x14ac:dyDescent="0.2">
      <c r="A247" s="415" t="s">
        <v>1426</v>
      </c>
      <c r="B247" s="415" t="s">
        <v>1248</v>
      </c>
      <c r="C247" s="365" t="s">
        <v>89</v>
      </c>
      <c r="D247" s="416">
        <v>0.85</v>
      </c>
      <c r="E247" s="416">
        <v>0.04</v>
      </c>
      <c r="F247" s="432">
        <f>(grains_table[[#This Row],[Extract %]]*46.214)/1000+1</f>
        <v>1.0392819</v>
      </c>
      <c r="G247" s="418">
        <v>2.5</v>
      </c>
      <c r="H247" s="433">
        <v>160</v>
      </c>
      <c r="I247" s="421" t="s">
        <v>1300</v>
      </c>
    </row>
    <row r="248" spans="1:9" x14ac:dyDescent="0.2">
      <c r="A248" s="422"/>
      <c r="B248" s="422"/>
      <c r="C248" s="422"/>
      <c r="D248" s="422"/>
      <c r="E248" s="422"/>
      <c r="F248" s="418"/>
      <c r="G248" s="418"/>
      <c r="H248" s="419"/>
      <c r="I248" s="422"/>
    </row>
    <row r="249" spans="1:9" x14ac:dyDescent="0.2">
      <c r="A249" s="422"/>
      <c r="B249" s="422"/>
      <c r="C249" s="422"/>
      <c r="D249" s="422"/>
      <c r="E249" s="422"/>
      <c r="F249" s="418"/>
      <c r="G249" s="418"/>
      <c r="H249" s="419"/>
      <c r="I249" s="422"/>
    </row>
    <row r="250" spans="1:9" x14ac:dyDescent="0.2">
      <c r="A250" s="422"/>
      <c r="B250" s="422"/>
      <c r="C250" s="422"/>
      <c r="D250" s="422"/>
      <c r="E250" s="422"/>
      <c r="F250" s="418"/>
      <c r="G250" s="418"/>
      <c r="H250" s="419"/>
      <c r="I250" s="422"/>
    </row>
    <row r="251" spans="1:9" x14ac:dyDescent="0.2">
      <c r="A251" s="422"/>
      <c r="B251" s="415"/>
      <c r="C251" s="415"/>
      <c r="D251" s="415"/>
      <c r="E251" s="415"/>
      <c r="F251" s="418"/>
      <c r="G251" s="418"/>
      <c r="H251" s="419"/>
      <c r="I251" s="422"/>
    </row>
    <row r="252" spans="1:9" x14ac:dyDescent="0.2">
      <c r="A252" s="422"/>
      <c r="B252" s="415"/>
      <c r="C252" s="415"/>
      <c r="D252" s="415"/>
      <c r="E252" s="415"/>
      <c r="F252" s="418"/>
      <c r="G252" s="418"/>
      <c r="H252" s="419"/>
      <c r="I252" s="422"/>
    </row>
    <row r="253" spans="1:9" x14ac:dyDescent="0.2">
      <c r="A253" s="422"/>
      <c r="B253" s="415"/>
      <c r="C253" s="415"/>
      <c r="D253" s="415"/>
      <c r="E253" s="415"/>
      <c r="F253" s="418"/>
      <c r="G253" s="418"/>
      <c r="H253" s="419"/>
      <c r="I253" s="422"/>
    </row>
    <row r="254" spans="1:9" x14ac:dyDescent="0.2">
      <c r="A254" s="422"/>
      <c r="B254" s="422"/>
      <c r="C254" s="422"/>
      <c r="D254" s="422"/>
      <c r="E254" s="422"/>
      <c r="F254" s="418"/>
      <c r="G254" s="418"/>
      <c r="H254" s="419"/>
      <c r="I254" s="422"/>
    </row>
    <row r="255" spans="1:9" x14ac:dyDescent="0.2">
      <c r="A255" s="422"/>
      <c r="B255" s="422"/>
      <c r="C255" s="422"/>
      <c r="D255" s="422"/>
      <c r="E255" s="422"/>
      <c r="F255" s="418"/>
      <c r="G255" s="418"/>
      <c r="H255" s="419"/>
      <c r="I255" s="422"/>
    </row>
    <row r="256" spans="1:9" x14ac:dyDescent="0.2">
      <c r="A256" s="422"/>
      <c r="B256" s="422"/>
      <c r="C256" s="422"/>
      <c r="D256" s="422"/>
      <c r="E256" s="422"/>
      <c r="F256" s="418"/>
      <c r="G256" s="418"/>
      <c r="H256" s="419"/>
      <c r="I256" s="422"/>
    </row>
    <row r="257" spans="1:9" x14ac:dyDescent="0.2">
      <c r="A257" s="422"/>
      <c r="B257" s="422"/>
      <c r="C257" s="422"/>
      <c r="D257" s="422"/>
      <c r="E257" s="422"/>
      <c r="F257" s="418"/>
      <c r="G257" s="418"/>
      <c r="H257" s="419"/>
      <c r="I257" s="422"/>
    </row>
    <row r="258" spans="1:9" x14ac:dyDescent="0.2">
      <c r="A258" s="422"/>
      <c r="B258" s="422"/>
      <c r="C258" s="422"/>
      <c r="D258" s="422"/>
      <c r="E258" s="422"/>
      <c r="F258" s="418"/>
      <c r="G258" s="418"/>
      <c r="H258" s="419"/>
      <c r="I258" s="422"/>
    </row>
    <row r="259" spans="1:9" x14ac:dyDescent="0.2">
      <c r="A259" s="422"/>
      <c r="B259" s="422"/>
      <c r="C259" s="422"/>
      <c r="D259" s="422"/>
      <c r="E259" s="422"/>
      <c r="F259" s="418"/>
      <c r="G259" s="418"/>
      <c r="H259" s="419"/>
      <c r="I259" s="422"/>
    </row>
    <row r="260" spans="1:9" x14ac:dyDescent="0.2">
      <c r="A260" s="422"/>
      <c r="B260" s="422"/>
      <c r="C260" s="422"/>
      <c r="D260" s="422"/>
      <c r="E260" s="422"/>
      <c r="F260" s="418"/>
      <c r="G260" s="418"/>
      <c r="H260" s="419"/>
      <c r="I260" s="422"/>
    </row>
    <row r="261" spans="1:9" x14ac:dyDescent="0.2">
      <c r="A261" s="422"/>
      <c r="B261" s="422"/>
      <c r="C261" s="422"/>
      <c r="D261" s="422"/>
      <c r="E261" s="422"/>
      <c r="F261" s="418"/>
      <c r="G261" s="418"/>
      <c r="H261" s="419"/>
      <c r="I261" s="422"/>
    </row>
    <row r="262" spans="1:9" x14ac:dyDescent="0.2">
      <c r="A262" s="422"/>
      <c r="B262" s="422"/>
      <c r="C262" s="422"/>
      <c r="D262" s="422"/>
      <c r="E262" s="422"/>
      <c r="F262" s="418"/>
      <c r="G262" s="418"/>
      <c r="H262" s="418"/>
      <c r="I262" s="422"/>
    </row>
    <row r="263" spans="1:9" x14ac:dyDescent="0.2">
      <c r="A263" s="422"/>
      <c r="B263" s="422"/>
      <c r="C263" s="422"/>
      <c r="D263" s="422"/>
      <c r="E263" s="422"/>
      <c r="F263" s="418"/>
      <c r="G263" s="418"/>
      <c r="H263" s="418"/>
      <c r="I263" s="422"/>
    </row>
    <row r="264" spans="1:9" x14ac:dyDescent="0.2">
      <c r="A264" s="422"/>
      <c r="B264" s="422"/>
      <c r="C264" s="422"/>
      <c r="D264" s="422"/>
      <c r="E264" s="422"/>
      <c r="F264" s="418"/>
      <c r="G264" s="418"/>
      <c r="H264" s="418"/>
      <c r="I264" s="422"/>
    </row>
    <row r="265" spans="1:9" x14ac:dyDescent="0.2">
      <c r="A265" s="422"/>
      <c r="B265" s="422"/>
      <c r="C265" s="422"/>
      <c r="D265" s="422"/>
      <c r="E265" s="422"/>
      <c r="F265" s="418"/>
      <c r="G265" s="418"/>
      <c r="H265" s="418"/>
      <c r="I265" s="422"/>
    </row>
    <row r="266" spans="1:9" x14ac:dyDescent="0.2">
      <c r="A266" s="422"/>
      <c r="B266" s="422"/>
      <c r="C266" s="422"/>
      <c r="D266" s="422"/>
      <c r="E266" s="422"/>
      <c r="F266" s="418"/>
      <c r="G266" s="418"/>
      <c r="H266" s="418"/>
      <c r="I266" s="422"/>
    </row>
    <row r="267" spans="1:9" x14ac:dyDescent="0.2">
      <c r="A267" s="422"/>
      <c r="B267" s="422"/>
      <c r="C267" s="422"/>
      <c r="D267" s="422"/>
      <c r="E267" s="422"/>
      <c r="F267" s="418"/>
      <c r="G267" s="418"/>
      <c r="H267" s="418"/>
      <c r="I267" s="422"/>
    </row>
    <row r="268" spans="1:9" x14ac:dyDescent="0.2">
      <c r="A268" s="422"/>
      <c r="B268" s="422"/>
      <c r="C268" s="422"/>
      <c r="D268" s="422"/>
      <c r="E268" s="422"/>
      <c r="F268" s="418"/>
      <c r="G268" s="418"/>
      <c r="H268" s="418"/>
      <c r="I268" s="422"/>
    </row>
    <row r="269" spans="1:9" x14ac:dyDescent="0.2">
      <c r="A269" s="422"/>
      <c r="B269" s="422"/>
      <c r="C269" s="422"/>
      <c r="D269" s="422"/>
      <c r="E269" s="422"/>
      <c r="F269" s="418"/>
      <c r="G269" s="418"/>
      <c r="H269" s="418"/>
      <c r="I269" s="422"/>
    </row>
    <row r="270" spans="1:9" x14ac:dyDescent="0.2">
      <c r="A270" s="422"/>
      <c r="B270" s="422"/>
      <c r="C270" s="422"/>
      <c r="D270" s="422"/>
      <c r="E270" s="422"/>
      <c r="F270" s="418"/>
      <c r="G270" s="418"/>
      <c r="H270" s="418"/>
      <c r="I270" s="422"/>
    </row>
    <row r="271" spans="1:9" x14ac:dyDescent="0.2">
      <c r="A271" s="422"/>
      <c r="B271" s="422"/>
      <c r="C271" s="422"/>
      <c r="D271" s="422"/>
      <c r="E271" s="422"/>
      <c r="F271" s="418"/>
      <c r="G271" s="418"/>
      <c r="H271" s="418"/>
      <c r="I271" s="422"/>
    </row>
    <row r="272" spans="1:9" x14ac:dyDescent="0.2">
      <c r="A272" s="422"/>
      <c r="B272" s="422"/>
      <c r="C272" s="422"/>
      <c r="D272" s="422"/>
      <c r="E272" s="422"/>
      <c r="F272" s="418"/>
      <c r="G272" s="418"/>
      <c r="H272" s="418"/>
      <c r="I272" s="422"/>
    </row>
    <row r="273" spans="1:9" x14ac:dyDescent="0.2">
      <c r="A273" s="422"/>
      <c r="B273" s="422"/>
      <c r="C273" s="422"/>
      <c r="D273" s="422"/>
      <c r="E273" s="422"/>
      <c r="F273" s="418"/>
      <c r="G273" s="418"/>
      <c r="H273" s="418"/>
      <c r="I273" s="422"/>
    </row>
    <row r="274" spans="1:9" x14ac:dyDescent="0.2">
      <c r="A274" s="422"/>
      <c r="B274" s="422"/>
      <c r="C274" s="422"/>
      <c r="D274" s="422"/>
      <c r="E274" s="422"/>
      <c r="F274" s="418"/>
      <c r="G274" s="418"/>
      <c r="H274" s="418"/>
      <c r="I274" s="422"/>
    </row>
    <row r="275" spans="1:9" x14ac:dyDescent="0.2">
      <c r="A275" s="422"/>
      <c r="B275" s="422"/>
      <c r="C275" s="422"/>
      <c r="D275" s="422"/>
      <c r="E275" s="422"/>
      <c r="F275" s="418"/>
      <c r="G275" s="418"/>
      <c r="H275" s="418"/>
      <c r="I275" s="422"/>
    </row>
    <row r="276" spans="1:9" x14ac:dyDescent="0.2">
      <c r="A276" s="422"/>
      <c r="B276" s="422"/>
      <c r="C276" s="422"/>
      <c r="D276" s="422"/>
      <c r="E276" s="422"/>
      <c r="F276" s="418"/>
      <c r="G276" s="418"/>
      <c r="H276" s="418"/>
      <c r="I276" s="422"/>
    </row>
    <row r="277" spans="1:9" x14ac:dyDescent="0.2">
      <c r="A277" s="422"/>
      <c r="B277" s="422"/>
      <c r="C277" s="422"/>
      <c r="D277" s="422"/>
      <c r="E277" s="422"/>
      <c r="F277" s="418"/>
      <c r="G277" s="418"/>
      <c r="H277" s="418"/>
      <c r="I277" s="422"/>
    </row>
    <row r="278" spans="1:9" x14ac:dyDescent="0.2">
      <c r="A278" s="422"/>
      <c r="B278" s="422"/>
      <c r="C278" s="422"/>
      <c r="D278" s="422"/>
      <c r="E278" s="422"/>
      <c r="F278" s="418"/>
      <c r="G278" s="418"/>
      <c r="H278" s="418"/>
      <c r="I278" s="422"/>
    </row>
    <row r="279" spans="1:9" x14ac:dyDescent="0.2">
      <c r="A279" s="422"/>
      <c r="B279" s="422"/>
      <c r="C279" s="422"/>
      <c r="D279" s="422"/>
      <c r="E279" s="422"/>
      <c r="F279" s="418"/>
      <c r="G279" s="418"/>
      <c r="H279" s="418"/>
      <c r="I279" s="422"/>
    </row>
    <row r="280" spans="1:9" x14ac:dyDescent="0.2">
      <c r="A280" s="422"/>
      <c r="B280" s="422"/>
      <c r="C280" s="422"/>
      <c r="D280" s="422"/>
      <c r="E280" s="422"/>
      <c r="F280" s="418"/>
      <c r="G280" s="418"/>
      <c r="H280" s="418"/>
      <c r="I280" s="422"/>
    </row>
    <row r="281" spans="1:9" x14ac:dyDescent="0.2">
      <c r="A281" s="422"/>
      <c r="B281" s="422"/>
      <c r="C281" s="422"/>
      <c r="D281" s="422"/>
      <c r="E281" s="422"/>
      <c r="F281" s="418"/>
      <c r="G281" s="418"/>
      <c r="H281" s="418"/>
      <c r="I281" s="422"/>
    </row>
    <row r="282" spans="1:9" x14ac:dyDescent="0.2">
      <c r="A282" s="422"/>
      <c r="B282" s="422"/>
      <c r="C282" s="422"/>
      <c r="D282" s="422"/>
      <c r="E282" s="422"/>
      <c r="F282" s="418"/>
      <c r="G282" s="418"/>
      <c r="H282" s="418"/>
      <c r="I282" s="422"/>
    </row>
    <row r="283" spans="1:9" x14ac:dyDescent="0.2">
      <c r="A283" s="422"/>
      <c r="B283" s="422"/>
      <c r="C283" s="422"/>
      <c r="D283" s="422"/>
      <c r="E283" s="422"/>
      <c r="F283" s="418"/>
      <c r="G283" s="418"/>
      <c r="H283" s="418"/>
      <c r="I283" s="422"/>
    </row>
    <row r="284" spans="1:9" x14ac:dyDescent="0.2">
      <c r="A284" s="422"/>
      <c r="B284" s="422"/>
      <c r="C284" s="422"/>
      <c r="D284" s="422"/>
      <c r="E284" s="422"/>
      <c r="F284" s="418"/>
      <c r="G284" s="418"/>
      <c r="H284" s="418"/>
      <c r="I284" s="422"/>
    </row>
    <row r="285" spans="1:9" x14ac:dyDescent="0.2">
      <c r="A285" s="422"/>
      <c r="B285" s="422"/>
      <c r="C285" s="422"/>
      <c r="D285" s="422"/>
      <c r="E285" s="422"/>
      <c r="F285" s="418"/>
      <c r="G285" s="418"/>
      <c r="H285" s="418"/>
      <c r="I285" s="422"/>
    </row>
    <row r="286" spans="1:9" x14ac:dyDescent="0.2">
      <c r="A286" s="422"/>
      <c r="B286" s="422"/>
      <c r="C286" s="422"/>
      <c r="D286" s="422"/>
      <c r="E286" s="422"/>
      <c r="F286" s="418"/>
      <c r="G286" s="418"/>
      <c r="H286" s="418"/>
      <c r="I286" s="422"/>
    </row>
    <row r="287" spans="1:9" x14ac:dyDescent="0.2">
      <c r="A287" s="422"/>
      <c r="B287" s="422"/>
      <c r="C287" s="422"/>
      <c r="D287" s="422"/>
      <c r="E287" s="422"/>
      <c r="F287" s="418"/>
      <c r="G287" s="418"/>
      <c r="H287" s="418"/>
      <c r="I287" s="422"/>
    </row>
    <row r="288" spans="1:9" x14ac:dyDescent="0.2">
      <c r="A288" s="422"/>
      <c r="B288" s="422"/>
      <c r="C288" s="422"/>
      <c r="D288" s="422"/>
      <c r="E288" s="422"/>
      <c r="F288" s="418"/>
      <c r="G288" s="418"/>
      <c r="H288" s="418"/>
      <c r="I288" s="422"/>
    </row>
    <row r="289" spans="1:9" x14ac:dyDescent="0.2">
      <c r="A289" s="422"/>
      <c r="B289" s="422"/>
      <c r="C289" s="422"/>
      <c r="D289" s="422"/>
      <c r="E289" s="422"/>
      <c r="F289" s="418"/>
      <c r="G289" s="418"/>
      <c r="H289" s="418"/>
      <c r="I289" s="422"/>
    </row>
    <row r="290" spans="1:9" x14ac:dyDescent="0.2">
      <c r="A290" s="422"/>
      <c r="B290" s="422"/>
      <c r="C290" s="422"/>
      <c r="D290" s="422"/>
      <c r="E290" s="422"/>
      <c r="F290" s="418"/>
      <c r="G290" s="418"/>
      <c r="H290" s="418"/>
      <c r="I290" s="422"/>
    </row>
    <row r="291" spans="1:9" x14ac:dyDescent="0.2">
      <c r="A291" s="422"/>
      <c r="B291" s="422"/>
      <c r="C291" s="422"/>
      <c r="D291" s="422"/>
      <c r="E291" s="422"/>
      <c r="F291" s="418"/>
      <c r="G291" s="418"/>
      <c r="H291" s="418"/>
      <c r="I291" s="422"/>
    </row>
    <row r="292" spans="1:9" x14ac:dyDescent="0.2">
      <c r="A292" s="422"/>
      <c r="B292" s="422"/>
      <c r="C292" s="422"/>
      <c r="D292" s="422"/>
      <c r="E292" s="422"/>
      <c r="F292" s="418"/>
      <c r="G292" s="418"/>
      <c r="H292" s="418"/>
      <c r="I292" s="422"/>
    </row>
    <row r="293" spans="1:9" x14ac:dyDescent="0.2">
      <c r="A293" s="422"/>
      <c r="B293" s="422"/>
      <c r="C293" s="422"/>
      <c r="D293" s="422"/>
      <c r="E293" s="422"/>
      <c r="F293" s="418"/>
      <c r="G293" s="418"/>
      <c r="H293" s="418"/>
      <c r="I293" s="422"/>
    </row>
    <row r="294" spans="1:9" x14ac:dyDescent="0.2">
      <c r="A294" s="422"/>
      <c r="B294" s="422"/>
      <c r="C294" s="422"/>
      <c r="D294" s="422"/>
      <c r="E294" s="422"/>
      <c r="F294" s="418"/>
      <c r="G294" s="418"/>
      <c r="H294" s="418"/>
      <c r="I294" s="422"/>
    </row>
    <row r="295" spans="1:9" x14ac:dyDescent="0.2">
      <c r="A295" s="422"/>
      <c r="B295" s="422"/>
      <c r="C295" s="422"/>
      <c r="D295" s="422"/>
      <c r="E295" s="422"/>
      <c r="F295" s="418"/>
      <c r="G295" s="418"/>
      <c r="H295" s="418"/>
      <c r="I295" s="422"/>
    </row>
    <row r="296" spans="1:9" x14ac:dyDescent="0.2">
      <c r="A296" s="422"/>
      <c r="B296" s="422"/>
      <c r="C296" s="422"/>
      <c r="D296" s="422"/>
      <c r="E296" s="422"/>
      <c r="F296" s="418"/>
      <c r="G296" s="418"/>
      <c r="H296" s="418"/>
      <c r="I296" s="422"/>
    </row>
    <row r="297" spans="1:9" x14ac:dyDescent="0.2">
      <c r="A297" s="422"/>
      <c r="B297" s="422"/>
      <c r="C297" s="422"/>
      <c r="D297" s="422"/>
      <c r="E297" s="422"/>
      <c r="F297" s="418"/>
      <c r="G297" s="418"/>
      <c r="H297" s="418"/>
      <c r="I297" s="422"/>
    </row>
    <row r="298" spans="1:9" x14ac:dyDescent="0.2">
      <c r="A298" s="422"/>
      <c r="B298" s="422"/>
      <c r="C298" s="422"/>
      <c r="D298" s="422"/>
      <c r="E298" s="422"/>
      <c r="F298" s="418"/>
      <c r="G298" s="418"/>
      <c r="H298" s="418"/>
      <c r="I298" s="422"/>
    </row>
    <row r="299" spans="1:9" x14ac:dyDescent="0.2">
      <c r="A299" s="422"/>
      <c r="B299" s="422"/>
      <c r="C299" s="422"/>
      <c r="D299" s="422"/>
      <c r="E299" s="422"/>
      <c r="F299" s="418"/>
      <c r="G299" s="418"/>
      <c r="H299" s="418"/>
      <c r="I299" s="422"/>
    </row>
    <row r="300" spans="1:9" x14ac:dyDescent="0.2">
      <c r="A300" s="422"/>
      <c r="B300" s="422"/>
      <c r="C300" s="422"/>
      <c r="D300" s="422"/>
      <c r="E300" s="422"/>
      <c r="F300" s="418"/>
      <c r="G300" s="418"/>
      <c r="H300" s="418"/>
      <c r="I300" s="422"/>
    </row>
    <row r="301" spans="1:9" x14ac:dyDescent="0.2">
      <c r="A301" s="422"/>
      <c r="B301" s="422"/>
      <c r="C301" s="422"/>
      <c r="D301" s="422"/>
      <c r="E301" s="422"/>
      <c r="F301" s="418"/>
      <c r="G301" s="418"/>
      <c r="H301" s="418"/>
      <c r="I301" s="422"/>
    </row>
    <row r="302" spans="1:9" x14ac:dyDescent="0.2">
      <c r="A302" s="422"/>
      <c r="B302" s="422"/>
      <c r="C302" s="422"/>
      <c r="D302" s="422"/>
      <c r="E302" s="422"/>
      <c r="F302" s="418"/>
      <c r="G302" s="418"/>
      <c r="H302" s="418"/>
      <c r="I302" s="422"/>
    </row>
    <row r="303" spans="1:9" x14ac:dyDescent="0.2">
      <c r="A303" s="422"/>
      <c r="B303" s="422"/>
      <c r="C303" s="422"/>
      <c r="D303" s="422"/>
      <c r="E303" s="422"/>
      <c r="F303" s="418"/>
      <c r="G303" s="418"/>
      <c r="H303" s="418"/>
      <c r="I303" s="422"/>
    </row>
    <row r="304" spans="1:9" x14ac:dyDescent="0.2">
      <c r="A304" s="422"/>
      <c r="B304" s="422"/>
      <c r="C304" s="422"/>
      <c r="D304" s="422"/>
      <c r="E304" s="422"/>
      <c r="F304" s="418"/>
      <c r="G304" s="418"/>
      <c r="H304" s="418"/>
      <c r="I304" s="422"/>
    </row>
    <row r="305" spans="1:9" x14ac:dyDescent="0.2">
      <c r="A305" s="422"/>
      <c r="B305" s="422"/>
      <c r="C305" s="422"/>
      <c r="D305" s="422"/>
      <c r="E305" s="422"/>
      <c r="F305" s="418"/>
      <c r="G305" s="418"/>
      <c r="H305" s="418"/>
      <c r="I305" s="422"/>
    </row>
    <row r="306" spans="1:9" x14ac:dyDescent="0.2">
      <c r="A306" s="422"/>
      <c r="B306" s="422"/>
      <c r="C306" s="422"/>
      <c r="D306" s="422"/>
      <c r="E306" s="422"/>
      <c r="F306" s="418"/>
      <c r="G306" s="418"/>
      <c r="H306" s="418"/>
      <c r="I306" s="422"/>
    </row>
    <row r="307" spans="1:9" x14ac:dyDescent="0.2">
      <c r="A307" s="422"/>
      <c r="B307" s="422"/>
      <c r="C307" s="422"/>
      <c r="D307" s="422"/>
      <c r="E307" s="422"/>
      <c r="F307" s="418"/>
      <c r="G307" s="418"/>
      <c r="H307" s="418"/>
      <c r="I307" s="422"/>
    </row>
  </sheetData>
  <sheetProtection sheet="1" formatCells="0" formatColumns="0" formatRows="0" insertRows="0" deleteRows="0" sort="0" autoFilter="0"/>
  <sortState xmlns:xlrd2="http://schemas.microsoft.com/office/spreadsheetml/2017/richdata2" ref="A1:AD1">
    <sortCondition ref="A1"/>
  </sortState>
  <dataValidations count="2">
    <dataValidation type="list" showInputMessage="1" showErrorMessage="1" sqref="C2:C247" xr:uid="{00000000-0002-0000-0600-000000000000}">
      <formula1>"Grain,Sugar"</formula1>
    </dataValidation>
    <dataValidation showInputMessage="1" showErrorMessage="1" sqref="D2:E247" xr:uid="{00000000-0002-0000-0600-000001000000}"/>
  </dataValidations>
  <hyperlinks>
    <hyperlink ref="I135" r:id="rId1" xr:uid="{00000000-0004-0000-0600-000000000000}"/>
    <hyperlink ref="I136" r:id="rId2" xr:uid="{00000000-0004-0000-0600-000001000000}"/>
    <hyperlink ref="I149" r:id="rId3" xr:uid="{00000000-0004-0000-0600-000002000000}"/>
    <hyperlink ref="I137" r:id="rId4" xr:uid="{00000000-0004-0000-0600-000003000000}"/>
    <hyperlink ref="I134" r:id="rId5" xr:uid="{00000000-0004-0000-0600-000004000000}"/>
    <hyperlink ref="I155" r:id="rId6" xr:uid="{00000000-0004-0000-0600-000005000000}"/>
    <hyperlink ref="I235" r:id="rId7" xr:uid="{00000000-0004-0000-0600-000006000000}"/>
    <hyperlink ref="I123" r:id="rId8" xr:uid="{00000000-0004-0000-0600-000007000000}"/>
    <hyperlink ref="I138" r:id="rId9" xr:uid="{00000000-0004-0000-0600-000008000000}"/>
    <hyperlink ref="I6" r:id="rId10" xr:uid="{00000000-0004-0000-0600-000009000000}"/>
    <hyperlink ref="I133" r:id="rId11" xr:uid="{00000000-0004-0000-0600-00000A000000}"/>
    <hyperlink ref="I39" r:id="rId12" xr:uid="{00000000-0004-0000-0600-00000B000000}"/>
    <hyperlink ref="I69" r:id="rId13" xr:uid="{00000000-0004-0000-0600-00000C000000}"/>
    <hyperlink ref="I61" r:id="rId14" xr:uid="{00000000-0004-0000-0600-00000D000000}"/>
    <hyperlink ref="I64" r:id="rId15" xr:uid="{00000000-0004-0000-0600-00000E000000}"/>
    <hyperlink ref="I62" r:id="rId16" xr:uid="{00000000-0004-0000-0600-00000F000000}"/>
    <hyperlink ref="I60" r:id="rId17" xr:uid="{00000000-0004-0000-0600-000010000000}"/>
    <hyperlink ref="I72" r:id="rId18" xr:uid="{00000000-0004-0000-0600-000011000000}"/>
    <hyperlink ref="I66" r:id="rId19" xr:uid="{00000000-0004-0000-0600-000012000000}"/>
    <hyperlink ref="I178" r:id="rId20" xr:uid="{00000000-0004-0000-0600-000013000000}"/>
    <hyperlink ref="I186" r:id="rId21" xr:uid="{00000000-0004-0000-0600-000014000000}"/>
    <hyperlink ref="I189" r:id="rId22" xr:uid="{00000000-0004-0000-0600-000015000000}"/>
    <hyperlink ref="I183" r:id="rId23" xr:uid="{00000000-0004-0000-0600-000016000000}"/>
    <hyperlink ref="I173" r:id="rId24" xr:uid="{00000000-0004-0000-0600-000017000000}"/>
    <hyperlink ref="I127" r:id="rId25" xr:uid="{00000000-0004-0000-0600-000018000000}"/>
    <hyperlink ref="I243" r:id="rId26" xr:uid="{00000000-0004-0000-0600-000019000000}"/>
    <hyperlink ref="I126" r:id="rId27" xr:uid="{00000000-0004-0000-0600-00001A000000}"/>
    <hyperlink ref="I70" r:id="rId28" xr:uid="{00000000-0004-0000-0600-00001B000000}"/>
    <hyperlink ref="I203" r:id="rId29" xr:uid="{00000000-0004-0000-0600-00001C000000}"/>
    <hyperlink ref="I86" r:id="rId30" xr:uid="{00000000-0004-0000-0600-00001D000000}"/>
    <hyperlink ref="I161" r:id="rId31" xr:uid="{00000000-0004-0000-0600-00001E000000}"/>
    <hyperlink ref="I244" r:id="rId32" xr:uid="{00000000-0004-0000-0600-00001F000000}"/>
    <hyperlink ref="I142" r:id="rId33" xr:uid="{00000000-0004-0000-0600-000020000000}"/>
    <hyperlink ref="I124" r:id="rId34" xr:uid="{00000000-0004-0000-0600-000021000000}"/>
    <hyperlink ref="I7" r:id="rId35" xr:uid="{00000000-0004-0000-0600-000022000000}"/>
    <hyperlink ref="I8" r:id="rId36" xr:uid="{00000000-0004-0000-0600-000023000000}"/>
    <hyperlink ref="I26" r:id="rId37" xr:uid="{00000000-0004-0000-0600-000024000000}"/>
    <hyperlink ref="I27" r:id="rId38" xr:uid="{00000000-0004-0000-0600-000025000000}"/>
    <hyperlink ref="I25" r:id="rId39" xr:uid="{00000000-0004-0000-0600-000026000000}"/>
    <hyperlink ref="I73" r:id="rId40" xr:uid="{00000000-0004-0000-0600-000027000000}"/>
    <hyperlink ref="I11" r:id="rId41" xr:uid="{00000000-0004-0000-0600-000028000000}"/>
    <hyperlink ref="I82" r:id="rId42" xr:uid="{00000000-0004-0000-0600-000029000000}"/>
    <hyperlink ref="I17" r:id="rId43" xr:uid="{00000000-0004-0000-0600-00002A000000}"/>
    <hyperlink ref="I177" r:id="rId44" xr:uid="{00000000-0004-0000-0600-00002B000000}"/>
    <hyperlink ref="I199" r:id="rId45" xr:uid="{00000000-0004-0000-0600-00002C000000}"/>
    <hyperlink ref="I5" r:id="rId46" xr:uid="{00000000-0004-0000-0600-00002D000000}"/>
    <hyperlink ref="I130" r:id="rId47" xr:uid="{00000000-0004-0000-0600-00002E000000}"/>
    <hyperlink ref="I2" r:id="rId48" xr:uid="{00000000-0004-0000-0600-00002F000000}"/>
    <hyperlink ref="I208" r:id="rId49" xr:uid="{00000000-0004-0000-0600-000030000000}"/>
    <hyperlink ref="I26:I28" r:id="rId50" display="https://www.weyermann.de/usa/gelbe_seiten_usa.asp?go=brewery&amp;umenue=yes&amp;idmenue=269&amp;sprache=10" xr:uid="{00000000-0004-0000-0600-000031000000}"/>
    <hyperlink ref="I41:I42" r:id="rId51" display="https://www.weyermann.de/usa/gelbe_seiten_usa.asp?go=brewery&amp;umenue=yes&amp;idmenue=269&amp;sprache=10" xr:uid="{00000000-0004-0000-0600-000032000000}"/>
    <hyperlink ref="I48:I55" r:id="rId52" display="https://www.weyermann.de/usa/gelbe_seiten_usa.asp?go=brewery&amp;umenue=yes&amp;idmenue=269&amp;sprache=10" xr:uid="{00000000-0004-0000-0600-000033000000}"/>
    <hyperlink ref="I40" r:id="rId53" xr:uid="{00000000-0004-0000-0600-000034000000}"/>
    <hyperlink ref="I55" r:id="rId54" xr:uid="{00000000-0004-0000-0600-000036000000}"/>
    <hyperlink ref="I105" r:id="rId55" xr:uid="{00000000-0004-0000-0600-000037000000}"/>
    <hyperlink ref="I154" r:id="rId56" xr:uid="{00000000-0004-0000-0600-000038000000}"/>
    <hyperlink ref="I114" r:id="rId57" xr:uid="{00000000-0004-0000-0600-000039000000}"/>
    <hyperlink ref="I215" r:id="rId58" xr:uid="{00000000-0004-0000-0600-00003A000000}"/>
    <hyperlink ref="I141" r:id="rId59" xr:uid="{00000000-0004-0000-0600-00003B000000}"/>
    <hyperlink ref="I166" r:id="rId60" location="Brewers" xr:uid="{00000000-0004-0000-0600-00003C000000}"/>
    <hyperlink ref="I162" r:id="rId61" xr:uid="{00000000-0004-0000-0600-00003D000000}"/>
    <hyperlink ref="I174" r:id="rId62" xr:uid="{00000000-0004-0000-0600-00003E000000}"/>
    <hyperlink ref="I197" r:id="rId63" xr:uid="{00000000-0004-0000-0600-00003F000000}"/>
    <hyperlink ref="I216" r:id="rId64" xr:uid="{00000000-0004-0000-0600-000040000000}"/>
    <hyperlink ref="I236" r:id="rId65" xr:uid="{00000000-0004-0000-0600-000041000000}"/>
    <hyperlink ref="I245" r:id="rId66" xr:uid="{00000000-0004-0000-0600-000042000000}"/>
    <hyperlink ref="I115" r:id="rId67" location="Aromatic" xr:uid="{00000000-0004-0000-0600-000043000000}"/>
    <hyperlink ref="I187" r:id="rId68" location="Carabrown" xr:uid="{00000000-0004-0000-0600-000044000000}"/>
    <hyperlink ref="I30" r:id="rId69" xr:uid="{00000000-0004-0000-0600-000045000000}"/>
    <hyperlink ref="I41" r:id="rId70" xr:uid="{00000000-0004-0000-0600-000046000000}"/>
    <hyperlink ref="I42" r:id="rId71" xr:uid="{00000000-0004-0000-0600-000047000000}"/>
    <hyperlink ref="I43" r:id="rId72" xr:uid="{00000000-0004-0000-0600-000048000000}"/>
    <hyperlink ref="I44" r:id="rId73" xr:uid="{00000000-0004-0000-0600-000049000000}"/>
    <hyperlink ref="I45" r:id="rId74" xr:uid="{00000000-0004-0000-0600-00004A000000}"/>
    <hyperlink ref="I46" r:id="rId75" xr:uid="{00000000-0004-0000-0600-00004B000000}"/>
    <hyperlink ref="I47" r:id="rId76" xr:uid="{00000000-0004-0000-0600-00004C000000}"/>
    <hyperlink ref="I48" r:id="rId77" xr:uid="{00000000-0004-0000-0600-00004D000000}"/>
    <hyperlink ref="I49" r:id="rId78" xr:uid="{00000000-0004-0000-0600-00004E000000}"/>
    <hyperlink ref="I50" r:id="rId79" xr:uid="{00000000-0004-0000-0600-00004F000000}"/>
    <hyperlink ref="I51" r:id="rId80" xr:uid="{00000000-0004-0000-0600-000050000000}"/>
    <hyperlink ref="I84" r:id="rId81" xr:uid="{00000000-0004-0000-0600-000051000000}"/>
    <hyperlink ref="I85" r:id="rId82" xr:uid="{00000000-0004-0000-0600-000052000000}"/>
    <hyperlink ref="I188" r:id="rId83" location="2RowChocolate" xr:uid="{00000000-0004-0000-0600-000053000000}"/>
    <hyperlink ref="I195" r:id="rId84" location="ExtraSpecial" xr:uid="{00000000-0004-0000-0600-000054000000}"/>
    <hyperlink ref="I118" r:id="rId85" location="Bonlander" xr:uid="{00000000-0004-0000-0600-000055000000}"/>
    <hyperlink ref="I160" r:id="rId86" location="Brewers" xr:uid="{00000000-0004-0000-0600-000056000000}"/>
    <hyperlink ref="I148" r:id="rId87" location="Brewers" xr:uid="{00000000-0004-0000-0600-000057000000}"/>
    <hyperlink ref="I139" r:id="rId88" xr:uid="{00000000-0004-0000-0600-000058000000}"/>
    <hyperlink ref="I233" r:id="rId89" location="Goldpils" xr:uid="{00000000-0004-0000-0600-000059000000}"/>
    <hyperlink ref="I145" r:id="rId90" xr:uid="{00000000-0004-0000-0600-00005A000000}"/>
    <hyperlink ref="I246" r:id="rId91" xr:uid="{00000000-0004-0000-0600-00005B000000}"/>
    <hyperlink ref="I247" r:id="rId92" xr:uid="{00000000-0004-0000-0600-00005C000000}"/>
    <hyperlink ref="I15" r:id="rId93" xr:uid="{00000000-0004-0000-0600-00005D000000}"/>
    <hyperlink ref="I151" r:id="rId94" xr:uid="{00000000-0004-0000-0600-00005E000000}"/>
    <hyperlink ref="I152" r:id="rId95" xr:uid="{00000000-0004-0000-0600-00005F000000}"/>
    <hyperlink ref="I131" r:id="rId96" xr:uid="{00000000-0004-0000-0600-000060000000}"/>
    <hyperlink ref="I232" r:id="rId97" xr:uid="{00000000-0004-0000-0600-000061000000}"/>
    <hyperlink ref="I117" r:id="rId98" xr:uid="{00000000-0004-0000-0600-000062000000}"/>
    <hyperlink ref="I112" r:id="rId99" xr:uid="{00000000-0004-0000-0600-000063000000}"/>
    <hyperlink ref="I113" r:id="rId100" xr:uid="{00000000-0004-0000-0600-000064000000}"/>
    <hyperlink ref="I116" r:id="rId101" xr:uid="{00000000-0004-0000-0600-000065000000}"/>
    <hyperlink ref="I132" r:id="rId102" xr:uid="{00000000-0004-0000-0600-000066000000}"/>
    <hyperlink ref="I59" r:id="rId103" xr:uid="{00000000-0004-0000-0600-000067000000}"/>
    <hyperlink ref="I238" r:id="rId104" xr:uid="{00000000-0004-0000-0600-000068000000}"/>
    <hyperlink ref="I239" r:id="rId105" xr:uid="{00000000-0004-0000-0600-000069000000}"/>
    <hyperlink ref="I217" r:id="rId106" xr:uid="{00000000-0004-0000-0600-00006A000000}"/>
    <hyperlink ref="I237" r:id="rId107" xr:uid="{00000000-0004-0000-0600-00006B000000}"/>
    <hyperlink ref="I128" r:id="rId108" xr:uid="{00000000-0004-0000-0600-00006C000000}"/>
    <hyperlink ref="I129" r:id="rId109" xr:uid="{00000000-0004-0000-0600-00006D000000}"/>
    <hyperlink ref="I20" r:id="rId110" xr:uid="{00000000-0004-0000-0600-00006E000000}"/>
    <hyperlink ref="I19" r:id="rId111" xr:uid="{00000000-0004-0000-0600-00006F000000}"/>
    <hyperlink ref="I18" r:id="rId112" xr:uid="{00000000-0004-0000-0600-000070000000}"/>
    <hyperlink ref="I24" r:id="rId113" xr:uid="{00000000-0004-0000-0600-000071000000}"/>
    <hyperlink ref="I21" r:id="rId114" xr:uid="{00000000-0004-0000-0600-000072000000}"/>
    <hyperlink ref="I22" r:id="rId115" xr:uid="{00000000-0004-0000-0600-000073000000}"/>
    <hyperlink ref="I23" r:id="rId116" xr:uid="{00000000-0004-0000-0600-000074000000}"/>
    <hyperlink ref="I179" r:id="rId117" xr:uid="{00000000-0004-0000-0600-000075000000}"/>
    <hyperlink ref="I180" r:id="rId118" xr:uid="{00000000-0004-0000-0600-000076000000}"/>
    <hyperlink ref="I76" r:id="rId119" xr:uid="{00000000-0004-0000-0600-000077000000}"/>
    <hyperlink ref="I3" r:id="rId120" xr:uid="{00000000-0004-0000-0600-000078000000}"/>
    <hyperlink ref="I210" r:id="rId121" xr:uid="{00000000-0004-0000-0600-000079000000}"/>
    <hyperlink ref="I209" r:id="rId122" xr:uid="{00000000-0004-0000-0600-00007A000000}"/>
    <hyperlink ref="I175" r:id="rId123" xr:uid="{00000000-0004-0000-0600-00007B000000}"/>
    <hyperlink ref="I93" r:id="rId124" xr:uid="{00000000-0004-0000-0600-00007C000000}"/>
    <hyperlink ref="I90" r:id="rId125" xr:uid="{00000000-0004-0000-0600-00007D000000}"/>
    <hyperlink ref="I91" r:id="rId126" xr:uid="{00000000-0004-0000-0600-00007E000000}"/>
    <hyperlink ref="I92" r:id="rId127" xr:uid="{00000000-0004-0000-0600-00007F000000}"/>
    <hyperlink ref="I94" r:id="rId128" xr:uid="{00000000-0004-0000-0600-000080000000}"/>
    <hyperlink ref="I95" r:id="rId129" xr:uid="{00000000-0004-0000-0600-000081000000}"/>
    <hyperlink ref="I96" r:id="rId130" xr:uid="{00000000-0004-0000-0600-000082000000}"/>
    <hyperlink ref="I108" r:id="rId131" xr:uid="{00000000-0004-0000-0600-000083000000}"/>
    <hyperlink ref="I109" r:id="rId132" xr:uid="{00000000-0004-0000-0600-000084000000}"/>
    <hyperlink ref="I110" r:id="rId133" xr:uid="{00000000-0004-0000-0600-000085000000}"/>
    <hyperlink ref="I111" r:id="rId134" xr:uid="{00000000-0004-0000-0600-000086000000}"/>
    <hyperlink ref="I107" r:id="rId135" xr:uid="{00000000-0004-0000-0600-000087000000}"/>
    <hyperlink ref="I100" r:id="rId136" xr:uid="{00000000-0004-0000-0600-000088000000}"/>
    <hyperlink ref="I97" r:id="rId137" xr:uid="{00000000-0004-0000-0600-000089000000}"/>
    <hyperlink ref="I159" r:id="rId138" xr:uid="{00000000-0004-0000-0600-00008A000000}"/>
    <hyperlink ref="I176" r:id="rId139" xr:uid="{00000000-0004-0000-0600-00008C000000}"/>
    <hyperlink ref="I194" r:id="rId140" xr:uid="{00000000-0004-0000-0600-00008D000000}"/>
    <hyperlink ref="I196" r:id="rId141" xr:uid="{00000000-0004-0000-0600-00008E000000}"/>
    <hyperlink ref="I14" r:id="rId142" xr:uid="{00000000-0004-0000-0600-00008F000000}"/>
    <hyperlink ref="I205" r:id="rId143" xr:uid="{00000000-0004-0000-0600-000090000000}"/>
    <hyperlink ref="I207" r:id="rId144" xr:uid="{00000000-0004-0000-0600-000091000000}"/>
    <hyperlink ref="I211" r:id="rId145" xr:uid="{00000000-0004-0000-0600-000092000000}"/>
    <hyperlink ref="I213" r:id="rId146" xr:uid="{00000000-0004-0000-0600-000093000000}"/>
    <hyperlink ref="I221" r:id="rId147" display="http://www.beersmith.com/Grains/Grains/GrainList.htm" xr:uid="{00000000-0004-0000-0600-000094000000}"/>
    <hyperlink ref="I220" r:id="rId148" display="http://www.beersmith.com/Grains/Grains/GrainList.htm" xr:uid="{00000000-0004-0000-0600-000095000000}"/>
    <hyperlink ref="I222" r:id="rId149" display="http://www.beersmith.com/Grains/Grains/GrainList.htm" xr:uid="{00000000-0004-0000-0600-000096000000}"/>
    <hyperlink ref="I219" r:id="rId150" xr:uid="{00000000-0004-0000-0600-000097000000}"/>
    <hyperlink ref="I218" r:id="rId151" xr:uid="{00000000-0004-0000-0600-000098000000}"/>
    <hyperlink ref="I223" r:id="rId152" display="http://www.beersmith.com/Grains/Grains/GrainList.htm" xr:uid="{00000000-0004-0000-0600-000099000000}"/>
    <hyperlink ref="I225" r:id="rId153" display="http://www.beersmith.com/Grains/Grains/GrainList.htm" xr:uid="{00000000-0004-0000-0600-00009A000000}"/>
    <hyperlink ref="I224" r:id="rId154" xr:uid="{00000000-0004-0000-0600-00009B000000}"/>
    <hyperlink ref="I226" r:id="rId155" xr:uid="{00000000-0004-0000-0600-00009C000000}"/>
    <hyperlink ref="I227" r:id="rId156" display="http://www.beersmith.com/Grains/Grains/GrainList.htm" xr:uid="{00000000-0004-0000-0600-00009D000000}"/>
    <hyperlink ref="I228" r:id="rId157" display="http://www.beersmith.com/Grains/Grains/GrainList.htm" xr:uid="{00000000-0004-0000-0600-00009E000000}"/>
    <hyperlink ref="I229" r:id="rId158" display="http://www.beersmith.com/Grains/Grains/GrainList.htm" xr:uid="{00000000-0004-0000-0600-00009F000000}"/>
    <hyperlink ref="I230" r:id="rId159" display="http://www.beersmith.com/Grains/Grains/GrainList.htm" xr:uid="{00000000-0004-0000-0600-0000A0000000}"/>
    <hyperlink ref="I231" r:id="rId160" location="TorrifiedWheat" xr:uid="{00000000-0004-0000-0600-0000A1000000}"/>
    <hyperlink ref="I184" r:id="rId161" xr:uid="{00000000-0004-0000-0600-0000A2000000}"/>
    <hyperlink ref="I185" r:id="rId162" xr:uid="{00000000-0004-0000-0600-0000A3000000}"/>
    <hyperlink ref="I182" r:id="rId163" xr:uid="{00000000-0004-0000-0600-0000A4000000}"/>
    <hyperlink ref="I181" r:id="rId164" xr:uid="{00000000-0004-0000-0600-0000A5000000}"/>
    <hyperlink ref="I146" r:id="rId165" xr:uid="{00000000-0004-0000-0600-0000A6000000}"/>
    <hyperlink ref="I37" r:id="rId166" xr:uid="{00000000-0004-0000-0600-0000A7000000}"/>
    <hyperlink ref="I89" r:id="rId167" xr:uid="{00000000-0004-0000-0600-0000A8000000}"/>
    <hyperlink ref="I88" r:id="rId168" xr:uid="{00000000-0004-0000-0600-0000A9000000}"/>
    <hyperlink ref="I106" r:id="rId169" xr:uid="{00000000-0004-0000-0600-0000AA000000}"/>
    <hyperlink ref="I147" r:id="rId170" xr:uid="{00000000-0004-0000-0600-0000AB000000}"/>
    <hyperlink ref="I150" r:id="rId171" xr:uid="{00000000-0004-0000-0600-0000AC000000}"/>
    <hyperlink ref="I164" r:id="rId172" xr:uid="{13711CBD-0205-45C4-B7F3-ACC02CED9BE4}"/>
    <hyperlink ref="I140" r:id="rId173" location="{%22issue_id%22:453924,%22page%22:50}" xr:uid="{8C439332-78DE-437D-A3C5-08B1B6A74DE3}"/>
    <hyperlink ref="I144" r:id="rId174" xr:uid="{D7F8BAFD-07E5-4957-BD7E-DF8F85B6BE61}"/>
    <hyperlink ref="I143" r:id="rId175" xr:uid="{BAD7748C-F653-4CE0-83B3-FFFA0DD429F2}"/>
    <hyperlink ref="I9" r:id="rId176" xr:uid="{D9793794-F757-4BE1-B91C-D06F57FD838A}"/>
    <hyperlink ref="I12" r:id="rId177" xr:uid="{04FB2C70-A82D-4C42-94D9-9EA10123BF6E}"/>
    <hyperlink ref="I81" r:id="rId178" xr:uid="{3E14905F-D6C4-4F13-A430-3D50AE1C1703}"/>
    <hyperlink ref="I16" r:id="rId179" xr:uid="{226A8B64-F0E6-433B-90B6-B6EB8E814B3D}"/>
    <hyperlink ref="I98" r:id="rId180" xr:uid="{196F91B8-D176-4823-8B02-10D685658319}"/>
    <hyperlink ref="I87" r:id="rId181" xr:uid="{C42C6794-E0B7-47E1-9E18-DEB7D82EBD26}"/>
    <hyperlink ref="I212" r:id="rId182" xr:uid="{BC7D9F85-5E58-4871-9070-80A69172F7EA}"/>
    <hyperlink ref="I171" r:id="rId183" display="http://brewingwithbriess.com/Products/Roasted_Barley.htm" xr:uid="{00000000-0004-0000-0600-00008B000000}"/>
    <hyperlink ref="I63" r:id="rId184" xr:uid="{83F66515-E287-4E70-8E28-B92DBEB65257}"/>
    <hyperlink ref="I77" r:id="rId185" location="2RowChocolate" xr:uid="{E3DF2CD9-193E-42A3-B521-F327C47B2276}"/>
    <hyperlink ref="I79" r:id="rId186" location="2RowChocolate" xr:uid="{8C0EC194-886F-47B8-BF9D-3698D2B289AF}"/>
    <hyperlink ref="I120" r:id="rId187" location="Bonlander" xr:uid="{C070683E-89F3-4B7F-B2EB-8300E3200618}"/>
    <hyperlink ref="I153" r:id="rId188" xr:uid="{4C6839C8-99F2-492D-9669-74124F6993D7}"/>
    <hyperlink ref="I119" r:id="rId189" xr:uid="{D33F0DFC-E027-4402-8538-3C36FF3CBA05}"/>
    <hyperlink ref="I121" r:id="rId190" xr:uid="{6C9AEEB2-E3E7-4B09-B1EF-4453A0BA3FF6}"/>
    <hyperlink ref="I78" r:id="rId191" xr:uid="{4EED76CB-A4B7-4EE6-8708-906C77DE04D6}"/>
  </hyperlinks>
  <pageMargins left="0.7" right="0.7" top="0.75" bottom="0.75" header="0.3" footer="0.3"/>
  <pageSetup orientation="portrait" r:id="rId192"/>
  <tableParts count="1">
    <tablePart r:id="rId19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Instructions</vt:lpstr>
      <vt:lpstr>Recipe Sheet</vt:lpstr>
      <vt:lpstr>Brewhouse Setup &amp; Calcs</vt:lpstr>
      <vt:lpstr>Equipment Profiles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Malt Sheet PPG Calcs</vt:lpstr>
      <vt:lpstr>Conversion Tables</vt:lpstr>
      <vt:lpstr>BJCP Guidelines</vt:lpstr>
      <vt:lpstr>Thermal Vol Exp Coef</vt:lpstr>
      <vt:lpstr>Unit Conversions</vt:lpstr>
      <vt:lpstr>Common Variables</vt:lpstr>
      <vt:lpstr>'Recipe Sheet'!Category</vt:lpstr>
      <vt:lpstr>'Brewhouse Setup &amp; Calcs'!Print_Area</vt:lpstr>
      <vt:lpstr>'Recipe Sheet'!Print_Area</vt:lpstr>
      <vt:lpstr>Sugars_Only</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2023-09-11T22:02:56Z</cp:lastPrinted>
  <dcterms:created xsi:type="dcterms:W3CDTF">2003-11-09T22:26:20Z</dcterms:created>
  <dcterms:modified xsi:type="dcterms:W3CDTF">2025-02-16T19:38:17Z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2110240703</vt:i4>
  </property>
  <property fmtid="{D5CDD505-2E9C-101B-9397-08002B2CF9AE}" pid="3" name="_NewReviewCycle">
    <vt:lpwstr/>
  </property>
  <property fmtid="{D5CDD505-2E9C-101B-9397-08002B2CF9AE}" pid="4" name="_EmailSubject">
    <vt:lpwstr>v3.0.4 latest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-1761044411</vt:i4>
  </property>
  <property fmtid="{D5CDD505-2E9C-101B-9397-08002B2CF9AE}" pid="8" name="_ReviewingToolsShownOnce">
    <vt:lpwstr/>
  </property>
</Properties>
</file>