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326"/>
  <workbookPr defaultThemeVersion="124226"/>
  <mc:AlternateContent xmlns:mc="http://schemas.openxmlformats.org/markup-compatibility/2006">
    <mc:Choice Requires="x15">
      <x15ac:absPath xmlns:x15ac="http://schemas.microsoft.com/office/spreadsheetml/2010/11/ac" url="C:\Users\Larry\Documents\Hobbies\Beer\"/>
    </mc:Choice>
  </mc:AlternateContent>
  <bookViews>
    <workbookView xWindow="0" yWindow="0" windowWidth="22500" windowHeight="11040" tabRatio="852" activeTab="1"/>
  </bookViews>
  <sheets>
    <sheet name="Instructions" sheetId="29" r:id="rId1"/>
    <sheet name="Recipe Sheet" sheetId="28" r:id="rId2"/>
    <sheet name="Brewhouse Setup &amp; Calcs" sheetId="14" r:id="rId3"/>
    <sheet name="Grain &amp; Sugar Calcs" sheetId="13" r:id="rId4"/>
    <sheet name="Hop Calcs" sheetId="16" r:id="rId5"/>
    <sheet name="Carbonation" sheetId="7" r:id="rId6"/>
    <sheet name="Grain &amp; Sugar List" sheetId="24" r:id="rId7"/>
    <sheet name="Hops List" sheetId="25" r:id="rId8"/>
    <sheet name="Yeast List" sheetId="26" r:id="rId9"/>
    <sheet name="Beer Category &amp; Style List" sheetId="19" r:id="rId10"/>
    <sheet name="Malt Sheet PPG Calcs" sheetId="30" r:id="rId11"/>
    <sheet name="Conversion Tables" sheetId="5" r:id="rId12"/>
    <sheet name="Common Variables" sheetId="8" r:id="rId13"/>
  </sheets>
  <definedNames>
    <definedName name="_xlnm._FilterDatabase" localSheetId="3" hidden="1">'Grain &amp; Sugar Calcs'!$B$2:$L$16</definedName>
    <definedName name="_xlnm._FilterDatabase" localSheetId="6" hidden="1">'Grain &amp; Sugar List'!$A$1:$W$201</definedName>
    <definedName name="_xlnm._FilterDatabase" localSheetId="8" hidden="1">'Yeast List'!$A$1:$I$663</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Sheet'!$A$1:$Q$41</definedName>
    <definedName name="Yeast_Brand">'Recipe Sheet'!$G$19</definedName>
    <definedName name="yeastlist_headers">yeast_table[#Headers]</definedName>
    <definedName name="yeastlist_list">INDEX(BeerList_Table[],,MATCH(Yeast_Brand,yeastlist_headers,0))</definedName>
  </definedNames>
  <calcPr calcId="162913"/>
</workbook>
</file>

<file path=xl/calcChain.xml><?xml version="1.0" encoding="utf-8"?>
<calcChain xmlns="http://schemas.openxmlformats.org/spreadsheetml/2006/main">
  <c r="F120" i="24" l="1"/>
  <c r="E36" i="14"/>
  <c r="E58" i="14"/>
  <c r="E57" i="14"/>
  <c r="E56" i="14"/>
  <c r="E53" i="14"/>
  <c r="E52" i="14"/>
  <c r="E51" i="14"/>
  <c r="E50" i="14"/>
  <c r="E48" i="14"/>
  <c r="E47" i="14"/>
  <c r="E44" i="14"/>
  <c r="E43" i="14"/>
  <c r="E42" i="14"/>
  <c r="E39" i="14"/>
  <c r="E37" i="14"/>
  <c r="E55" i="14"/>
  <c r="E31" i="14"/>
  <c r="D31" i="14"/>
  <c r="E30" i="14"/>
  <c r="D30" i="14"/>
  <c r="E29" i="14"/>
  <c r="D29" i="14"/>
  <c r="E27" i="14"/>
  <c r="D27" i="14"/>
  <c r="E25" i="14"/>
  <c r="D25" i="14"/>
  <c r="E16" i="14"/>
  <c r="D16" i="14"/>
  <c r="E15" i="14"/>
  <c r="D15" i="14"/>
  <c r="E12" i="14"/>
  <c r="D12" i="14"/>
  <c r="G19" i="8"/>
  <c r="E19" i="8"/>
  <c r="C19" i="8"/>
  <c r="A19" i="8"/>
  <c r="C12" i="30" l="1"/>
  <c r="C6" i="30"/>
  <c r="F200" i="24" l="1"/>
  <c r="F199" i="24"/>
  <c r="F198" i="24"/>
  <c r="F197" i="24"/>
  <c r="F196" i="24"/>
  <c r="F195" i="24"/>
  <c r="F194" i="24"/>
  <c r="F193" i="24"/>
  <c r="F192" i="24"/>
  <c r="F191" i="24"/>
  <c r="F190" i="24"/>
  <c r="F189" i="24"/>
  <c r="F188" i="24"/>
  <c r="F187" i="24"/>
  <c r="F186" i="24"/>
  <c r="F172" i="24"/>
  <c r="F171" i="24"/>
  <c r="F170" i="24"/>
  <c r="F169" i="24"/>
  <c r="F168" i="24"/>
  <c r="F167" i="24"/>
  <c r="F166" i="24"/>
  <c r="F165" i="24"/>
  <c r="F164" i="24"/>
  <c r="F163" i="24"/>
  <c r="F162" i="24"/>
  <c r="F161" i="24"/>
  <c r="F11" i="24"/>
  <c r="F160" i="24"/>
  <c r="F10" i="24"/>
  <c r="F159" i="24"/>
  <c r="F65" i="24"/>
  <c r="F12" i="24"/>
  <c r="F158" i="24"/>
  <c r="F157" i="24"/>
  <c r="F156" i="24"/>
  <c r="F155" i="24"/>
  <c r="F154" i="24"/>
  <c r="F153" i="24"/>
  <c r="F152" i="24"/>
  <c r="F151" i="24"/>
  <c r="F150" i="24"/>
  <c r="F149" i="24"/>
  <c r="F148" i="24"/>
  <c r="F147" i="24"/>
  <c r="F146" i="24"/>
  <c r="F145" i="24"/>
  <c r="F9" i="24"/>
  <c r="F144" i="24"/>
  <c r="F143" i="24"/>
  <c r="F142" i="24"/>
  <c r="F141" i="24"/>
  <c r="F140" i="24"/>
  <c r="F139" i="24"/>
  <c r="F138" i="24"/>
  <c r="F137" i="24"/>
  <c r="F136" i="24"/>
  <c r="F133" i="24"/>
  <c r="F132" i="24"/>
  <c r="F131" i="24"/>
  <c r="F130" i="24"/>
  <c r="F129" i="24"/>
  <c r="F128" i="24"/>
  <c r="F127" i="24"/>
  <c r="F126" i="24"/>
  <c r="F125" i="24"/>
  <c r="F124" i="24"/>
  <c r="F123" i="24"/>
  <c r="F122" i="24"/>
  <c r="F121" i="24"/>
  <c r="F118" i="24"/>
  <c r="F5" i="13" s="1"/>
  <c r="F117" i="24"/>
  <c r="F116" i="24"/>
  <c r="F115" i="24"/>
  <c r="F114" i="24"/>
  <c r="F113" i="24"/>
  <c r="F112" i="24"/>
  <c r="F111" i="24"/>
  <c r="F110" i="24"/>
  <c r="F109" i="24"/>
  <c r="F108" i="24"/>
  <c r="F107" i="24"/>
  <c r="F106" i="24"/>
  <c r="F105" i="24"/>
  <c r="F104" i="24"/>
  <c r="F103" i="24"/>
  <c r="F102" i="24"/>
  <c r="F101" i="24"/>
  <c r="F100" i="24"/>
  <c r="F99" i="24"/>
  <c r="F98" i="24"/>
  <c r="F97" i="24"/>
  <c r="F96" i="24"/>
  <c r="F95" i="24"/>
  <c r="F94" i="24"/>
  <c r="F93" i="24"/>
  <c r="F92" i="24"/>
  <c r="F85" i="24"/>
  <c r="F84" i="24"/>
  <c r="F83" i="24"/>
  <c r="F82" i="24"/>
  <c r="F81" i="24"/>
  <c r="F80" i="24"/>
  <c r="F79" i="24"/>
  <c r="F78" i="24"/>
  <c r="F68" i="24"/>
  <c r="F67" i="24"/>
  <c r="F66" i="24"/>
  <c r="F64" i="24"/>
  <c r="F63" i="24"/>
  <c r="F62" i="24"/>
  <c r="F61" i="24"/>
  <c r="F60" i="24"/>
  <c r="F59" i="24"/>
  <c r="F58" i="24"/>
  <c r="F57" i="24"/>
  <c r="F56" i="24"/>
  <c r="F55" i="24"/>
  <c r="F54" i="24"/>
  <c r="F53" i="24"/>
  <c r="F52" i="24"/>
  <c r="F51" i="24"/>
  <c r="F50" i="24"/>
  <c r="F49" i="24"/>
  <c r="F48" i="24"/>
  <c r="F47" i="24"/>
  <c r="F46" i="24"/>
  <c r="F45" i="24"/>
  <c r="F44" i="24"/>
  <c r="F43" i="24"/>
  <c r="F42" i="24"/>
  <c r="F41" i="24"/>
  <c r="F6" i="13" s="1"/>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13" i="24"/>
  <c r="F4" i="24"/>
  <c r="F8" i="24"/>
  <c r="F7" i="24"/>
  <c r="F6" i="24"/>
  <c r="F5" i="24"/>
  <c r="F3" i="24"/>
  <c r="F2" i="24"/>
  <c r="L9" i="13"/>
  <c r="L10" i="13"/>
  <c r="L11" i="13"/>
  <c r="L12" i="13"/>
  <c r="L13" i="13"/>
  <c r="F9" i="13"/>
  <c r="F10" i="13"/>
  <c r="F11" i="13"/>
  <c r="F12" i="13"/>
  <c r="F13" i="13"/>
  <c r="F8" i="13"/>
  <c r="F7" i="13" l="1"/>
  <c r="B8" i="14"/>
  <c r="E40" i="28" s="1"/>
  <c r="D40" i="28"/>
  <c r="L21" i="7" l="1"/>
  <c r="E6" i="13" l="1"/>
  <c r="E7" i="13"/>
  <c r="E8" i="13"/>
  <c r="E9" i="13"/>
  <c r="E10" i="13"/>
  <c r="E11" i="13"/>
  <c r="E12" i="13"/>
  <c r="E13" i="13"/>
  <c r="E5" i="13"/>
  <c r="P10" i="28" l="1"/>
  <c r="P11" i="28"/>
  <c r="P12" i="28"/>
  <c r="P13" i="28"/>
  <c r="P14" i="28"/>
  <c r="P15" i="28"/>
  <c r="G6" i="13"/>
  <c r="G7" i="13"/>
  <c r="G8" i="13"/>
  <c r="G9" i="13"/>
  <c r="G10" i="13"/>
  <c r="G11" i="13"/>
  <c r="G12" i="13"/>
  <c r="G13" i="13"/>
  <c r="B40" i="14" l="1"/>
  <c r="L40" i="28" l="1"/>
  <c r="L38" i="28"/>
  <c r="L39" i="28"/>
  <c r="C16" i="14" l="1"/>
  <c r="C15" i="14"/>
  <c r="O33" i="28" l="1"/>
  <c r="O32" i="28"/>
  <c r="G11" i="5" l="1"/>
  <c r="H7" i="5"/>
  <c r="G12" i="16" l="1"/>
  <c r="G13" i="16"/>
  <c r="G14" i="16"/>
  <c r="G15" i="16"/>
  <c r="K11" i="13"/>
  <c r="K12" i="13"/>
  <c r="K13" i="13"/>
  <c r="J11" i="13"/>
  <c r="J12" i="13"/>
  <c r="J13" i="13"/>
  <c r="H11" i="13"/>
  <c r="H12" i="13"/>
  <c r="H13" i="13"/>
  <c r="O12" i="28" l="1"/>
  <c r="O13" i="28"/>
  <c r="O14" i="28"/>
  <c r="O15" i="28"/>
  <c r="N19" i="28"/>
  <c r="N33" i="28" s="1"/>
  <c r="L19" i="28"/>
  <c r="E10" i="28"/>
  <c r="E11" i="28"/>
  <c r="E12" i="28"/>
  <c r="E13" i="28"/>
  <c r="E14" i="28"/>
  <c r="E15" i="28"/>
  <c r="H10" i="28" l="1"/>
  <c r="C19" i="28"/>
  <c r="E7" i="28"/>
  <c r="E8" i="28"/>
  <c r="E9" i="28"/>
  <c r="C20" i="28"/>
  <c r="C21" i="28"/>
  <c r="A28" i="28"/>
  <c r="I33" i="28"/>
  <c r="K31" i="28"/>
  <c r="I31" i="28"/>
  <c r="A27" i="28"/>
  <c r="A25" i="28"/>
  <c r="A23" i="28"/>
  <c r="A22" i="28"/>
  <c r="E21" i="28"/>
  <c r="A21" i="28"/>
  <c r="A20" i="28"/>
  <c r="A19" i="28"/>
  <c r="N15" i="28"/>
  <c r="M15" i="28"/>
  <c r="H15" i="28"/>
  <c r="L15" i="28"/>
  <c r="A15" i="28"/>
  <c r="N14" i="28"/>
  <c r="M14" i="28"/>
  <c r="H14" i="28"/>
  <c r="L14" i="28"/>
  <c r="A14" i="28"/>
  <c r="N13" i="28"/>
  <c r="M13" i="28"/>
  <c r="H13" i="28"/>
  <c r="L13" i="28"/>
  <c r="A13" i="28"/>
  <c r="N12" i="28"/>
  <c r="M12" i="28"/>
  <c r="H12" i="28"/>
  <c r="L12" i="28"/>
  <c r="A12" i="28"/>
  <c r="N11" i="28"/>
  <c r="M11" i="28"/>
  <c r="H11" i="28"/>
  <c r="L11" i="28"/>
  <c r="A11" i="28"/>
  <c r="N10" i="28"/>
  <c r="M10" i="28"/>
  <c r="L10" i="28"/>
  <c r="A10" i="28"/>
  <c r="N9" i="28"/>
  <c r="M9" i="28"/>
  <c r="H9" i="28"/>
  <c r="L9" i="28"/>
  <c r="P9" i="28"/>
  <c r="A9" i="28"/>
  <c r="N8" i="28"/>
  <c r="M8" i="28"/>
  <c r="H8" i="28"/>
  <c r="L8" i="28"/>
  <c r="P8" i="28"/>
  <c r="A8" i="28"/>
  <c r="N7" i="28"/>
  <c r="M7" i="28"/>
  <c r="H7" i="28"/>
  <c r="L7" i="28"/>
  <c r="P7" i="28"/>
  <c r="A7" i="28"/>
  <c r="N5" i="28"/>
  <c r="M5" i="28"/>
  <c r="H5" i="28"/>
  <c r="L5" i="28"/>
  <c r="P5" i="28"/>
  <c r="N30" i="28"/>
  <c r="I9" i="13"/>
  <c r="I10" i="13"/>
  <c r="I11" i="13"/>
  <c r="I12" i="13"/>
  <c r="I13" i="13"/>
  <c r="B7" i="14"/>
  <c r="B5" i="14"/>
  <c r="B6" i="14"/>
  <c r="C4" i="13" s="1"/>
  <c r="B4" i="14"/>
  <c r="E26" i="28" l="1"/>
  <c r="C36" i="14"/>
  <c r="Q19" i="28"/>
  <c r="E39" i="28"/>
  <c r="C25" i="14"/>
  <c r="C30" i="14"/>
  <c r="C27" i="14"/>
  <c r="C31" i="14"/>
  <c r="C29" i="14"/>
  <c r="O19" i="28"/>
  <c r="Q18" i="28"/>
  <c r="C55" i="14"/>
  <c r="C42" i="14"/>
  <c r="E28" i="28"/>
  <c r="E27" i="28"/>
  <c r="C39" i="14"/>
  <c r="C37" i="14"/>
  <c r="C43" i="14"/>
  <c r="E22" i="28"/>
  <c r="C47" i="14"/>
  <c r="C50" i="14"/>
  <c r="C52" i="14"/>
  <c r="K30" i="28"/>
  <c r="C44" i="14"/>
  <c r="C48" i="14"/>
  <c r="C51" i="14"/>
  <c r="C53" i="14"/>
  <c r="E25" i="28"/>
  <c r="N6" i="28"/>
  <c r="F6" i="16"/>
  <c r="C21" i="14"/>
  <c r="C14" i="14"/>
  <c r="C40" i="14"/>
  <c r="E20" i="28"/>
  <c r="C13" i="14"/>
  <c r="E23" i="28"/>
  <c r="E19" i="28"/>
  <c r="E6" i="28"/>
  <c r="C20" i="14"/>
  <c r="C12" i="14"/>
  <c r="K33" i="28" s="1"/>
  <c r="C58" i="14"/>
  <c r="K32" i="28" s="1"/>
  <c r="C56" i="14"/>
  <c r="C57" i="14"/>
  <c r="D11" i="13"/>
  <c r="F13" i="28" s="1"/>
  <c r="D12" i="13"/>
  <c r="F14" i="28" s="1"/>
  <c r="D13" i="13"/>
  <c r="F15" i="28" s="1"/>
  <c r="I6" i="13"/>
  <c r="I7" i="13"/>
  <c r="I8" i="13"/>
  <c r="I5" i="13"/>
  <c r="H9" i="13"/>
  <c r="H10" i="13"/>
  <c r="G8" i="16" l="1"/>
  <c r="O8" i="28" s="1"/>
  <c r="G7" i="16"/>
  <c r="O7" i="28" s="1"/>
  <c r="G11" i="16"/>
  <c r="O11" i="28" s="1"/>
  <c r="G9" i="16"/>
  <c r="O9" i="28" s="1"/>
  <c r="G10" i="16"/>
  <c r="O10" i="28" s="1"/>
  <c r="H8" i="13"/>
  <c r="H7" i="13"/>
  <c r="G5" i="13"/>
  <c r="H5" i="13" s="1"/>
  <c r="H6" i="13"/>
  <c r="C14" i="13"/>
  <c r="C15" i="13"/>
  <c r="B39" i="14" l="1"/>
  <c r="B42" i="14"/>
  <c r="D42" i="14" s="1"/>
  <c r="H15" i="13"/>
  <c r="H14" i="13"/>
  <c r="O30" i="28" s="1"/>
  <c r="B37" i="14"/>
  <c r="D37" i="14" s="1"/>
  <c r="H10" i="16"/>
  <c r="H11" i="16"/>
  <c r="D39" i="14" l="1"/>
  <c r="B44" i="14"/>
  <c r="D44" i="14" s="1"/>
  <c r="B48" i="14"/>
  <c r="D48" i="14" s="1"/>
  <c r="B43" i="14"/>
  <c r="H8" i="16"/>
  <c r="H9" i="16"/>
  <c r="H12" i="16"/>
  <c r="H13" i="16"/>
  <c r="H14" i="16"/>
  <c r="H15" i="16"/>
  <c r="H7" i="16"/>
  <c r="B58" i="14"/>
  <c r="D58" i="14" s="1"/>
  <c r="C15" i="5"/>
  <c r="D5" i="5"/>
  <c r="C13" i="5"/>
  <c r="C11" i="5"/>
  <c r="C9" i="5"/>
  <c r="C3" i="5"/>
  <c r="C5" i="5"/>
  <c r="D3" i="5"/>
  <c r="D5" i="8"/>
  <c r="C14" i="8"/>
  <c r="B4" i="7" s="1"/>
  <c r="B7" i="7" s="1"/>
  <c r="B8" i="7" s="1"/>
  <c r="B9" i="7" s="1"/>
  <c r="E14" i="8"/>
  <c r="G14" i="8"/>
  <c r="F4" i="7"/>
  <c r="F5" i="7"/>
  <c r="F6" i="7"/>
  <c r="F7" i="7"/>
  <c r="F8" i="7"/>
  <c r="F9" i="7"/>
  <c r="F10" i="7"/>
  <c r="F11" i="7"/>
  <c r="F12" i="7"/>
  <c r="F13" i="7"/>
  <c r="F14" i="7"/>
  <c r="F15" i="7"/>
  <c r="B20" i="7"/>
  <c r="B21" i="7" s="1"/>
  <c r="B22" i="7" s="1"/>
  <c r="G6" i="14" l="1"/>
  <c r="D43" i="14"/>
  <c r="L6" i="13"/>
  <c r="L5" i="13"/>
  <c r="L7" i="13"/>
  <c r="L8" i="13"/>
  <c r="B57" i="14"/>
  <c r="D57" i="14" s="1"/>
  <c r="K10" i="13"/>
  <c r="K9" i="13"/>
  <c r="K8" i="13"/>
  <c r="K7" i="13"/>
  <c r="K5" i="13"/>
  <c r="K6" i="13"/>
  <c r="I32" i="28"/>
  <c r="C23" i="28"/>
  <c r="C16" i="13"/>
  <c r="B56" i="14"/>
  <c r="D56" i="14" s="1"/>
  <c r="B29" i="7"/>
  <c r="B30" i="7" s="1"/>
  <c r="B31" i="7" s="1"/>
  <c r="B23" i="7"/>
  <c r="B24" i="7" s="1"/>
  <c r="B25" i="7" s="1"/>
  <c r="B26" i="7"/>
  <c r="B27" i="7" s="1"/>
  <c r="B28" i="7" s="1"/>
  <c r="B5" i="7"/>
  <c r="B6" i="7" s="1"/>
  <c r="B13" i="7"/>
  <c r="B14" i="7" s="1"/>
  <c r="B15" i="7" s="1"/>
  <c r="B10" i="7"/>
  <c r="B11" i="7" s="1"/>
  <c r="B12" i="7" s="1"/>
  <c r="L18" i="13" l="1"/>
  <c r="K15" i="13"/>
  <c r="D9" i="13"/>
  <c r="F11" i="28" s="1"/>
  <c r="D10" i="13"/>
  <c r="F12" i="28" s="1"/>
  <c r="C22" i="28"/>
  <c r="D8" i="13"/>
  <c r="F10" i="28" s="1"/>
  <c r="D7" i="13"/>
  <c r="D6" i="13"/>
  <c r="D5" i="13"/>
  <c r="B55" i="14"/>
  <c r="G7" i="14" l="1"/>
  <c r="D55" i="14"/>
  <c r="N34" i="28"/>
  <c r="O34" i="28"/>
  <c r="B45" i="14"/>
  <c r="D15" i="13"/>
  <c r="J6" i="13"/>
  <c r="J10" i="13"/>
  <c r="J5" i="13"/>
  <c r="J7" i="13"/>
  <c r="J8" i="13"/>
  <c r="J9" i="13"/>
  <c r="I30" i="28"/>
  <c r="F8" i="28"/>
  <c r="F9" i="28"/>
  <c r="F7" i="28"/>
  <c r="K14" i="13"/>
  <c r="K16" i="13"/>
  <c r="I40" i="28" s="1"/>
  <c r="K20" i="13"/>
  <c r="D14" i="13"/>
  <c r="J19" i="13" l="1"/>
  <c r="J15" i="13"/>
  <c r="J18" i="13"/>
  <c r="B46" i="14"/>
  <c r="I39" i="28"/>
  <c r="H16" i="13"/>
  <c r="D16" i="13"/>
  <c r="B47" i="14" l="1"/>
  <c r="N32" i="28"/>
  <c r="C24" i="28"/>
  <c r="J16" i="13"/>
  <c r="J14" i="13"/>
  <c r="J20" i="13"/>
  <c r="I11" i="16" l="1"/>
  <c r="I10" i="16"/>
  <c r="I9" i="16"/>
  <c r="I13" i="16"/>
  <c r="I7" i="16"/>
  <c r="I15" i="16"/>
  <c r="I14" i="16"/>
  <c r="I12" i="16"/>
  <c r="J12" i="16" s="1"/>
  <c r="I8" i="16"/>
  <c r="J8" i="16" s="1"/>
  <c r="B51" i="14"/>
  <c r="D47" i="14"/>
  <c r="J7" i="16"/>
  <c r="J14" i="16"/>
  <c r="J11" i="16"/>
  <c r="J9" i="16"/>
  <c r="J13" i="16"/>
  <c r="J10" i="16"/>
  <c r="J15" i="16"/>
  <c r="B52" i="14"/>
  <c r="B50" i="14"/>
  <c r="I38" i="28"/>
  <c r="D50" i="14" l="1"/>
  <c r="C27" i="28"/>
  <c r="D52" i="14"/>
  <c r="C26" i="28"/>
  <c r="D51" i="14"/>
  <c r="B53" i="14"/>
  <c r="B36" i="14" s="1"/>
  <c r="D36" i="14" s="1"/>
  <c r="C25" i="28"/>
  <c r="C28" i="28" l="1"/>
  <c r="D53" i="14"/>
  <c r="J16" i="16"/>
  <c r="O31" i="28" s="1"/>
  <c r="N31" i="28" l="1"/>
</calcChain>
</file>

<file path=xl/sharedStrings.xml><?xml version="1.0" encoding="utf-8"?>
<sst xmlns="http://schemas.openxmlformats.org/spreadsheetml/2006/main" count="3350" uniqueCount="1813">
  <si>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</si>
  <si>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</si>
  <si>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</si>
  <si>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</si>
  <si>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</si>
  <si>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</si>
  <si>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</si>
  <si>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</si>
  <si>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</si>
  <si>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</si>
  <si>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</si>
  <si>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</si>
  <si>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</si>
  <si>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</si>
  <si>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</si>
  <si>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</si>
  <si>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</si>
  <si>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</si>
  <si>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oz / 5-gal batch</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</si>
  <si>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</si>
  <si>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</si>
  <si>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</si>
  <si>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</si>
  <si>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</si>
  <si>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</si>
  <si>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</si>
  <si>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</si>
  <si>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</si>
  <si>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</si>
  <si>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</si>
  <si>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</si>
  <si>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</si>
  <si>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</si>
  <si>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</si>
  <si>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</si>
  <si>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</si>
  <si>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</si>
  <si>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</si>
  <si>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</si>
  <si>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</si>
  <si>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</si>
  <si>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</si>
  <si>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</si>
  <si>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</si>
  <si>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</si>
  <si>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</si>
  <si>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</si>
  <si>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</si>
  <si>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</si>
  <si>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</si>
  <si>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</si>
  <si>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</si>
  <si>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</si>
  <si>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</si>
  <si>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</si>
  <si>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</si>
  <si>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</si>
  <si>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Dextrose Monohydrate</t>
  </si>
  <si>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</si>
  <si>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</si>
  <si>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</si>
  <si>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</si>
  <si>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</si>
  <si>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</si>
  <si>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</si>
  <si>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</si>
  <si>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</si>
  <si>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</si>
  <si>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</si>
  <si>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</si>
  <si>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</si>
  <si>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</si>
  <si>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</si>
  <si>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</si>
  <si>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</si>
  <si>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</si>
  <si>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</si>
  <si>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</si>
  <si>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</si>
  <si>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</si>
  <si>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</si>
  <si>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</si>
  <si>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</si>
  <si>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</si>
  <si>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</si>
  <si>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</si>
  <si>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</si>
  <si>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</si>
  <si>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</si>
  <si>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</si>
  <si>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</si>
  <si>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</si>
  <si>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</si>
  <si>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</si>
  <si>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</si>
  <si>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</si>
  <si>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</si>
  <si>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</si>
  <si>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</si>
  <si>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</si>
  <si>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</si>
  <si>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</si>
  <si>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</si>
  <si>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</si>
  <si>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to Add</t>
  </si>
  <si>
    <t>Strike Water Temp</t>
  </si>
  <si>
    <t>Ambient Grain Temp</t>
  </si>
  <si>
    <t>Value</t>
  </si>
  <si>
    <t>%</t>
  </si>
  <si>
    <t>Pre-Boil Volume</t>
  </si>
  <si>
    <t>Post-Boil Volume</t>
  </si>
  <si>
    <t>Size of Mash Tun</t>
  </si>
  <si>
    <t>Evaporation Rate</t>
  </si>
  <si>
    <t>%/hr</t>
  </si>
  <si>
    <t>Size of Boil Kettle</t>
  </si>
  <si>
    <t>Boil Time</t>
  </si>
  <si>
    <t>Length of boil</t>
  </si>
  <si>
    <t>Lauter Tun Deadspace</t>
  </si>
  <si>
    <t>Account for evaporation loss and wort cooling shrinkage</t>
  </si>
  <si>
    <t>Effect of cooling wort from boil to pitching temp</t>
  </si>
  <si>
    <t>Evaporation Loss</t>
  </si>
  <si>
    <t>Cooling Loss</t>
  </si>
  <si>
    <t>Pre-Boil Vol:</t>
  </si>
  <si>
    <t>Adjustment Factors:</t>
  </si>
  <si>
    <t>Pellet:</t>
  </si>
  <si>
    <t>Plug:</t>
  </si>
  <si>
    <t>Leaf:</t>
  </si>
  <si>
    <t>Total Vol (Grain + Water)</t>
  </si>
  <si>
    <t>Sparge Vol Available</t>
  </si>
  <si>
    <t>Number of Steps Required</t>
  </si>
  <si>
    <t>Max Fill for Mash Tun</t>
  </si>
  <si>
    <t>Optimize # steps</t>
  </si>
  <si>
    <t>Dry Grain Volume Used</t>
  </si>
  <si>
    <t>Amount</t>
  </si>
  <si>
    <t>Style:</t>
  </si>
  <si>
    <t>Brewer:</t>
  </si>
  <si>
    <t>Brew Date:</t>
  </si>
  <si>
    <t>Hop Bill &amp; Schedule</t>
  </si>
  <si>
    <t>Batch Vol:</t>
  </si>
  <si>
    <t>Boil Time:</t>
  </si>
  <si>
    <t>Post-Boil Vol:</t>
  </si>
  <si>
    <t>FWH:</t>
  </si>
  <si>
    <t># of Steps Required</t>
  </si>
  <si>
    <t>Mash Variables &amp; Steps</t>
  </si>
  <si>
    <t>Name</t>
  </si>
  <si>
    <t>Variable/Step</t>
  </si>
  <si>
    <t>Time</t>
  </si>
  <si>
    <t>Other Ingredients/Additions</t>
  </si>
  <si>
    <t>ABV:</t>
  </si>
  <si>
    <t>BEER-N-BBQ by Larry</t>
  </si>
  <si>
    <t>Grain Bill, Adjunct, &amp; Extract Yield Calculations</t>
  </si>
  <si>
    <t>Total Combined</t>
  </si>
  <si>
    <t>Mash S.G. Contribution</t>
  </si>
  <si>
    <t>Actual</t>
  </si>
  <si>
    <t>Pre-Boil SG:</t>
  </si>
  <si>
    <t>OG:</t>
  </si>
  <si>
    <t>FG:</t>
  </si>
  <si>
    <t>Total S.G.</t>
  </si>
  <si>
    <t>FWH = First Wort Hops -&gt;</t>
  </si>
  <si>
    <t>Hydrometer</t>
  </si>
  <si>
    <t>Refractometer</t>
  </si>
  <si>
    <t>° Brix</t>
  </si>
  <si>
    <t>SG</t>
  </si>
  <si>
    <t>PayPal Donation for BEER-N-BBQ by Larry</t>
  </si>
  <si>
    <t>Support my work by donating on PayPal:</t>
  </si>
  <si>
    <t xml:space="preserve">Amount </t>
  </si>
  <si>
    <t>Qty</t>
  </si>
  <si>
    <t>Typical range: 1.25-1.5 qt/lb (2.6-3.1 L/kg)</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</si>
  <si>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</si>
  <si>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</si>
  <si>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</si>
  <si>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</si>
  <si>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</si>
  <si>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</si>
  <si>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</si>
  <si>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</si>
  <si>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</si>
  <si>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</si>
  <si>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</si>
  <si>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</si>
  <si>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</si>
  <si>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</si>
  <si>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</si>
  <si>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</si>
  <si>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</si>
  <si>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</si>
  <si>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</si>
  <si>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</si>
  <si>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</si>
  <si>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</si>
  <si>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</si>
  <si>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</si>
  <si>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</si>
  <si>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</si>
  <si>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</si>
  <si>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</si>
  <si>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</si>
  <si>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</si>
  <si>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</si>
  <si>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</si>
  <si>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</si>
  <si>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</si>
  <si>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</si>
  <si>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</si>
  <si>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</si>
  <si>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</si>
  <si>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</si>
  <si>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</si>
  <si>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</si>
  <si>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</si>
  <si>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</si>
  <si>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</si>
  <si>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</si>
  <si>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</si>
  <si>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</si>
  <si>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</si>
  <si>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</si>
  <si>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</si>
  <si>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</si>
  <si>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</si>
  <si>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</si>
  <si>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</si>
  <si>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</si>
  <si>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</si>
  <si>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</si>
  <si>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</si>
  <si>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</si>
  <si>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</si>
  <si>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</si>
  <si>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</si>
  <si>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</si>
  <si>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</si>
  <si>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</si>
  <si>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</si>
  <si>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</si>
  <si>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</si>
  <si>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</si>
  <si>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</si>
  <si>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</si>
  <si>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</si>
  <si>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</si>
  <si>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</si>
  <si>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</si>
  <si>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</si>
  <si>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</si>
  <si>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</si>
  <si>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</si>
  <si>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</si>
  <si>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</si>
  <si>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</si>
  <si>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</si>
  <si>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</si>
  <si>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</si>
  <si>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</si>
  <si>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</si>
  <si>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</si>
  <si>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</si>
  <si>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</si>
  <si>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</si>
  <si>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</si>
  <si>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</si>
  <si>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</si>
  <si>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</si>
  <si>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</si>
  <si>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</si>
  <si>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</si>
  <si>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</si>
  <si>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</si>
  <si>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</si>
  <si>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</si>
  <si>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</si>
  <si>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</si>
  <si>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</si>
  <si>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</si>
  <si>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</si>
  <si>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</si>
  <si>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</si>
  <si>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</si>
  <si>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</si>
  <si>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</si>
  <si>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</si>
  <si>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</si>
  <si>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</si>
  <si>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</si>
  <si>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</si>
  <si>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</si>
  <si>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</si>
  <si>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</si>
  <si>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</si>
  <si>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</si>
  <si>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</si>
  <si>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</si>
  <si>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</si>
  <si>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</si>
  <si>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</si>
  <si>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</si>
  <si>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</si>
  <si>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</si>
  <si>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</si>
  <si>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</si>
  <si>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</si>
  <si>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</si>
  <si>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</si>
  <si>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</si>
  <si>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</si>
  <si>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</si>
  <si>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</si>
  <si>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</si>
  <si>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</si>
  <si>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</si>
  <si>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</si>
  <si>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</si>
  <si>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</si>
  <si>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</si>
  <si>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</si>
  <si>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</si>
  <si>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</si>
  <si>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</si>
  <si>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</si>
  <si>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</si>
  <si>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</si>
  <si>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</si>
  <si>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</si>
  <si>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</si>
  <si>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</si>
  <si>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</si>
  <si>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</si>
  <si>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</si>
  <si>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</si>
  <si>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</si>
  <si>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</si>
  <si>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</si>
  <si>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</si>
  <si>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</si>
  <si>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</si>
  <si>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</si>
  <si>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</si>
  <si>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</si>
  <si>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</si>
  <si>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</si>
  <si>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</si>
  <si>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</si>
  <si>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</si>
  <si>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</si>
  <si>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</si>
  <si>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</si>
  <si>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</si>
  <si>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</si>
  <si>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</si>
  <si>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</si>
  <si>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</si>
  <si>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</si>
  <si>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</si>
  <si>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</si>
  <si>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</si>
  <si>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</si>
  <si>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</si>
  <si>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</si>
  <si>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</si>
  <si>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</si>
  <si>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</si>
  <si>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</si>
  <si>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</si>
  <si>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</si>
  <si>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</si>
  <si>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</si>
  <si>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</si>
  <si>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</si>
  <si>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</si>
  <si>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</si>
  <si>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</si>
  <si>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</si>
  <si>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</si>
  <si>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</si>
  <si>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</si>
  <si>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</si>
  <si>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</si>
  <si>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</si>
  <si>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</si>
  <si>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</si>
  <si>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</si>
  <si>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</si>
  <si>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</si>
  <si>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</si>
  <si>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</si>
  <si>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</si>
  <si>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</si>
  <si>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</si>
  <si>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</si>
  <si>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</si>
  <si>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</si>
  <si>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</si>
  <si>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</si>
  <si>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</si>
  <si>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</si>
  <si>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</si>
  <si>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</si>
  <si>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</si>
  <si>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</si>
  <si>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</si>
  <si>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</si>
  <si>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</si>
  <si>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</si>
  <si>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</si>
  <si>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</si>
  <si>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</si>
  <si>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</si>
  <si>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</si>
  <si>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</si>
  <si>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</si>
  <si>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</si>
  <si>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</si>
  <si>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</si>
  <si>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</si>
  <si>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</si>
  <si>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</si>
  <si>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</si>
  <si>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</si>
  <si>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</si>
  <si>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</si>
  <si>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</si>
  <si>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</si>
  <si>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</si>
  <si>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</si>
  <si>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</si>
  <si>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</si>
  <si>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</si>
  <si>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</si>
  <si>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</si>
  <si>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</si>
  <si>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</si>
  <si>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</si>
  <si>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</si>
  <si>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</si>
  <si>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</si>
  <si>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</si>
  <si>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</si>
  <si>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</si>
  <si>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</si>
  <si>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</si>
  <si>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</si>
  <si>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</si>
  <si>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</si>
  <si>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</si>
  <si>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</si>
  <si>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</si>
  <si>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</si>
  <si>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</si>
  <si>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</si>
  <si>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</si>
  <si>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</si>
  <si>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</si>
  <si>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</si>
  <si>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</si>
  <si>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</si>
  <si>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</si>
  <si>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</si>
  <si>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</si>
  <si>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</si>
  <si>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</si>
  <si>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</si>
  <si>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</si>
  <si>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</si>
  <si>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</si>
  <si>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</si>
  <si>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</si>
  <si>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</si>
  <si>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</si>
  <si>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</si>
  <si>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</si>
  <si>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</si>
  <si>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</si>
  <si>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</si>
  <si>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</si>
  <si>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</si>
  <si>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</si>
  <si>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</si>
  <si>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</si>
  <si>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</si>
  <si>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</si>
  <si>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</si>
  <si>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</si>
  <si>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</si>
  <si>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</si>
  <si>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</si>
  <si>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</si>
  <si>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</si>
  <si>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</si>
  <si>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</si>
  <si>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</si>
  <si>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</si>
  <si>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</si>
  <si>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</si>
  <si>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</si>
  <si>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</si>
  <si>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</si>
  <si>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</si>
  <si>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</si>
  <si>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</si>
  <si>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</si>
  <si>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</si>
  <si>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</si>
  <si>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</si>
  <si>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</si>
  <si>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</si>
  <si>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</si>
  <si>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</si>
  <si>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</si>
  <si>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</si>
  <si>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</si>
  <si>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</si>
  <si>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</si>
  <si>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</si>
  <si>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</si>
  <si>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</si>
  <si>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</si>
  <si>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</si>
  <si>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</si>
  <si>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</si>
  <si>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</si>
  <si>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</si>
  <si>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</si>
  <si>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</si>
  <si>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</si>
  <si>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</si>
  <si>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</si>
  <si>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</si>
  <si>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</si>
  <si>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</si>
  <si>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</si>
  <si>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</si>
  <si>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</si>
  <si>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</si>
  <si>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</si>
  <si>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</si>
  <si>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</si>
  <si>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</si>
  <si>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</si>
  <si>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</si>
  <si>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</si>
  <si>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</si>
  <si>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</si>
  <si>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</si>
  <si>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</si>
  <si>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</si>
  <si>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</si>
  <si>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California Ale V WLP051</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</si>
  <si>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</si>
  <si>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</si>
  <si>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</si>
  <si>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</si>
  <si>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</si>
  <si>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</si>
  <si>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</si>
  <si>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</si>
  <si>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</si>
  <si>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</si>
  <si>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</si>
  <si>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</si>
  <si>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</si>
  <si>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</si>
  <si>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</si>
  <si>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</si>
  <si>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</si>
  <si>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</si>
  <si>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</si>
  <si>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</si>
  <si>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</si>
  <si>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</si>
  <si>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</si>
  <si>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</si>
  <si>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</si>
  <si>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</si>
  <si>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</si>
  <si>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</si>
  <si>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</si>
  <si>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</si>
  <si>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</si>
  <si>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</si>
  <si>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</si>
  <si>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</si>
  <si>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</si>
  <si>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</si>
  <si>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</si>
  <si>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</si>
  <si>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</si>
  <si>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</si>
  <si>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</si>
  <si>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</si>
  <si>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</si>
  <si>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</si>
  <si>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</si>
  <si>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</si>
  <si>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</si>
  <si>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</si>
  <si>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</si>
  <si>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</si>
  <si>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</si>
  <si>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</si>
  <si>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</si>
  <si>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</si>
  <si>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</si>
  <si>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</si>
  <si>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</si>
  <si>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</si>
  <si>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</si>
  <si>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</si>
  <si>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</si>
  <si>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</si>
  <si>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</si>
  <si>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</si>
  <si>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</si>
  <si>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</si>
  <si>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</si>
  <si>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</si>
  <si>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</si>
  <si>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</si>
  <si>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</si>
  <si>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</si>
  <si>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</si>
  <si>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</si>
  <si>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</si>
  <si>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</si>
  <si>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</si>
  <si>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</si>
  <si>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</si>
  <si>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</si>
  <si>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</si>
  <si>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</si>
  <si>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</si>
  <si>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</si>
  <si>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</si>
  <si>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</si>
  <si>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</si>
  <si>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</si>
  <si>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</si>
  <si>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</si>
  <si>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</si>
  <si>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Whitbread Ale WLP017</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</si>
  <si>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</si>
  <si>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</si>
  <si>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</si>
  <si>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</si>
  <si>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</si>
  <si>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</si>
  <si>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</si>
  <si>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</si>
  <si>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</si>
  <si>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</si>
  <si>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</si>
  <si>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</si>
  <si>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</si>
  <si>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</si>
  <si>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</si>
  <si>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</si>
  <si>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</si>
  <si>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</si>
  <si>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</si>
  <si>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</si>
  <si>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</si>
  <si>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</si>
  <si>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</si>
  <si>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</si>
  <si>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</si>
  <si>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</si>
  <si>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</si>
  <si>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</si>
  <si>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</si>
  <si>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</si>
  <si>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</si>
  <si>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</si>
  <si>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</si>
  <si>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</si>
  <si>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</si>
  <si>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</si>
  <si>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</si>
  <si>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</si>
  <si>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</si>
  <si>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</si>
  <si>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</si>
  <si>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</si>
  <si>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</si>
  <si>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</si>
  <si>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</si>
  <si>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</si>
  <si>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</si>
  <si>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</si>
  <si>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</si>
  <si>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</si>
  <si>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</si>
  <si>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</si>
  <si>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</si>
  <si>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</si>
  <si>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</si>
  <si>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</si>
  <si>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</si>
  <si>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</si>
  <si>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</si>
  <si>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</si>
  <si>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</si>
  <si>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</si>
  <si>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</si>
  <si>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</si>
  <si>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</si>
  <si>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</si>
  <si>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</si>
  <si>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</si>
  <si>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</si>
  <si>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</si>
  <si>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</si>
  <si>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</si>
  <si>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</si>
  <si>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</si>
  <si>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</si>
  <si>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</si>
  <si>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</si>
  <si>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</si>
  <si>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</si>
  <si>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</si>
  <si>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</si>
  <si>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</si>
  <si>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</si>
  <si>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</si>
  <si>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</si>
  <si>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</si>
  <si>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</si>
  <si>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</si>
  <si>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</si>
  <si>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</si>
  <si>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</si>
  <si>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</si>
  <si>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</si>
  <si>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</si>
  <si>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</si>
  <si>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</si>
  <si>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</si>
  <si>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</si>
  <si>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</si>
  <si>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</si>
  <si>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</si>
  <si>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</si>
  <si>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</si>
  <si>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</si>
  <si>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</si>
  <si>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</si>
  <si>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</si>
  <si>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</si>
  <si>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</si>
  <si>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</si>
  <si>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</si>
  <si>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</si>
  <si>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</si>
  <si>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</si>
  <si>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</si>
  <si>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</si>
  <si>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</si>
  <si>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</si>
  <si>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</si>
  <si>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</si>
  <si>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</si>
  <si>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</si>
  <si>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</si>
  <si>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</si>
  <si>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</si>
  <si>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</si>
  <si>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</si>
  <si>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</si>
  <si>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</si>
  <si>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</si>
  <si>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</si>
  <si>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</si>
  <si>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</si>
  <si>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</si>
  <si>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</si>
  <si>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</si>
  <si>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</si>
  <si>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</si>
  <si>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</si>
  <si>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</si>
  <si>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</si>
  <si>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</si>
  <si>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</si>
  <si>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</si>
  <si>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</si>
  <si>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</si>
  <si>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</si>
  <si>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</si>
  <si>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</si>
  <si>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</si>
  <si>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</si>
  <si>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</si>
  <si>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</si>
  <si>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</si>
  <si>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</si>
  <si>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</si>
  <si>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</si>
  <si>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</si>
  <si>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</si>
  <si>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</si>
  <si>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</si>
  <si>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</si>
  <si>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</si>
  <si>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</si>
  <si>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</si>
  <si>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</si>
  <si>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</si>
  <si>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</si>
  <si>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</si>
  <si>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</si>
  <si>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</si>
  <si>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</si>
  <si>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</si>
  <si>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</si>
  <si>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</si>
  <si>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</si>
  <si>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</si>
  <si>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</si>
  <si>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</si>
  <si>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</si>
  <si>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</si>
  <si>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</si>
  <si>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</si>
  <si>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</si>
  <si>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</si>
  <si>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</si>
  <si>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</si>
  <si>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</si>
  <si>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</si>
  <si>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</si>
  <si>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</si>
  <si>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</si>
  <si>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</si>
  <si>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</si>
  <si>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</si>
  <si>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</si>
  <si>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</si>
  <si>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</si>
  <si>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</si>
  <si>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</si>
  <si>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</si>
  <si>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</si>
  <si>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</si>
  <si>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</si>
  <si>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</si>
  <si>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</si>
  <si>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</si>
  <si>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</si>
  <si>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</si>
  <si>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</si>
  <si>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</si>
  <si>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</si>
  <si>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</si>
  <si>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</si>
  <si>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</si>
  <si>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</si>
  <si>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</si>
  <si>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</si>
  <si>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</si>
  <si>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</si>
  <si>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</si>
  <si>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</si>
  <si>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</si>
  <si>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</si>
  <si>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</si>
  <si>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</si>
  <si>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</si>
  <si>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</si>
  <si>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</si>
  <si>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</si>
  <si>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</si>
  <si>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</si>
  <si>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</si>
  <si>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</si>
  <si>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</si>
  <si>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</si>
  <si>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</si>
  <si>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</si>
  <si>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</si>
  <si>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</si>
  <si>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</si>
  <si>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</si>
  <si>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</si>
  <si>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</si>
  <si>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</si>
  <si>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</si>
  <si>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</si>
  <si>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</si>
  <si>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</si>
  <si>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</si>
  <si>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</si>
  <si>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</si>
  <si>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</si>
  <si>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</si>
  <si>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</si>
  <si>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</si>
  <si>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</si>
  <si>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</si>
  <si>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</si>
  <si>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</si>
  <si>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</si>
  <si>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</si>
  <si>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</si>
  <si>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</si>
  <si>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</si>
  <si>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</si>
  <si>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</si>
  <si>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</si>
  <si>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</si>
  <si>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</si>
  <si>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</si>
  <si>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</si>
  <si>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</si>
  <si>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</si>
  <si>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</si>
  <si>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</si>
  <si>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</si>
  <si>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</si>
  <si>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</si>
  <si>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</si>
  <si>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</si>
  <si>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</si>
  <si>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</si>
  <si>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</si>
  <si>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</si>
  <si>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</si>
  <si>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</si>
  <si>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</si>
  <si>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</si>
  <si>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</si>
  <si>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</si>
  <si>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</si>
  <si>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</si>
  <si>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</si>
  <si>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</si>
  <si>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</si>
  <si>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</si>
  <si>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</si>
  <si>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</si>
  <si>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</si>
  <si>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</si>
  <si>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</si>
  <si>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</si>
  <si>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</si>
  <si>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</si>
  <si>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</si>
  <si>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</si>
  <si>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</si>
  <si>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</si>
  <si>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</si>
  <si>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</si>
  <si>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</si>
  <si>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</si>
  <si>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</si>
  <si>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</si>
  <si>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</si>
  <si>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</si>
  <si>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</si>
  <si>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</si>
  <si>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</si>
  <si>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</si>
  <si>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</si>
  <si>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</si>
  <si>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</si>
  <si>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</si>
  <si>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</si>
  <si>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</si>
  <si>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</si>
  <si>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</si>
  <si>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</si>
  <si>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</si>
  <si>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</si>
  <si>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</si>
  <si>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</si>
  <si>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</si>
  <si>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</si>
  <si>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</si>
  <si>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</si>
  <si>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</si>
  <si>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</si>
  <si>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</si>
  <si>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</si>
  <si>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</si>
  <si>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</si>
  <si>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</si>
  <si>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</si>
  <si>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</si>
  <si>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</si>
  <si>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</si>
  <si>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</si>
  <si>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</si>
  <si>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</si>
  <si>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</si>
  <si>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</si>
  <si>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</si>
  <si>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</si>
  <si>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</si>
  <si>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</si>
  <si>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</si>
  <si>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</si>
  <si>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</si>
  <si>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</si>
  <si>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</si>
  <si>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</si>
  <si>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</si>
  <si>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</si>
  <si>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</si>
  <si>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</si>
  <si>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</si>
  <si>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</si>
  <si>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</si>
  <si>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</si>
  <si>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</si>
  <si>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</si>
  <si>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</si>
  <si>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</si>
  <si>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Tennessee WLP050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</si>
  <si>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</si>
  <si>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</si>
  <si>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</si>
  <si>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</si>
  <si>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</si>
  <si>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</si>
  <si>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</si>
  <si>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</si>
  <si>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</si>
  <si>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</si>
  <si>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</si>
  <si>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</si>
  <si>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</si>
  <si>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</si>
  <si>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</si>
  <si>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</si>
  <si>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</si>
  <si>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</si>
  <si>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</si>
  <si>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</si>
  <si>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</si>
  <si>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</si>
  <si>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</si>
  <si>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</si>
  <si>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</si>
  <si>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</si>
  <si>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</si>
  <si>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</si>
  <si>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</si>
  <si>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</si>
  <si>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</si>
  <si>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</si>
  <si>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</si>
  <si>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</si>
  <si>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</si>
  <si>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</si>
  <si>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</si>
  <si>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</si>
  <si>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</si>
  <si>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</si>
  <si>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</si>
  <si>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</si>
  <si>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</si>
  <si>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</si>
  <si>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</si>
  <si>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</si>
  <si>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</si>
  <si>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</si>
  <si>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</si>
  <si>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</si>
  <si>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</si>
  <si>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</si>
  <si>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</si>
  <si>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</si>
  <si>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</si>
  <si>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</si>
  <si>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</si>
  <si>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</si>
  <si>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</si>
  <si>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</si>
  <si>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</si>
  <si>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</si>
  <si>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</si>
  <si>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</si>
  <si>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</si>
  <si>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</si>
  <si>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</si>
  <si>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</si>
  <si>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</si>
  <si>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</si>
  <si>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</si>
  <si>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</si>
  <si>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</si>
  <si>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</si>
  <si>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</si>
  <si>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</si>
  <si>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</si>
  <si>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</si>
  <si>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</si>
  <si>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</si>
  <si>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</si>
  <si>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</si>
  <si>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</si>
  <si>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</si>
  <si>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</si>
  <si>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</si>
  <si>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</si>
  <si>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</si>
  <si>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</si>
  <si>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</si>
  <si>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</si>
  <si>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</si>
  <si>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</si>
  <si>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</si>
  <si>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</si>
  <si>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</si>
  <si>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</si>
  <si>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</si>
  <si>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</si>
  <si>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</si>
  <si>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</si>
  <si>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</si>
  <si>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</si>
  <si>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</si>
  <si>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</si>
  <si>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</si>
  <si>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</si>
  <si>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</si>
  <si>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</si>
  <si>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</si>
  <si>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</si>
  <si>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</si>
  <si>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</si>
  <si>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</si>
  <si>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</si>
  <si>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</si>
  <si>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</si>
  <si>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</si>
  <si>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</si>
  <si>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</si>
  <si>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</si>
  <si>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</si>
  <si>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</si>
  <si>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</si>
  <si>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</si>
  <si>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</si>
  <si>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</si>
  <si>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</si>
  <si>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</si>
  <si>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</si>
  <si>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</si>
  <si>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</si>
  <si>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</si>
  <si>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</si>
  <si>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</si>
  <si>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</si>
  <si>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</si>
  <si>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</si>
  <si>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</si>
  <si>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</si>
  <si>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</si>
  <si>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</si>
  <si>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</si>
  <si>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</si>
  <si>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</si>
  <si>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</si>
  <si>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</si>
  <si>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</si>
  <si>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</si>
  <si>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</si>
  <si>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</si>
  <si>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</si>
  <si>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</si>
  <si>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</si>
  <si>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</si>
  <si>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</si>
  <si>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</si>
  <si>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</si>
  <si>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</si>
  <si>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</si>
  <si>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</si>
  <si>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</si>
  <si>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</si>
  <si>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</si>
  <si>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Scotch Whiskey WLP045</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</si>
  <si>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</si>
  <si>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</si>
  <si>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</si>
  <si>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</si>
  <si>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</si>
  <si>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</si>
  <si>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</si>
  <si>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</si>
  <si>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</si>
  <si>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</si>
  <si>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</si>
  <si>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</si>
  <si>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Target Batch Volume</t>
  </si>
  <si>
    <t>Boil Kettle Deadspace</t>
  </si>
  <si>
    <t>Fermenter Deadspace</t>
  </si>
  <si>
    <t>Process Parameters</t>
  </si>
  <si>
    <t>Rate of evaporation during the boil</t>
  </si>
  <si>
    <t>Sum of the target batch size &amp; mashtun/kettle dead space.</t>
  </si>
  <si>
    <t>Maximum volume capacity of mash tun.</t>
  </si>
  <si>
    <t>Max desired fill capacity for mash tun. Should be less &lt;= 95%.</t>
  </si>
  <si>
    <t>Maximum capacity of boil kettle. 8 gal min recommended for 5 gal batch.</t>
  </si>
  <si>
    <t>Amount of beer left in fermenter when kegging or bottling.</t>
  </si>
  <si>
    <t>Amount of wort left in kettle after racking to fermenter.</t>
  </si>
  <si>
    <t>Amount of wort left in mash tun after each batch sparge step. Used for calculating sparge water required.</t>
  </si>
  <si>
    <t>Brewhouse mash extract efficiency; typically 65-80% for batch sparging.</t>
  </si>
  <si>
    <t>Temp at which water boils at your elevation above (or below) sea level.</t>
  </si>
  <si>
    <t>Wort temperature when racking to fermenter from kettle after chilling the wort.</t>
  </si>
  <si>
    <t>Temperature within milled grains just prior to mashing.</t>
  </si>
  <si>
    <t xml:space="preserve">Typical range: 148-156°F (64-69°C). Higher temp promotes a fuller bodied beer. Lower temp promotes a lighter bodied beer. </t>
  </si>
  <si>
    <t>Max desired fill capacity for boil kettle. Should allow room for foaming and possibility of boil over.</t>
  </si>
  <si>
    <t>Temperature of initial water addition for mashing.</t>
  </si>
  <si>
    <t>Initial amount of heated water to add to dry grains in mash tun to start the mash.</t>
  </si>
  <si>
    <t>Assumes dry grain occupies .3125 qt/lb (.652 L/kg) of volume</t>
  </si>
  <si>
    <t>Temperature</t>
  </si>
  <si>
    <t>Volume</t>
  </si>
  <si>
    <t>Mass (grain)</t>
  </si>
  <si>
    <t>Mass (hops)</t>
  </si>
  <si>
    <t>US Customary</t>
  </si>
  <si>
    <t>Select Units of Measure:</t>
  </si>
  <si>
    <t>From Grain</t>
  </si>
  <si>
    <t>From Sugar</t>
  </si>
  <si>
    <t>Sugar S.G. Contribution</t>
  </si>
  <si>
    <t>IBUs:</t>
  </si>
  <si>
    <t>Efficiency:</t>
  </si>
  <si>
    <t>% of Bill</t>
  </si>
  <si>
    <t>PPG</t>
  </si>
  <si>
    <t>Max Th Yield for batch</t>
  </si>
  <si>
    <t>AAU</t>
  </si>
  <si>
    <t>Brand</t>
  </si>
  <si>
    <t>Strain</t>
  </si>
  <si>
    <t>Avg Atten</t>
  </si>
  <si>
    <t>Atten</t>
  </si>
  <si>
    <t>Yeast Information</t>
  </si>
  <si>
    <t>Expected</t>
  </si>
  <si>
    <t>min</t>
  </si>
  <si>
    <t>Available to drain in 1st step</t>
  </si>
  <si>
    <t>Real number of batch sparge steps required to collect pre boil volume</t>
  </si>
  <si>
    <t>Rounded to whole # of sparge and drain steps to collect pre boil volume.</t>
  </si>
  <si>
    <t>Water Boil Temperature</t>
  </si>
  <si>
    <t>Pitching Temperature</t>
  </si>
  <si>
    <t>1. Watch Recipe Calculator Tutorial and related What's New videos on my YouTube Channel</t>
  </si>
  <si>
    <t>2. Download this Excel file and save it to your computer.</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</si>
  <si>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</si>
  <si>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</si>
  <si>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</si>
  <si>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</si>
  <si>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7. Go to Recipe Sheet tab to select yeast strain, add other ingredients as necessary, and enter other miscellaneous information.</t>
  </si>
  <si>
    <t>8. Save, print (or use tablet, phone, or laptop to view), and use on brew day.</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</si>
  <si>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</si>
  <si>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</si>
  <si>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</si>
  <si>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</si>
  <si>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</si>
  <si>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</si>
  <si>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</si>
  <si>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</si>
  <si>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</si>
  <si>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</si>
  <si>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</si>
  <si>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</si>
  <si>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</si>
  <si>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</si>
  <si>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</si>
  <si>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</si>
  <si>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</si>
  <si>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</si>
  <si>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</si>
  <si>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</si>
  <si>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</si>
  <si>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</si>
  <si>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</si>
  <si>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</si>
  <si>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</si>
  <si>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</si>
  <si>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</si>
  <si>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</si>
  <si>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</si>
  <si>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</si>
  <si>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</si>
  <si>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</si>
  <si>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</si>
  <si>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</si>
  <si>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</si>
  <si>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</si>
  <si>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</si>
  <si>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</si>
  <si>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</si>
  <si>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</si>
  <si>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</si>
  <si>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</si>
  <si>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</si>
  <si>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</si>
  <si>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</si>
  <si>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</si>
  <si>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</si>
  <si>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</si>
  <si>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</si>
  <si>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</si>
  <si>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</si>
  <si>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</si>
  <si>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</si>
  <si>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</si>
  <si>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</si>
  <si>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</si>
  <si>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</si>
  <si>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</si>
  <si>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</si>
  <si>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</si>
  <si>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</si>
  <si>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</si>
  <si>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</si>
  <si>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</si>
  <si>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</si>
  <si>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</si>
  <si>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</si>
  <si>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</si>
  <si>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</si>
  <si>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</si>
  <si>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</si>
  <si>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</si>
  <si>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</si>
  <si>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</si>
  <si>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</si>
  <si>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</si>
  <si>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</si>
  <si>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</si>
  <si>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</si>
  <si>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</si>
  <si>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</si>
  <si>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</si>
  <si>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</si>
  <si>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</si>
  <si>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</si>
  <si>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</si>
  <si>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</si>
  <si>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</si>
  <si>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</si>
  <si>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</si>
  <si>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</si>
  <si>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</si>
  <si>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</si>
  <si>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</si>
  <si>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</si>
  <si>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</si>
  <si>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</si>
  <si>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</si>
  <si>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</si>
  <si>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</si>
  <si>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</si>
  <si>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</si>
  <si>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</si>
  <si>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</si>
  <si>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</si>
  <si>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</si>
  <si>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
  </si>
  <si>
    <t>Temp. Low F</t>
  </si>
  <si>
    <t>Temp. High F</t>
  </si>
  <si>
    <t>Munich Wheat</t>
  </si>
  <si>
    <t>Grain Absorption Ratio</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</si>
  <si>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</si>
  <si>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</si>
  <si>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</si>
  <si>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</si>
  <si>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</si>
  <si>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</si>
  <si>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</si>
  <si>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</si>
  <si>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</si>
  <si>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</si>
  <si>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</si>
  <si>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Mash / Lauter</t>
  </si>
  <si>
    <t>Boil</t>
  </si>
  <si>
    <t>Drain for 1st Step</t>
  </si>
  <si>
    <t>Desired amount of final beer going into keg or bottles after fermentation is complete.</t>
  </si>
  <si>
    <t>Default setting: .5 for US units, 1.043 for Metric units</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</si>
  <si>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</si>
  <si>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</si>
  <si>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</si>
  <si>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</si>
  <si>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</si>
  <si>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</si>
  <si>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</si>
  <si>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</si>
  <si>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</si>
  <si>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</si>
  <si>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Yeast Starter</t>
  </si>
  <si>
    <t>Wort Correction Factor</t>
  </si>
  <si>
    <t>For use with a refractometer. (Ignore if not using one)</t>
  </si>
  <si>
    <t>750 mL</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</si>
  <si>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</si>
  <si>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</si>
  <si>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</si>
  <si>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</si>
  <si>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</si>
  <si>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Yeast Nutrient</t>
  </si>
  <si>
    <t>boil</t>
  </si>
  <si>
    <t>Brewing Recipe Template Playlist</t>
  </si>
  <si>
    <t>Pellet</t>
  </si>
  <si>
    <t>Color</t>
  </si>
  <si>
    <t>SRM</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</si>
  <si>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</si>
  <si>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</si>
  <si>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</si>
  <si>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</si>
  <si>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</si>
  <si>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</si>
  <si>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</si>
  <si>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</si>
  <si>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</si>
  <si>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</si>
  <si>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</si>
  <si>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</si>
  <si>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</si>
  <si>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</si>
  <si>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</si>
  <si>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</si>
  <si>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</si>
  <si>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</si>
  <si>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</si>
  <si>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</si>
  <si>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</si>
  <si>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</si>
  <si>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</si>
  <si>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</si>
  <si>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</si>
  <si>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</si>
  <si>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</si>
  <si>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</si>
  <si>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</si>
  <si>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</si>
  <si>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</si>
  <si>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</si>
  <si>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</si>
  <si>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</si>
  <si>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</si>
  <si>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</si>
  <si>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</si>
  <si>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</si>
  <si>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</si>
  <si>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</si>
  <si>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</si>
  <si>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</si>
  <si>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</si>
  <si>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</si>
  <si>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</si>
  <si>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</si>
  <si>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</si>
  <si>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</si>
  <si>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</si>
  <si>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</si>
  <si>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</si>
  <si>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</si>
  <si>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</si>
  <si>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</si>
  <si>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</si>
  <si>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</si>
  <si>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</si>
  <si>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</si>
  <si>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</si>
  <si>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</si>
  <si>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</si>
  <si>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</si>
  <si>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</si>
  <si>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</si>
  <si>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</si>
  <si>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</si>
  <si>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</si>
  <si>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</si>
  <si>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</si>
  <si>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</si>
  <si>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</si>
  <si>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</si>
  <si>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</si>
  <si>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</si>
  <si>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</si>
  <si>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</si>
  <si>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</si>
  <si>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</si>
  <si>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</si>
  <si>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</si>
  <si>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</si>
  <si>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</si>
  <si>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</si>
  <si>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</si>
  <si>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</si>
  <si>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</si>
  <si>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</si>
  <si>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</si>
  <si>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</si>
  <si>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</si>
  <si>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</si>
  <si>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</si>
  <si>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</si>
  <si>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</si>
  <si>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</si>
  <si>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</si>
  <si>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</si>
  <si>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</si>
  <si>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</si>
  <si>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</si>
  <si>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</si>
  <si>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</si>
  <si>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</si>
  <si>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</si>
  <si>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</si>
  <si>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</si>
  <si>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</si>
  <si>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</si>
  <si>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</si>
  <si>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</si>
  <si>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</si>
  <si>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</si>
  <si>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</si>
  <si>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</si>
  <si>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</si>
  <si>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</si>
  <si>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</si>
  <si>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</si>
  <si>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</si>
  <si>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</si>
  <si>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</si>
  <si>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</si>
  <si>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</si>
  <si>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</si>
  <si>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</si>
  <si>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</si>
  <si>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</si>
  <si>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</si>
  <si>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</si>
  <si>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</si>
  <si>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</si>
  <si>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</si>
  <si>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</si>
  <si>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</si>
  <si>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</si>
  <si>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</si>
  <si>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</si>
  <si>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</si>
  <si>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</si>
  <si>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</si>
  <si>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</si>
  <si>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</si>
  <si>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</si>
  <si>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</si>
  <si>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</si>
  <si>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</si>
  <si>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</si>
  <si>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</si>
  <si>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</si>
  <si>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</si>
  <si>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</si>
  <si>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</si>
  <si>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</si>
  <si>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</si>
  <si>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</si>
  <si>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</si>
  <si>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</si>
  <si>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</si>
  <si>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</si>
  <si>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</si>
  <si>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</si>
  <si>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</si>
  <si>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</si>
  <si>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</si>
  <si>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</si>
  <si>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</si>
  <si>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</si>
  <si>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</si>
  <si>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</si>
  <si>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</si>
  <si>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</si>
  <si>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</si>
  <si>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</si>
  <si>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</si>
  <si>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</si>
  <si>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</si>
  <si>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</si>
  <si>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</si>
  <si>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</si>
  <si>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</si>
  <si>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</si>
  <si>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</si>
  <si>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</si>
  <si>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</si>
  <si>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</si>
  <si>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</si>
  <si>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</si>
  <si>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</si>
  <si>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</si>
  <si>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</si>
  <si>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</si>
  <si>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</si>
  <si>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</si>
  <si>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</si>
  <si>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</si>
  <si>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</si>
  <si>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</si>
  <si>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</si>
  <si>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</si>
  <si>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</si>
  <si>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</si>
  <si>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</si>
  <si>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</si>
  <si>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</si>
  <si>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</si>
  <si>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</si>
  <si>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</si>
  <si>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</si>
  <si>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</si>
  <si>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</si>
  <si>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</si>
  <si>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</si>
  <si>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</si>
  <si>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</si>
  <si>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</si>
  <si>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</si>
  <si>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</si>
  <si>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</si>
  <si>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</si>
  <si>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</si>
  <si>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</si>
  <si>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</si>
  <si>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</si>
  <si>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</si>
  <si>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</si>
  <si>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</si>
  <si>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</si>
  <si>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</si>
  <si>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</si>
  <si>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</si>
  <si>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</si>
  <si>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</si>
  <si>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</si>
  <si>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</si>
  <si>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</si>
  <si>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</si>
  <si>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</si>
  <si>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</si>
  <si>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</si>
  <si>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</si>
  <si>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</si>
  <si>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</si>
  <si>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</si>
  <si>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</si>
  <si>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</si>
  <si>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</si>
  <si>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</si>
  <si>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</si>
  <si>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</si>
  <si>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</si>
  <si>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</si>
  <si>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</si>
  <si>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</si>
  <si>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</si>
  <si>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</si>
  <si>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</si>
  <si>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</si>
  <si>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</si>
  <si>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</si>
  <si>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 L</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</si>
  <si>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</si>
  <si>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</si>
  <si>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</si>
  <si>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</si>
  <si>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</si>
  <si>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Sugar: Candi Sugar, Clear</t>
  </si>
  <si>
    <t>Sugar: Candi Sugar, Amber</t>
  </si>
  <si>
    <t>Sugar: Candi Sugar, Dark</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</si>
  <si>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</si>
  <si>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</si>
  <si>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</si>
  <si>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</si>
  <si>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</si>
  <si>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</si>
  <si>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</si>
  <si>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</si>
  <si>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</si>
  <si>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</si>
  <si>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</si>
  <si>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</si>
  <si>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</si>
  <si>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</si>
  <si>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</si>
  <si>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</si>
  <si>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</si>
  <si>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</si>
  <si>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</si>
  <si>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</si>
  <si>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</si>
  <si>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</si>
  <si>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</si>
  <si>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(See Carbonation tab for bottling information)</t>
  </si>
  <si>
    <t>Pressure</t>
  </si>
  <si>
    <t>Volume of CO2 =</t>
  </si>
  <si>
    <t>Serving Temperature =</t>
  </si>
  <si>
    <t>Keg Pressure =</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</si>
  <si>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</si>
  <si>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</si>
  <si>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</si>
  <si>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</si>
  <si>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</si>
  <si>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</si>
  <si>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</si>
  <si>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</si>
  <si>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</si>
  <si>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</si>
  <si>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</si>
  <si>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</si>
  <si>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</si>
  <si>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</si>
  <si>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</si>
  <si>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</si>
  <si>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</si>
  <si>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</si>
  <si>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</si>
  <si>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</si>
  <si>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</si>
  <si>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</si>
  <si>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</si>
  <si>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</si>
  <si>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</si>
  <si>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</si>
  <si>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</si>
  <si>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</si>
  <si>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</si>
  <si>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</si>
  <si>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</si>
  <si>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</si>
  <si>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</si>
  <si>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</si>
  <si>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</si>
  <si>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</si>
  <si>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</si>
  <si>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</si>
  <si>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</si>
  <si>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</si>
  <si>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</si>
  <si>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Total Water Required</t>
  </si>
  <si>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</si>
  <si>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</si>
  <si>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</si>
  <si>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</si>
  <si>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</si>
  <si>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</si>
  <si>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</si>
  <si>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</si>
  <si>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</si>
  <si>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</si>
  <si>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</si>
  <si>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</si>
  <si>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</si>
  <si>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</si>
  <si>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</si>
  <si>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</si>
  <si>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</si>
  <si>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</si>
  <si>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</si>
  <si>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</si>
  <si>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</si>
  <si>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</si>
  <si>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</si>
  <si>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</si>
  <si>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</si>
  <si>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</si>
  <si>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</si>
  <si>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</si>
  <si>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</si>
  <si>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</si>
  <si>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</si>
  <si>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</si>
  <si>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</si>
  <si>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</si>
  <si>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</si>
  <si>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</si>
  <si>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</si>
  <si>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</si>
  <si>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</si>
  <si>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</si>
  <si>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</si>
  <si>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</si>
  <si>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</si>
  <si>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</si>
  <si>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</si>
  <si>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</si>
  <si>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</si>
  <si>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</si>
  <si>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</si>
  <si>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</si>
  <si>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</si>
  <si>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</si>
  <si>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</si>
  <si>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</si>
  <si>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</si>
  <si>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</si>
  <si>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</si>
  <si>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</si>
  <si>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</si>
  <si>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</si>
  <si>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</si>
  <si>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</si>
  <si>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</si>
  <si>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</si>
  <si>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</si>
  <si>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</si>
  <si>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</si>
  <si>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</si>
  <si>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FWH</t>
  </si>
  <si>
    <t>Hop Stand</t>
  </si>
  <si>
    <t>Dry Hop</t>
  </si>
  <si>
    <t>2 tsp</t>
  </si>
  <si>
    <t>NOTES: Dry hopped on 7th day. Fermentation took 3 weeks instead of expected 2. IBU calcs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</si>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</sst>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
    <numFmt numFmtId="165" formatCode="0.000E+00"/>
    <numFmt numFmtId="166" formatCode="0.0"/>
    <numFmt numFmtId="167" formatCode="0.0%"/>
    <numFmt numFmtId="168" formatCode="[$-409]mmmm\ d\,\ yyyy;@"/>
    <numFmt numFmtId="169" formatCode="0.00000000000000"/>
    <numFmt numFmtId="170" formatCode="0.0000"/>
  </numFmts>
  <fonts count="13" x14ac:knownFonts="1">
    <font>
      <sz val="10"/>
      <name val="Arial"/>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u/>
      <sz val="10"/>
      <color theme="10"/>
      <name val="Arial"/>
      <family val="2"/>
    </font>
    <font>
      <sz val="8"/>
      <color rgb="FF3D3626"/>
      <name val="Arial"/>
      <family val="2"/>
    </font>
    <font>
      <b/>
      <vertAlign val="subscript"/>
      <sz val="10"/>
      <name val="Arial"/>
      <family val="2"/>
    </font>
    <font>
      <i/>
      <sz val="10"/>
      <name val="Arial"/>
      <family val="2"/>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s>
  <cellStyleXfs count="4">
    <xf numFmtId="0" fontId="0" fillId="0" borderId="0"/>
    <xf numFmtId="9" fontId="7" fillId="0" borderId="0" applyFont="0" applyFill="0" applyBorder="0" applyAlignment="0" applyProtection="0"/>
    <xf numFmtId="0" fontId="8" fillId="0" borderId="0" applyNumberFormat="0" applyFill="0" applyBorder="0" applyAlignment="0" applyProtection="0">
      <alignment vertical="top"/>
      <protection locked="0"/>
    </xf>
    <xf numFmtId="0" fontId="2" fillId="0" borderId="0"/>
  </cellStyleXfs>
  <cellXfs count="380">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3" borderId="1" xfId="0" applyNumberFormat="1" applyFill="1" applyBorder="1" applyAlignment="1">
      <alignment horizontal="center"/>
    </xf>
    <xf numFmtId="2" fontId="0" fillId="0" borderId="1" xfId="0" applyNumberFormat="1" applyBorder="1" applyAlignment="1">
      <alignment horizontal="center"/>
    </xf>
    <xf numFmtId="166" fontId="0" fillId="0" borderId="1" xfId="0" applyNumberFormat="1" applyBorder="1" applyAlignment="1">
      <alignment horizontal="center"/>
    </xf>
    <xf numFmtId="0" fontId="5" fillId="0" borderId="0" xfId="0" applyFont="1" applyAlignment="1">
      <alignment horizontal="center" vertical="center" wrapText="1"/>
    </xf>
    <xf numFmtId="0" fontId="2" fillId="0" borderId="1" xfId="0" applyFont="1" applyBorder="1" applyAlignment="1">
      <alignment horizontal="center" vertical="top" wrapText="1"/>
    </xf>
    <xf numFmtId="165" fontId="0" fillId="0" borderId="1" xfId="0" applyNumberFormat="1" applyBorder="1" applyAlignment="1">
      <alignment horizontal="center"/>
    </xf>
    <xf numFmtId="0" fontId="2" fillId="0" borderId="1" xfId="0" applyNumberFormat="1" applyFont="1" applyBorder="1" applyAlignment="1">
      <alignment horizontal="center" vertical="top" wrapText="1"/>
    </xf>
    <xf numFmtId="0" fontId="0" fillId="0" borderId="1" xfId="0" applyBorder="1" applyAlignment="1">
      <alignment horizontal="left"/>
    </xf>
    <xf numFmtId="0" fontId="0" fillId="0" borderId="1" xfId="0" applyNumberFormat="1" applyBorder="1" applyAlignment="1">
      <alignment horizontal="center"/>
    </xf>
    <xf numFmtId="0" fontId="4" fillId="0" borderId="0" xfId="0" applyFont="1"/>
    <xf numFmtId="0" fontId="0" fillId="0" borderId="1" xfId="0" applyBorder="1" applyAlignment="1">
      <alignment horizontal="center"/>
    </xf>
    <xf numFmtId="0" fontId="2" fillId="0" borderId="1" xfId="0" applyFont="1" applyBorder="1"/>
    <xf numFmtId="0" fontId="2"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2" fillId="0" borderId="0" xfId="0" applyFont="1" applyAlignment="1">
      <alignment horizontal="right"/>
    </xf>
    <xf numFmtId="2" fontId="2"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1" fillId="0" borderId="0" xfId="0" applyFont="1" applyBorder="1" applyAlignment="1">
      <alignment horizontal="center"/>
    </xf>
    <xf numFmtId="0" fontId="2" fillId="0" borderId="0" xfId="0" applyFont="1" applyBorder="1" applyAlignment="1">
      <alignment horizontal="left"/>
    </xf>
    <xf numFmtId="0" fontId="0" fillId="0" borderId="0" xfId="0" applyAlignment="1">
      <alignment horizontal="center"/>
    </xf>
    <xf numFmtId="0" fontId="2" fillId="0" borderId="1" xfId="0" applyFont="1" applyBorder="1" applyAlignment="1">
      <alignment horizontal="right"/>
    </xf>
    <xf numFmtId="164" fontId="0" fillId="5" borderId="1" xfId="0" applyNumberFormat="1" applyFill="1" applyBorder="1" applyAlignment="1">
      <alignment horizontal="center"/>
    </xf>
    <xf numFmtId="0" fontId="0" fillId="0" borderId="0" xfId="0"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1" applyFont="1" applyFill="1" applyBorder="1" applyProtection="1">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0" fillId="6" borderId="1" xfId="0" applyFill="1" applyBorder="1" applyAlignment="1" applyProtection="1">
      <alignment horizontal="center"/>
      <protection locked="0"/>
    </xf>
    <xf numFmtId="0" fontId="2" fillId="0" borderId="0" xfId="0" applyFont="1" applyAlignment="1">
      <alignment horizontal="right"/>
    </xf>
    <xf numFmtId="0" fontId="2" fillId="6" borderId="1" xfId="0" applyFont="1" applyFill="1" applyBorder="1" applyAlignment="1" applyProtection="1">
      <alignment horizontal="center"/>
      <protection locked="0"/>
    </xf>
    <xf numFmtId="0" fontId="2" fillId="0" borderId="0" xfId="0" quotePrefix="1" applyFont="1" applyAlignment="1">
      <alignment horizontal="right"/>
    </xf>
    <xf numFmtId="0" fontId="2" fillId="0" borderId="0" xfId="0" applyFont="1" applyAlignment="1" applyProtection="1">
      <alignment vertical="top" wrapText="1"/>
      <protection locked="0"/>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right"/>
    </xf>
    <xf numFmtId="0" fontId="2" fillId="0" borderId="0" xfId="0" applyFont="1" applyAlignment="1">
      <alignment horizontal="center"/>
    </xf>
    <xf numFmtId="0" fontId="0" fillId="0" borderId="0" xfId="0" applyAlignment="1">
      <alignment horizontal="center"/>
    </xf>
    <xf numFmtId="0" fontId="10" fillId="0" borderId="0" xfId="0" applyFont="1"/>
    <xf numFmtId="0" fontId="1" fillId="0" borderId="0" xfId="0" applyFont="1"/>
    <xf numFmtId="0" fontId="2" fillId="0" borderId="0" xfId="0" applyFont="1" applyAlignment="1">
      <alignment horizontal="right" vertical="center"/>
    </xf>
    <xf numFmtId="9" fontId="0" fillId="0" borderId="0" xfId="0" applyNumberFormat="1"/>
    <xf numFmtId="10" fontId="0" fillId="0" borderId="0" xfId="0" applyNumberFormat="1"/>
    <xf numFmtId="0" fontId="1" fillId="0" borderId="6" xfId="0" applyFont="1" applyBorder="1" applyAlignment="1">
      <alignment horizontal="right"/>
    </xf>
    <xf numFmtId="2" fontId="0" fillId="5" borderId="10" xfId="0" applyNumberFormat="1" applyFill="1" applyBorder="1" applyAlignment="1">
      <alignment horizontal="center"/>
    </xf>
    <xf numFmtId="0" fontId="2" fillId="6" borderId="1" xfId="0" applyFont="1" applyFill="1" applyBorder="1" applyAlignment="1" applyProtection="1">
      <alignment horizontal="center"/>
      <protection locked="0"/>
    </xf>
    <xf numFmtId="0" fontId="1" fillId="0" borderId="1" xfId="0" applyFont="1" applyBorder="1" applyAlignment="1">
      <alignment horizontal="center"/>
    </xf>
    <xf numFmtId="0" fontId="1" fillId="0" borderId="6" xfId="0" applyFont="1" applyBorder="1" applyAlignment="1">
      <alignment horizontal="center"/>
    </xf>
    <xf numFmtId="0" fontId="0" fillId="0" borderId="0" xfId="0" applyAlignment="1">
      <alignment horizontal="center"/>
    </xf>
    <xf numFmtId="0" fontId="1" fillId="0" borderId="7" xfId="0" applyFont="1" applyBorder="1" applyAlignment="1">
      <alignment horizontal="center"/>
    </xf>
    <xf numFmtId="0" fontId="0" fillId="0" borderId="1" xfId="0" applyBorder="1" applyAlignment="1">
      <alignment horizont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5" borderId="10" xfId="0" applyFont="1" applyFill="1" applyBorder="1" applyAlignment="1">
      <alignment horizontal="center" vertical="center" wrapText="1"/>
    </xf>
    <xf numFmtId="0" fontId="1" fillId="0" borderId="9" xfId="0" applyFont="1" applyBorder="1" applyAlignment="1">
      <alignment horizontal="center" vertical="center" wrapText="1"/>
    </xf>
    <xf numFmtId="0" fontId="2"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166" fontId="0" fillId="7" borderId="1" xfId="0" applyNumberFormat="1" applyFill="1" applyBorder="1" applyAlignment="1">
      <alignment horizontal="center"/>
    </xf>
    <xf numFmtId="2" fontId="0" fillId="7" borderId="1" xfId="0" applyNumberFormat="1" applyFill="1" applyBorder="1" applyAlignment="1">
      <alignment horizontal="center"/>
    </xf>
    <xf numFmtId="0" fontId="1" fillId="0" borderId="10" xfId="0" applyFont="1" applyBorder="1" applyAlignment="1">
      <alignment horizontal="center"/>
    </xf>
    <xf numFmtId="2" fontId="0" fillId="6" borderId="2" xfId="0" applyNumberFormat="1" applyFill="1" applyBorder="1" applyAlignment="1" applyProtection="1">
      <alignment horizontal="center"/>
      <protection locked="0"/>
    </xf>
    <xf numFmtId="1" fontId="0" fillId="6" borderId="2" xfId="0" applyNumberFormat="1" applyFill="1" applyBorder="1" applyAlignment="1" applyProtection="1">
      <alignment horizontal="center"/>
      <protection locked="0"/>
    </xf>
    <xf numFmtId="0" fontId="1" fillId="0" borderId="8" xfId="0" applyFont="1" applyBorder="1" applyAlignment="1">
      <alignment horizontal="right"/>
    </xf>
    <xf numFmtId="0" fontId="1" fillId="0" borderId="7" xfId="0" applyFont="1" applyBorder="1" applyAlignment="1">
      <alignment horizontal="right"/>
    </xf>
    <xf numFmtId="0" fontId="2" fillId="0" borderId="0" xfId="0" applyFont="1" applyAlignment="1" applyProtection="1">
      <alignment horizontal="right" vertical="top"/>
      <protection locked="0"/>
    </xf>
    <xf numFmtId="0" fontId="1" fillId="0" borderId="10" xfId="0" applyFont="1" applyFill="1" applyBorder="1" applyAlignment="1">
      <alignment horizontal="center"/>
    </xf>
    <xf numFmtId="2" fontId="0" fillId="7" borderId="10" xfId="0" applyNumberFormat="1" applyFill="1" applyBorder="1" applyAlignment="1">
      <alignment horizontal="center"/>
    </xf>
    <xf numFmtId="0" fontId="1" fillId="0" borderId="7" xfId="0" applyFont="1" applyBorder="1" applyAlignment="1"/>
    <xf numFmtId="0" fontId="1" fillId="0" borderId="11" xfId="0" applyFont="1" applyBorder="1" applyAlignment="1">
      <alignment horizontal="right" vertical="center"/>
    </xf>
    <xf numFmtId="0" fontId="2" fillId="7" borderId="0" xfId="0" applyFont="1" applyFill="1" applyBorder="1" applyAlignment="1">
      <alignment horizontal="center"/>
    </xf>
    <xf numFmtId="1" fontId="0" fillId="7" borderId="0" xfId="0" applyNumberFormat="1" applyFill="1" applyBorder="1" applyAlignment="1">
      <alignment horizontal="center"/>
    </xf>
    <xf numFmtId="0" fontId="0" fillId="7" borderId="0" xfId="0" applyFill="1" applyBorder="1" applyAlignment="1">
      <alignment horizontal="center"/>
    </xf>
    <xf numFmtId="166" fontId="2"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164" fontId="0" fillId="6" borderId="9" xfId="0" applyNumberFormat="1" applyFill="1" applyBorder="1" applyAlignment="1" applyProtection="1">
      <alignment horizontal="center"/>
      <protection locked="0"/>
    </xf>
    <xf numFmtId="164" fontId="0" fillId="6" borderId="2" xfId="0" applyNumberFormat="1" applyFill="1" applyBorder="1" applyAlignment="1" applyProtection="1">
      <alignment horizontal="center"/>
      <protection locked="0"/>
    </xf>
    <xf numFmtId="166" fontId="0" fillId="6" borderId="9" xfId="0" applyNumberFormat="1" applyFill="1" applyBorder="1" applyAlignment="1" applyProtection="1">
      <alignment horizontal="center"/>
      <protection locked="0"/>
    </xf>
    <xf numFmtId="166" fontId="0" fillId="6" borderId="2" xfId="0" applyNumberFormat="1"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2" fillId="0" borderId="0" xfId="0" applyFont="1" applyAlignment="1">
      <alignment vertical="top" wrapText="1"/>
    </xf>
    <xf numFmtId="14" fontId="0" fillId="0" borderId="0" xfId="0" applyNumberFormat="1" applyAlignment="1">
      <alignment horizontal="center" vertical="top"/>
    </xf>
    <xf numFmtId="0" fontId="8" fillId="0" borderId="0" xfId="2" applyAlignment="1" applyProtection="1">
      <alignment horizontal="center"/>
    </xf>
    <xf numFmtId="2" fontId="2" fillId="5" borderId="1" xfId="0" applyNumberFormat="1" applyFont="1" applyFill="1" applyBorder="1" applyAlignment="1" applyProtection="1">
      <alignment horizontal="center" vertical="center"/>
    </xf>
    <xf numFmtId="2" fontId="2" fillId="5" borderId="1" xfId="0" applyNumberFormat="1" applyFont="1" applyFill="1" applyBorder="1" applyAlignment="1" applyProtection="1">
      <alignment horizontal="center"/>
    </xf>
    <xf numFmtId="164" fontId="0" fillId="5" borderId="1" xfId="0" applyNumberFormat="1" applyFill="1" applyBorder="1" applyAlignment="1" applyProtection="1">
      <alignment horizontal="center"/>
    </xf>
    <xf numFmtId="2" fontId="0" fillId="5" borderId="1" xfId="0" applyNumberFormat="1" applyFill="1" applyBorder="1" applyAlignment="1" applyProtection="1">
      <alignment horizontal="center"/>
    </xf>
    <xf numFmtId="167" fontId="0" fillId="5" borderId="1" xfId="1" applyNumberFormat="1" applyFont="1" applyFill="1" applyBorder="1" applyAlignment="1" applyProtection="1">
      <alignment horizontal="center"/>
    </xf>
    <xf numFmtId="0" fontId="2" fillId="5" borderId="1" xfId="0" applyFont="1" applyFill="1" applyBorder="1" applyAlignment="1" applyProtection="1">
      <alignment horizontal="center"/>
    </xf>
    <xf numFmtId="0" fontId="0" fillId="5" borderId="1" xfId="0" applyFill="1" applyBorder="1" applyAlignment="1" applyProtection="1">
      <alignment horizontal="center"/>
    </xf>
    <xf numFmtId="166" fontId="0" fillId="5" borderId="1" xfId="0" applyNumberFormat="1" applyFill="1" applyBorder="1" applyAlignment="1" applyProtection="1">
      <alignment horizontal="center"/>
    </xf>
    <xf numFmtId="167" fontId="0" fillId="5" borderId="1" xfId="0" applyNumberFormat="1" applyFill="1" applyBorder="1" applyAlignment="1" applyProtection="1">
      <alignment horizontal="center"/>
    </xf>
    <xf numFmtId="0" fontId="2" fillId="7" borderId="1" xfId="0" applyFont="1" applyFill="1" applyBorder="1" applyAlignment="1">
      <alignment horizontal="center"/>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1" fillId="0" borderId="2" xfId="0" applyFont="1" applyBorder="1" applyAlignment="1">
      <alignment horizontal="center" vertical="center" wrapText="1"/>
    </xf>
    <xf numFmtId="0" fontId="1" fillId="7" borderId="10" xfId="0" applyFont="1" applyFill="1" applyBorder="1" applyAlignment="1">
      <alignment horizontal="center"/>
    </xf>
    <xf numFmtId="167" fontId="0" fillId="7" borderId="1" xfId="0" applyNumberFormat="1" applyFill="1" applyBorder="1" applyAlignment="1">
      <alignment horizontal="center"/>
    </xf>
    <xf numFmtId="2" fontId="0" fillId="7" borderId="0" xfId="0" applyNumberFormat="1" applyFill="1" applyBorder="1" applyAlignment="1">
      <alignment horizontal="center"/>
    </xf>
    <xf numFmtId="9" fontId="0" fillId="7" borderId="1" xfId="1" applyFont="1" applyFill="1" applyBorder="1" applyAlignment="1" applyProtection="1">
      <alignment horizontal="center"/>
    </xf>
    <xf numFmtId="2" fontId="0" fillId="7" borderId="0" xfId="0" applyNumberFormat="1" applyFill="1" applyBorder="1" applyAlignment="1" applyProtection="1">
      <alignment horizontal="center"/>
    </xf>
    <xf numFmtId="1" fontId="0" fillId="7" borderId="0" xfId="0" applyNumberFormat="1" applyFill="1" applyBorder="1" applyAlignment="1" applyProtection="1">
      <alignment horizontal="center"/>
    </xf>
    <xf numFmtId="0" fontId="0" fillId="7" borderId="0" xfId="0" applyFill="1" applyBorder="1" applyAlignment="1" applyProtection="1">
      <alignment horizontal="center"/>
    </xf>
    <xf numFmtId="167" fontId="0" fillId="7" borderId="11" xfId="1" applyNumberFormat="1" applyFont="1" applyFill="1" applyBorder="1" applyAlignment="1" applyProtection="1">
      <alignment horizontal="center"/>
    </xf>
    <xf numFmtId="2" fontId="0" fillId="7" borderId="11" xfId="0" applyNumberFormat="1" applyFill="1" applyBorder="1" applyAlignment="1" applyProtection="1">
      <alignment horizontal="center"/>
    </xf>
    <xf numFmtId="9" fontId="0" fillId="7" borderId="11" xfId="0" applyNumberFormat="1" applyFill="1" applyBorder="1" applyAlignment="1" applyProtection="1">
      <alignment horizontal="center"/>
    </xf>
    <xf numFmtId="164" fontId="0" fillId="7" borderId="5" xfId="0" applyNumberFormat="1" applyFill="1" applyBorder="1" applyAlignment="1" applyProtection="1">
      <alignment horizontal="center"/>
    </xf>
    <xf numFmtId="164" fontId="0" fillId="7" borderId="11" xfId="0" applyNumberFormat="1" applyFill="1" applyBorder="1" applyAlignment="1" applyProtection="1">
      <alignment horizontal="center"/>
    </xf>
    <xf numFmtId="164" fontId="0" fillId="7" borderId="14" xfId="0" applyNumberFormat="1" applyFill="1" applyBorder="1" applyAlignment="1" applyProtection="1">
      <alignment horizontal="center"/>
    </xf>
    <xf numFmtId="164" fontId="0" fillId="7" borderId="15" xfId="0" applyNumberFormat="1" applyFill="1" applyBorder="1" applyAlignment="1" applyProtection="1">
      <alignment horizontal="center"/>
    </xf>
    <xf numFmtId="0" fontId="0" fillId="0" borderId="0" xfId="0" applyFont="1" applyAlignment="1">
      <alignment horizontal="center"/>
    </xf>
    <xf numFmtId="14"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center"/>
    </xf>
    <xf numFmtId="14" fontId="0" fillId="0" borderId="0" xfId="0" applyNumberFormat="1" applyAlignment="1">
      <alignment vertical="top"/>
    </xf>
    <xf numFmtId="0" fontId="1" fillId="7" borderId="8" xfId="0" applyFont="1" applyFill="1" applyBorder="1" applyAlignment="1">
      <alignment horizontal="center"/>
    </xf>
    <xf numFmtId="9" fontId="2" fillId="7" borderId="3" xfId="1" quotePrefix="1" applyFont="1" applyFill="1" applyBorder="1" applyAlignment="1" applyProtection="1">
      <alignment horizontal="center"/>
    </xf>
    <xf numFmtId="1" fontId="0" fillId="7" borderId="4" xfId="1" applyNumberFormat="1" applyFont="1" applyFill="1" applyBorder="1" applyAlignment="1" applyProtection="1">
      <alignment horizontal="center"/>
    </xf>
    <xf numFmtId="1" fontId="0" fillId="7" borderId="6" xfId="1" applyNumberFormat="1" applyFont="1" applyFill="1" applyBorder="1" applyAlignment="1" applyProtection="1">
      <alignment horizontal="center"/>
    </xf>
    <xf numFmtId="0" fontId="1" fillId="0" borderId="0" xfId="0" applyFont="1" applyAlignment="1">
      <alignment horizontal="center" vertical="center" wrapText="1"/>
    </xf>
    <xf numFmtId="0" fontId="0" fillId="0" borderId="0" xfId="0" applyAlignment="1">
      <alignment horizontal="center" wrapText="1"/>
    </xf>
    <xf numFmtId="1" fontId="2" fillId="0" borderId="0" xfId="0" applyNumberFormat="1" applyFont="1" applyAlignment="1">
      <alignment horizontal="center"/>
    </xf>
    <xf numFmtId="0" fontId="0" fillId="7" borderId="1" xfId="0" applyFill="1" applyBorder="1" applyAlignment="1">
      <alignment horizontal="center"/>
    </xf>
    <xf numFmtId="0" fontId="1" fillId="0" borderId="10" xfId="0" applyFont="1" applyBorder="1" applyAlignment="1">
      <alignment horizontal="center"/>
    </xf>
    <xf numFmtId="0" fontId="0" fillId="0" borderId="0" xfId="0" applyAlignment="1">
      <alignment horizontal="center"/>
    </xf>
    <xf numFmtId="0" fontId="0" fillId="6" borderId="1" xfId="0" applyFill="1" applyBorder="1" applyAlignment="1" applyProtection="1">
      <alignment horizontal="center"/>
      <protection locked="0"/>
    </xf>
    <xf numFmtId="0" fontId="2" fillId="0" borderId="1" xfId="0" applyFon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2" fillId="0" borderId="1" xfId="0" applyFont="1" applyFill="1" applyBorder="1" applyAlignment="1">
      <alignment horizontal="center"/>
    </xf>
    <xf numFmtId="0" fontId="1" fillId="0" borderId="21" xfId="0" applyFont="1" applyBorder="1" applyAlignment="1">
      <alignment horizontal="center"/>
    </xf>
    <xf numFmtId="0" fontId="2" fillId="0" borderId="23" xfId="0" applyFont="1" applyBorder="1"/>
    <xf numFmtId="0" fontId="2" fillId="0" borderId="23" xfId="0" applyFont="1" applyBorder="1" applyAlignment="1">
      <alignment horizontal="left"/>
    </xf>
    <xf numFmtId="0" fontId="2" fillId="0" borderId="25" xfId="0" applyFont="1" applyBorder="1"/>
    <xf numFmtId="166" fontId="2" fillId="0" borderId="23" xfId="0" applyNumberFormat="1" applyFont="1" applyBorder="1" applyAlignment="1">
      <alignment horizontal="left"/>
    </xf>
    <xf numFmtId="0" fontId="2" fillId="0" borderId="23" xfId="0" applyFont="1" applyFill="1" applyBorder="1"/>
    <xf numFmtId="166" fontId="2" fillId="7" borderId="1" xfId="0" applyNumberFormat="1" applyFont="1" applyFill="1" applyBorder="1" applyAlignment="1">
      <alignment horizontal="center"/>
    </xf>
    <xf numFmtId="166" fontId="0" fillId="6" borderId="26" xfId="1" applyNumberFormat="1" applyFont="1" applyFill="1" applyBorder="1" applyAlignment="1" applyProtection="1">
      <alignment horizontal="center"/>
      <protection locked="0"/>
    </xf>
    <xf numFmtId="0" fontId="2" fillId="7" borderId="26" xfId="0" applyFont="1" applyFill="1" applyBorder="1" applyAlignment="1">
      <alignment horizontal="center"/>
    </xf>
    <xf numFmtId="0" fontId="2" fillId="7" borderId="10" xfId="0" applyFont="1" applyFill="1" applyBorder="1" applyAlignment="1">
      <alignment horizontal="center"/>
    </xf>
    <xf numFmtId="0" fontId="0" fillId="0" borderId="24" xfId="0" applyBorder="1"/>
    <xf numFmtId="0" fontId="0" fillId="0" borderId="21" xfId="0" applyBorder="1"/>
    <xf numFmtId="0" fontId="0" fillId="0" borderId="23" xfId="0" applyFill="1" applyBorder="1"/>
    <xf numFmtId="0" fontId="1" fillId="0" borderId="23" xfId="0" applyFont="1" applyFill="1" applyBorder="1" applyAlignment="1">
      <alignment horizontal="center"/>
    </xf>
    <xf numFmtId="0" fontId="2" fillId="0" borderId="31" xfId="0" applyFont="1" applyBorder="1"/>
    <xf numFmtId="0" fontId="0" fillId="7" borderId="32" xfId="0" applyFill="1" applyBorder="1" applyAlignment="1">
      <alignment horizontal="center"/>
    </xf>
    <xf numFmtId="166" fontId="0" fillId="7" borderId="10" xfId="0" applyNumberFormat="1" applyFill="1" applyBorder="1" applyAlignment="1">
      <alignment horizontal="center"/>
    </xf>
    <xf numFmtId="166" fontId="0" fillId="7" borderId="1" xfId="1" applyNumberFormat="1" applyFont="1" applyFill="1" applyBorder="1" applyAlignment="1">
      <alignment horizontal="center"/>
    </xf>
    <xf numFmtId="166" fontId="0" fillId="7" borderId="32" xfId="0" applyNumberFormat="1" applyFill="1" applyBorder="1" applyAlignment="1">
      <alignment horizontal="center"/>
    </xf>
    <xf numFmtId="0" fontId="0" fillId="6" borderId="1" xfId="0" applyFill="1" applyBorder="1" applyAlignment="1" applyProtection="1">
      <alignment horizontal="center"/>
      <protection locked="0"/>
    </xf>
    <xf numFmtId="0" fontId="0" fillId="7" borderId="1" xfId="0" applyFill="1" applyBorder="1" applyAlignment="1">
      <alignment horizontal="center"/>
    </xf>
    <xf numFmtId="0" fontId="2" fillId="0" borderId="31" xfId="0" applyFont="1" applyFill="1" applyBorder="1"/>
    <xf numFmtId="0" fontId="0" fillId="6" borderId="35" xfId="0" applyFill="1" applyBorder="1" applyAlignment="1" applyProtection="1">
      <alignment horizontal="center"/>
      <protection locked="0"/>
    </xf>
    <xf numFmtId="169" fontId="2" fillId="0" borderId="0" xfId="0" applyNumberFormat="1" applyFont="1"/>
    <xf numFmtId="0" fontId="8" fillId="0" borderId="0" xfId="2" applyAlignment="1" applyProtection="1">
      <alignment horizontal="center"/>
    </xf>
    <xf numFmtId="0" fontId="0" fillId="0" borderId="0" xfId="0" applyAlignment="1">
      <alignment horizontal="center"/>
    </xf>
    <xf numFmtId="0" fontId="0" fillId="0" borderId="0" xfId="0" applyAlignment="1">
      <alignment horizontal="center"/>
    </xf>
    <xf numFmtId="166" fontId="0" fillId="7" borderId="11" xfId="1" applyNumberFormat="1" applyFont="1" applyFill="1" applyBorder="1" applyAlignment="1" applyProtection="1">
      <alignment horizontal="center"/>
    </xf>
    <xf numFmtId="0" fontId="8" fillId="0" borderId="0" xfId="2" applyAlignment="1" applyProtection="1"/>
    <xf numFmtId="0" fontId="8" fillId="0" borderId="0" xfId="2" applyAlignment="1" applyProtection="1">
      <alignment wrapText="1"/>
    </xf>
    <xf numFmtId="0" fontId="0" fillId="0" borderId="0" xfId="0" applyAlignment="1">
      <alignment horizontal="center"/>
    </xf>
    <xf numFmtId="0" fontId="1" fillId="0" borderId="9" xfId="0" applyFont="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1" fillId="0" borderId="2" xfId="0" applyFont="1" applyBorder="1" applyAlignment="1">
      <alignment horizontal="center" vertical="center" wrapText="1"/>
    </xf>
    <xf numFmtId="0" fontId="0" fillId="0" borderId="0" xfId="0" applyAlignment="1">
      <alignment horizontal="center"/>
    </xf>
    <xf numFmtId="0" fontId="1" fillId="0" borderId="0" xfId="0" applyFont="1" applyBorder="1" applyAlignment="1"/>
    <xf numFmtId="0" fontId="2" fillId="0" borderId="15" xfId="0" applyFont="1" applyBorder="1" applyAlignment="1">
      <alignment vertical="center" wrapText="1"/>
    </xf>
    <xf numFmtId="0" fontId="0" fillId="7" borderId="1" xfId="0" applyFill="1" applyBorder="1" applyAlignment="1">
      <alignment horizontal="center" shrinkToFit="1"/>
    </xf>
    <xf numFmtId="0" fontId="1" fillId="0" borderId="2" xfId="0" applyFont="1" applyBorder="1" applyAlignment="1">
      <alignment horizontal="center" vertical="center" wrapText="1"/>
    </xf>
    <xf numFmtId="0" fontId="0" fillId="0" borderId="0" xfId="0" applyAlignment="1">
      <alignment horizontal="center"/>
    </xf>
    <xf numFmtId="0" fontId="2" fillId="0" borderId="1" xfId="0" applyFont="1" applyBorder="1" applyAlignment="1">
      <alignment horizontal="center"/>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0" fontId="2" fillId="0" borderId="0" xfId="0" applyFont="1" applyBorder="1" applyAlignment="1" applyProtection="1">
      <alignment vertical="top" wrapText="1"/>
      <protection locked="0"/>
    </xf>
    <xf numFmtId="0" fontId="0" fillId="0" borderId="37" xfId="0" applyBorder="1"/>
    <xf numFmtId="0" fontId="1" fillId="0" borderId="2" xfId="0" applyFont="1" applyBorder="1" applyAlignment="1">
      <alignment vertical="center" wrapText="1"/>
    </xf>
    <xf numFmtId="0" fontId="1" fillId="0" borderId="10" xfId="0" applyFont="1" applyBorder="1" applyAlignment="1">
      <alignment horizontal="center"/>
    </xf>
    <xf numFmtId="0" fontId="0" fillId="0" borderId="0" xfId="0"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1" fillId="0" borderId="10" xfId="0" applyFont="1" applyBorder="1" applyAlignment="1">
      <alignment horizontal="center"/>
    </xf>
    <xf numFmtId="0" fontId="8" fillId="0" borderId="0" xfId="2" applyAlignment="1" applyProtection="1">
      <alignment horizontal="center"/>
    </xf>
    <xf numFmtId="0" fontId="2" fillId="0" borderId="1" xfId="0" applyFont="1" applyBorder="1" applyAlignment="1">
      <alignment horizontal="center"/>
    </xf>
    <xf numFmtId="0" fontId="0" fillId="0" borderId="1" xfId="0"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2" fillId="0" borderId="0" xfId="1" applyNumberFormat="1" applyFont="1" applyAlignment="1">
      <alignment horizontal="center"/>
    </xf>
    <xf numFmtId="0" fontId="8" fillId="0" borderId="11" xfId="2" applyFill="1" applyBorder="1" applyAlignment="1" applyProtection="1">
      <alignment horizontal="center"/>
    </xf>
    <xf numFmtId="167" fontId="0" fillId="6" borderId="37" xfId="1" applyNumberFormat="1" applyFont="1" applyFill="1" applyBorder="1" applyAlignment="1" applyProtection="1">
      <alignment horizontal="center"/>
      <protection locked="0"/>
    </xf>
    <xf numFmtId="0" fontId="1" fillId="0" borderId="10" xfId="0" applyFont="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Border="1"/>
    <xf numFmtId="2" fontId="0" fillId="7" borderId="26" xfId="0" applyNumberFormat="1" applyFill="1" applyBorder="1" applyAlignment="1">
      <alignment horizontal="center"/>
    </xf>
    <xf numFmtId="0" fontId="12" fillId="0" borderId="23" xfId="0" applyFont="1" applyBorder="1" applyAlignment="1">
      <alignment horizontal="center"/>
    </xf>
    <xf numFmtId="166" fontId="0" fillId="7" borderId="9" xfId="0" applyNumberFormat="1" applyFill="1" applyBorder="1" applyAlignment="1">
      <alignment horizontal="center"/>
    </xf>
    <xf numFmtId="0" fontId="2" fillId="7" borderId="9" xfId="0" applyFont="1" applyFill="1" applyBorder="1" applyAlignment="1">
      <alignment horizontal="center"/>
    </xf>
    <xf numFmtId="0" fontId="12" fillId="0" borderId="23" xfId="0" applyFont="1" applyFill="1" applyBorder="1" applyAlignment="1">
      <alignment horizontal="center"/>
    </xf>
    <xf numFmtId="167" fontId="2" fillId="0" borderId="0" xfId="1" applyNumberFormat="1" applyFont="1"/>
    <xf numFmtId="0" fontId="0" fillId="0" borderId="0" xfId="0" applyFont="1"/>
    <xf numFmtId="0" fontId="2" fillId="0" borderId="1" xfId="0" applyFont="1" applyBorder="1" applyAlignment="1">
      <alignment horizontal="right"/>
    </xf>
    <xf numFmtId="0" fontId="1" fillId="0" borderId="6"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2" fillId="0" borderId="14"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1" fillId="0" borderId="14" xfId="0" applyFont="1" applyBorder="1" applyAlignment="1">
      <alignment horizontal="center"/>
    </xf>
    <xf numFmtId="0" fontId="1" fillId="0" borderId="13" xfId="0" applyFont="1" applyBorder="1" applyAlignment="1">
      <alignment horizontal="center"/>
    </xf>
    <xf numFmtId="0" fontId="1" fillId="0" borderId="5" xfId="0" applyFont="1" applyBorder="1" applyAlignment="1">
      <alignment horizontal="center"/>
    </xf>
    <xf numFmtId="0" fontId="2" fillId="0" borderId="12"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0" fillId="7" borderId="1" xfId="0" applyFill="1" applyBorder="1" applyAlignment="1">
      <alignment horizontal="center" shrinkToFit="1"/>
    </xf>
    <xf numFmtId="0" fontId="0" fillId="0" borderId="6" xfId="0" applyBorder="1" applyAlignment="1">
      <alignment horizontal="center"/>
    </xf>
    <xf numFmtId="0" fontId="0" fillId="0" borderId="4" xfId="0" applyBorder="1" applyAlignment="1">
      <alignment horizontal="center"/>
    </xf>
    <xf numFmtId="0" fontId="1" fillId="0" borderId="12" xfId="0" applyFont="1" applyBorder="1" applyAlignment="1">
      <alignment horizontal="center"/>
    </xf>
    <xf numFmtId="0" fontId="1" fillId="0" borderId="8" xfId="0" applyFont="1" applyBorder="1" applyAlignment="1">
      <alignment horizontal="center"/>
    </xf>
    <xf numFmtId="0" fontId="2" fillId="6" borderId="6" xfId="0" applyFont="1" applyFill="1" applyBorder="1" applyAlignment="1" applyProtection="1">
      <alignment horizontal="center"/>
      <protection locked="0"/>
    </xf>
    <xf numFmtId="0" fontId="2" fillId="6" borderId="3" xfId="0" applyFont="1" applyFill="1" applyBorder="1" applyAlignment="1" applyProtection="1">
      <alignment horizontal="center"/>
      <protection locked="0"/>
    </xf>
    <xf numFmtId="0" fontId="2" fillId="6" borderId="4" xfId="0" applyFont="1" applyFill="1" applyBorder="1" applyAlignment="1" applyProtection="1">
      <alignment horizontal="center"/>
      <protection locked="0"/>
    </xf>
    <xf numFmtId="0" fontId="0" fillId="6" borderId="1" xfId="0" applyFill="1" applyBorder="1" applyAlignment="1" applyProtection="1">
      <alignment horizontal="center"/>
      <protection locked="0"/>
    </xf>
    <xf numFmtId="0" fontId="2" fillId="0" borderId="6" xfId="0" applyFont="1" applyBorder="1" applyAlignment="1">
      <alignment horizontal="center"/>
    </xf>
    <xf numFmtId="0" fontId="2" fillId="0" borderId="4" xfId="0" applyFont="1" applyBorder="1" applyAlignment="1">
      <alignment horizontal="center"/>
    </xf>
    <xf numFmtId="0" fontId="0" fillId="0" borderId="16" xfId="0" applyFill="1" applyBorder="1" applyAlignment="1">
      <alignment horizontal="center"/>
    </xf>
    <xf numFmtId="0" fontId="0" fillId="0" borderId="17" xfId="0" applyFill="1" applyBorder="1" applyAlignment="1">
      <alignment horizontal="center"/>
    </xf>
    <xf numFmtId="0" fontId="0" fillId="7" borderId="6" xfId="0" applyFill="1" applyBorder="1" applyAlignment="1">
      <alignment horizontal="center" shrinkToFit="1"/>
    </xf>
    <xf numFmtId="0" fontId="0" fillId="7" borderId="3" xfId="0" applyFill="1" applyBorder="1" applyAlignment="1">
      <alignment horizontal="center" shrinkToFit="1"/>
    </xf>
    <xf numFmtId="0" fontId="0" fillId="7" borderId="4" xfId="0" applyFill="1" applyBorder="1" applyAlignment="1">
      <alignment horizontal="center" shrinkToFit="1"/>
    </xf>
    <xf numFmtId="0" fontId="2" fillId="6" borderId="0" xfId="0" applyFont="1" applyFill="1" applyBorder="1" applyAlignment="1" applyProtection="1">
      <alignment horizontal="center"/>
      <protection locked="0"/>
    </xf>
    <xf numFmtId="0" fontId="2" fillId="6" borderId="0" xfId="0" applyFont="1" applyFill="1" applyBorder="1" applyAlignment="1" applyProtection="1">
      <alignment horizontal="center" vertical="center" wrapText="1"/>
      <protection locked="0"/>
    </xf>
    <xf numFmtId="168" fontId="0" fillId="6" borderId="0" xfId="0" applyNumberFormat="1" applyFill="1" applyBorder="1" applyAlignment="1" applyProtection="1">
      <alignment horizontal="center"/>
      <protection locked="0"/>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0" fillId="7" borderId="6" xfId="0" applyFill="1" applyBorder="1" applyAlignment="1">
      <alignment horizontal="center"/>
    </xf>
    <xf numFmtId="0" fontId="0" fillId="7" borderId="4" xfId="0" applyFill="1" applyBorder="1" applyAlignment="1">
      <alignment horizont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8" fillId="0" borderId="12" xfId="2" applyFont="1" applyBorder="1" applyAlignment="1" applyProtection="1">
      <alignment horizontal="center"/>
    </xf>
    <xf numFmtId="0" fontId="9" fillId="0" borderId="7" xfId="2" applyFont="1" applyBorder="1" applyAlignment="1" applyProtection="1">
      <alignment horizontal="center"/>
    </xf>
    <xf numFmtId="0" fontId="9" fillId="0" borderId="8" xfId="2" applyFont="1" applyBorder="1" applyAlignment="1" applyProtection="1">
      <alignment horizont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xf>
    <xf numFmtId="0" fontId="1" fillId="0" borderId="7" xfId="0" applyFont="1" applyBorder="1" applyAlignment="1">
      <alignment horizontal="center"/>
    </xf>
    <xf numFmtId="0" fontId="0" fillId="6" borderId="3" xfId="0" applyFill="1" applyBorder="1" applyAlignment="1" applyProtection="1">
      <alignment horizontal="center"/>
      <protection locked="0"/>
    </xf>
    <xf numFmtId="0" fontId="1" fillId="0" borderId="6" xfId="0" applyFont="1" applyBorder="1" applyAlignment="1">
      <alignment horizontal="center"/>
    </xf>
    <xf numFmtId="0" fontId="1" fillId="0" borderId="4" xfId="0" applyFont="1" applyBorder="1" applyAlignment="1">
      <alignment horizontal="center"/>
    </xf>
    <xf numFmtId="0" fontId="0" fillId="7" borderId="6" xfId="0" applyFill="1" applyBorder="1" applyAlignment="1" applyProtection="1">
      <alignment horizontal="center"/>
    </xf>
    <xf numFmtId="0" fontId="0" fillId="7" borderId="4" xfId="0" applyFill="1" applyBorder="1" applyAlignment="1" applyProtection="1">
      <alignment horizontal="center"/>
    </xf>
    <xf numFmtId="167" fontId="0" fillId="7" borderId="15" xfId="1" applyNumberFormat="1" applyFont="1" applyFill="1" applyBorder="1" applyAlignment="1" applyProtection="1">
      <alignment horizontal="center"/>
    </xf>
    <xf numFmtId="167" fontId="0" fillId="7" borderId="0" xfId="1" applyNumberFormat="1" applyFont="1" applyFill="1" applyBorder="1" applyAlignment="1" applyProtection="1">
      <alignment horizontal="center"/>
    </xf>
    <xf numFmtId="0" fontId="1" fillId="0" borderId="9" xfId="0" applyFont="1" applyBorder="1" applyAlignment="1">
      <alignment horizontal="center" vertical="center" wrapText="1"/>
    </xf>
    <xf numFmtId="2" fontId="0" fillId="7" borderId="15" xfId="0" applyNumberFormat="1" applyFill="1" applyBorder="1" applyAlignment="1" applyProtection="1">
      <alignment horizontal="center"/>
    </xf>
    <xf numFmtId="2" fontId="0" fillId="7" borderId="0" xfId="0" applyNumberFormat="1" applyFill="1" applyBorder="1" applyAlignment="1" applyProtection="1">
      <alignment horizontal="center"/>
    </xf>
    <xf numFmtId="167" fontId="0" fillId="7" borderId="15" xfId="0" applyNumberFormat="1" applyFill="1" applyBorder="1" applyAlignment="1" applyProtection="1">
      <alignment horizontal="center"/>
    </xf>
    <xf numFmtId="167" fontId="0" fillId="7" borderId="0" xfId="0" applyNumberFormat="1" applyFill="1" applyBorder="1" applyAlignment="1" applyProtection="1">
      <alignment horizontal="center"/>
    </xf>
    <xf numFmtId="166" fontId="0" fillId="7" borderId="15" xfId="0" applyNumberFormat="1" applyFill="1" applyBorder="1" applyAlignment="1" applyProtection="1">
      <alignment horizontal="center"/>
    </xf>
    <xf numFmtId="166" fontId="0" fillId="7" borderId="0" xfId="0" applyNumberFormat="1" applyFill="1" applyBorder="1" applyAlignment="1" applyProtection="1">
      <alignment horizontal="center"/>
    </xf>
    <xf numFmtId="0" fontId="1" fillId="0" borderId="1" xfId="0" applyFont="1" applyBorder="1" applyAlignment="1">
      <alignment horizontal="center"/>
    </xf>
    <xf numFmtId="0" fontId="2" fillId="0" borderId="0" xfId="0" applyFont="1" applyBorder="1" applyAlignment="1">
      <alignment horizontal="center"/>
    </xf>
    <xf numFmtId="0" fontId="0" fillId="0" borderId="0" xfId="0" applyAlignment="1">
      <alignment horizontal="center"/>
    </xf>
    <xf numFmtId="0" fontId="8" fillId="0" borderId="0" xfId="2" applyAlignment="1" applyProtection="1">
      <alignment horizontal="center"/>
    </xf>
    <xf numFmtId="0" fontId="1" fillId="0" borderId="22" xfId="0" applyFont="1" applyBorder="1" applyAlignment="1">
      <alignment horizontal="center"/>
    </xf>
    <xf numFmtId="0" fontId="2" fillId="0" borderId="1" xfId="0" applyFont="1" applyFill="1" applyBorder="1" applyAlignment="1">
      <alignment horizontal="left"/>
    </xf>
    <xf numFmtId="0" fontId="2" fillId="0" borderId="24" xfId="0" applyFont="1" applyFill="1" applyBorder="1" applyAlignment="1">
      <alignment horizontal="left"/>
    </xf>
    <xf numFmtId="0" fontId="0" fillId="0" borderId="3" xfId="0" applyBorder="1" applyAlignment="1">
      <alignment horizontal="center"/>
    </xf>
    <xf numFmtId="0" fontId="0" fillId="0" borderId="34" xfId="0" applyBorder="1" applyAlignment="1">
      <alignment horizontal="center"/>
    </xf>
    <xf numFmtId="0" fontId="0" fillId="0" borderId="14"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2" fillId="0" borderId="32" xfId="0" applyFont="1" applyFill="1" applyBorder="1" applyAlignment="1">
      <alignment horizontal="left"/>
    </xf>
    <xf numFmtId="0" fontId="2" fillId="0" borderId="33" xfId="0" applyFont="1" applyFill="1" applyBorder="1" applyAlignment="1">
      <alignment horizontal="left"/>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2" fillId="0" borderId="1" xfId="0" applyFont="1" applyBorder="1" applyAlignment="1"/>
    <xf numFmtId="0" fontId="2" fillId="0" borderId="24" xfId="0" applyFont="1" applyBorder="1" applyAlignment="1"/>
    <xf numFmtId="0" fontId="2" fillId="0" borderId="26" xfId="0" applyFont="1" applyFill="1" applyBorder="1" applyAlignment="1">
      <alignment horizontal="left"/>
    </xf>
    <xf numFmtId="0" fontId="2" fillId="0" borderId="27" xfId="0" applyFont="1" applyFill="1" applyBorder="1" applyAlignment="1">
      <alignment horizontal="left"/>
    </xf>
    <xf numFmtId="0" fontId="2" fillId="0" borderId="1" xfId="0" applyFont="1" applyFill="1" applyBorder="1" applyAlignment="1"/>
    <xf numFmtId="0" fontId="2" fillId="0" borderId="24" xfId="0" applyFont="1" applyFill="1" applyBorder="1" applyAlignment="1"/>
    <xf numFmtId="0" fontId="1" fillId="0" borderId="28"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2" fillId="0" borderId="1" xfId="0" applyFont="1" applyBorder="1" applyAlignment="1">
      <alignment horizontal="left"/>
    </xf>
    <xf numFmtId="0" fontId="2" fillId="0" borderId="24" xfId="0" applyFont="1" applyBorder="1" applyAlignment="1">
      <alignment horizontal="left"/>
    </xf>
    <xf numFmtId="0" fontId="0" fillId="0" borderId="1" xfId="0" applyBorder="1" applyAlignment="1">
      <alignment horizontal="left"/>
    </xf>
    <xf numFmtId="0" fontId="0" fillId="0" borderId="24" xfId="0" applyBorder="1" applyAlignment="1">
      <alignment horizontal="left"/>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0" fillId="0" borderId="9" xfId="0" applyBorder="1" applyAlignment="1">
      <alignment horizontal="left"/>
    </xf>
    <xf numFmtId="0" fontId="0" fillId="0" borderId="41" xfId="0" applyBorder="1" applyAlignment="1">
      <alignment horizontal="left"/>
    </xf>
    <xf numFmtId="0" fontId="2" fillId="0" borderId="35" xfId="0" applyFont="1" applyFill="1" applyBorder="1" applyAlignment="1">
      <alignment horizontal="left"/>
    </xf>
    <xf numFmtId="0" fontId="2" fillId="0" borderId="36" xfId="0" applyFont="1" applyFill="1" applyBorder="1" applyAlignment="1">
      <alignment horizontal="left"/>
    </xf>
    <xf numFmtId="0" fontId="0" fillId="0" borderId="42" xfId="0" applyBorder="1" applyAlignment="1">
      <alignment horizontal="center"/>
    </xf>
    <xf numFmtId="0" fontId="0" fillId="0" borderId="43" xfId="0" applyBorder="1" applyAlignment="1">
      <alignment horizontal="center"/>
    </xf>
    <xf numFmtId="0" fontId="0" fillId="0" borderId="40" xfId="0"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34" xfId="0" applyFont="1" applyBorder="1" applyAlignment="1">
      <alignment vertical="center" wrapText="1"/>
    </xf>
    <xf numFmtId="0" fontId="1" fillId="0" borderId="15" xfId="0" applyFont="1" applyBorder="1" applyAlignment="1">
      <alignment horizontal="center"/>
    </xf>
    <xf numFmtId="0" fontId="1" fillId="0" borderId="0" xfId="0" applyFont="1" applyBorder="1" applyAlignment="1">
      <alignment horizontal="center"/>
    </xf>
    <xf numFmtId="166" fontId="1" fillId="0" borderId="9" xfId="0" applyNumberFormat="1" applyFont="1" applyBorder="1" applyAlignment="1">
      <alignment horizontal="center" vertical="center" wrapText="1"/>
    </xf>
    <xf numFmtId="166" fontId="1" fillId="0" borderId="10" xfId="0" applyNumberFormat="1" applyFont="1" applyBorder="1" applyAlignment="1">
      <alignment horizontal="center" vertical="center" wrapText="1"/>
    </xf>
    <xf numFmtId="0" fontId="1" fillId="0" borderId="9" xfId="0"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0" fillId="0" borderId="1" xfId="0" applyBorder="1" applyAlignment="1">
      <alignment horizont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1" xfId="0" applyBorder="1" applyAlignment="1">
      <alignment horizontal="center" wrapText="1"/>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1" fillId="0" borderId="0" xfId="0" applyFont="1" applyAlignment="1">
      <alignment horizontal="center"/>
    </xf>
  </cellXfs>
  <cellStyles count="4">
    <cellStyle name="Hyperlink" xfId="2" builtinId="8"/>
    <cellStyle name="Normal" xfId="0" builtinId="0"/>
    <cellStyle name="Normal 2" xfId="3"/>
    <cellStyle name="Percent" xfId="1" builtinId="5"/>
  </cellStyles>
  <dxfs count="20">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9" defaultPivotStyle="PivotStyleLight16"/>
  <colors>
    <mruColors>
      <color rgb="FFFFFF99"/>
      <color rgb="FF66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2" name="grains_table" displayName="grains_table" ref="A1:H201" totalsRowShown="0" headerRowDxfId="15">
  <autoFilter ref="A1:H201"/>
  <sortState ref="A2:H201">
    <sortCondition ref="A1:A201"/>
  </sortState>
  <tableColumns count="8">
    <tableColumn id="1" name="Ingredient Name"/>
    <tableColumn id="6" name="Company" dataDxfId="14"/>
    <tableColumn id="2" name="Grain or Sugar" dataDxfId="13" totalsRowDxfId="12"/>
    <tableColumn id="8" name="Extract %" dataDxfId="11" totalsRowDxfId="10"/>
    <tableColumn id="5" name="Moisture Content %" dataDxfId="9" totalsRowDxfId="8"/>
    <tableColumn id="3" name="Max PPG" dataDxfId="7" totalsRowDxfId="6"/>
    <tableColumn id="4" name="° L" dataDxfId="5"/>
    <tableColumn id="7" name="Source"/>
  </tableColumns>
  <tableStyleInfo name="TableStyleMedium9" showFirstColumn="0" showLastColumn="0" showRowStripes="1" showColumnStripes="0"/>
</table>
</file>

<file path=xl/tables/table2.xml><?xml version="1.0" encoding="utf-8"?>
<table xmlns="http://schemas.openxmlformats.org/spreadsheetml/2006/main" id="3" name="yeast_table" displayName="yeast_table" ref="A1:I242" totalsRowShown="0" headerRowDxfId="4">
  <autoFilter ref="A1:I242"/>
  <sortState ref="A2:I242">
    <sortCondition ref="A1:A242"/>
  </sortState>
  <tableColumns count="9">
    <tableColumn id="1" name="Name &amp; Number"/>
    <tableColumn id="2" name="Type"/>
    <tableColumn id="3" name="Lab"/>
    <tableColumn id="4" name="Floc."/>
    <tableColumn id="5" name="Atten."/>
    <tableColumn id="6" name="Avg Atten" dataDxfId="3" dataCellStyle="Percent"/>
    <tableColumn id="7" name="Temp. Low F" dataDxfId="2"/>
    <tableColumn id="9" name="Temp. High F" dataDxfId="1"/>
    <tableColumn id="8" name="Description"/>
  </tableColumns>
  <tableStyleInfo name="TableStyleMedium9" showFirstColumn="0" showLastColumn="0" showRowStripes="1" showColumnStripes="0"/>
</table>
</file>

<file path=xl/tables/table3.xml><?xml version="1.0" encoding="utf-8"?>
<table xmlns="http://schemas.openxmlformats.org/spreadsheetml/2006/main" id="1" name="BeerList_Table" displayName="BeerList_Table" ref="B1:AI14" totalsRowShown="0" headerRowDxfId="0">
  <autoFilter ref="B1:AI14"/>
  <tableColumns count="34">
    <tableColumn id="1" name="1. Standard American Beer"/>
    <tableColumn id="2" name="2. International Lager"/>
    <tableColumn id="3" name="3. Czech Lager"/>
    <tableColumn id="4" name="4. Pale Malty European Lager"/>
    <tableColumn id="5" name="5. Pale Bitter European Beer"/>
    <tableColumn id="6" name="6. Amber Malty European Lager"/>
    <tableColumn id="7" name="7. Amber Bitter European Beer"/>
    <tableColumn id="8" name="8. Dark European Lager"/>
    <tableColumn id="11" name="9. Strong European Beer"/>
    <tableColumn id="12" name="10. German Wheat Beer"/>
    <tableColumn id="13" name="11. British Bitter"/>
    <tableColumn id="14" name="12. Pale Commonwealth Beer"/>
    <tableColumn id="17" name="13. Brown British Beer"/>
    <tableColumn id="18" name="14. Scottish Ale"/>
    <tableColumn id="15" name="15. Irish Beer"/>
    <tableColumn id="16" name="16. Dark British Beer"/>
    <tableColumn id="23" name="17. Strong British Ale"/>
    <tableColumn id="24" name="18. Pale American Ale"/>
    <tableColumn id="21" name="19. Amber and Brown American Beer"/>
    <tableColumn id="22" name="20. American Porter and Stout"/>
    <tableColumn id="19" name="21. IPA"/>
    <tableColumn id="20" name="22. Strong American Ale"/>
    <tableColumn id="27" name="23. European Sour Ale"/>
    <tableColumn id="28" name="24. Belgian Ale"/>
    <tableColumn id="25" name="25. Strong Belgian Ale"/>
    <tableColumn id="26" name="26. Trappist Ale"/>
    <tableColumn id="30" name="27. Historical Beer"/>
    <tableColumn id="32" name="28. American Wild Ale"/>
    <tableColumn id="33" name="29. Fruit Beer"/>
    <tableColumn id="31" name="30. Spiced Beer"/>
    <tableColumn id="29" name="31. Alternative Fermentables Beer"/>
    <tableColumn id="35" name="32. Smoked Beer"/>
    <tableColumn id="34" name="33. Wood Beer"/>
    <tableColumn id="9"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1.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brainlubeonline.com/GasLawsBeer.html"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www.bestmalz.de/en/malts/best-caramel-munich-iii"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Dark_Roasted.htm" TargetMode="External"/><Relationship Id="rId138" Type="http://schemas.openxmlformats.org/officeDocument/2006/relationships/hyperlink" Target="http://www.brewingwithbriess.com/Products/Adjuncts.htm"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www.brewingwithbriess.com/Products/Extracts.htm" TargetMode="External"/><Relationship Id="rId107" Type="http://schemas.openxmlformats.org/officeDocument/2006/relationships/hyperlink" Target="http://www.bestmalz.de/en/malts/best-spel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heidelberg/?portfolioCats=28" TargetMode="External"/><Relationship Id="rId160" Type="http://schemas.openxmlformats.org/officeDocument/2006/relationships/hyperlink" Target="http://www.beersmith.com/Grains/Grains/GrainList.htm"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 TargetMode="External"/><Relationship Id="rId139" Type="http://schemas.openxmlformats.org/officeDocument/2006/relationships/hyperlink" Target="http://www.fawcett-maltsters.co.uk/uploads/2/0/2/6/20260333/spec_table_asbc.pdf" TargetMode="External"/><Relationship Id="rId85" Type="http://schemas.openxmlformats.org/officeDocument/2006/relationships/hyperlink" Target="http://www.brewingwithbriess.com/Products/Roasted.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www.brewingwithbriess.com/Products/Extracts.htm"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heidelberg-wheat-malt"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ilsen-malt" TargetMode="External"/><Relationship Id="rId140" Type="http://schemas.openxmlformats.org/officeDocument/2006/relationships/hyperlink" Target="http://brewingwithbriess.com/Products/Roasted_Barley.htm" TargetMode="External"/><Relationship Id="rId161" Type="http://schemas.openxmlformats.org/officeDocument/2006/relationships/hyperlink" Target="http://www.beersmith.com/Grains/Grains/GrainList.htm" TargetMode="External"/><Relationship Id="rId1" Type="http://schemas.openxmlformats.org/officeDocument/2006/relationships/hyperlink" Target="https://www.simpsonsmalt.co.uk/our-malts/finest-pale-ale-golden-promise/"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pils" TargetMode="External"/><Relationship Id="rId119" Type="http://schemas.openxmlformats.org/officeDocument/2006/relationships/hyperlink" Target="http://www.bestmalz.de/en/malts/best-black-malt-extra"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s://www.weyermann.de/usa/gelbe_seiten_usa.asp?go=brewery&amp;umenue=yes&amp;idmenue=269&amp;sprache=10"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mel.htm" TargetMode="External"/><Relationship Id="rId86" Type="http://schemas.openxmlformats.org/officeDocument/2006/relationships/hyperlink" Target="http://www.brewingwithbriess.com/Products/Munich.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2" Type="http://schemas.openxmlformats.org/officeDocument/2006/relationships/hyperlink" Target="https://bsgcraftbrewing.com/rahr-standard-2row"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red-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pale-ale" TargetMode="External"/><Relationship Id="rId104" Type="http://schemas.openxmlformats.org/officeDocument/2006/relationships/hyperlink" Target="https://www.simpsonsmalt.co.uk/our-malts/crystal-dark/" TargetMode="External"/><Relationship Id="rId120" Type="http://schemas.openxmlformats.org/officeDocument/2006/relationships/hyperlink" Target="http://www.bestmalz.de/en/malts/best-chit-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Roasted_Barley.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Base.htm"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Adjuncts.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special-x" TargetMode="External"/><Relationship Id="rId115" Type="http://schemas.openxmlformats.org/officeDocument/2006/relationships/hyperlink" Target="http://www.bestmalz.de/en/malts/best-caramel-munich-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Extracts.htm" TargetMode="External"/><Relationship Id="rId157" Type="http://schemas.openxmlformats.org/officeDocument/2006/relationships/hyperlink" Target="http://www.beersmith.com/Grains/Grains/GrainList.htm" TargetMode="External"/><Relationship Id="rId61" Type="http://schemas.openxmlformats.org/officeDocument/2006/relationships/hyperlink" Target="http://www.brewingwithbriess.com/Products/Base.htm"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bsgdistilling.com/rahr-standard-6-row"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 TargetMode="External"/><Relationship Id="rId105" Type="http://schemas.openxmlformats.org/officeDocument/2006/relationships/hyperlink" Target="http://www.bestmalz.de/en/malts/best-wheat-malt"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brewingwithbriess.com/Products/Kilned.htm" TargetMode="External"/><Relationship Id="rId168" Type="http://schemas.openxmlformats.org/officeDocument/2006/relationships/hyperlink" Target="https://www.weyermann.de/usa/gelbe_seiten_usa.asp?go=brewery&amp;umenue=yes&amp;idmenue=269&amp;sprache=10"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Wheat.htm" TargetMode="External"/><Relationship Id="rId98" Type="http://schemas.openxmlformats.org/officeDocument/2006/relationships/hyperlink" Target="http://www.bestmalz.de/en/malts/best-vienna" TargetMode="External"/><Relationship Id="rId121" Type="http://schemas.openxmlformats.org/officeDocument/2006/relationships/hyperlink" Target="http://www.bestmalz.de/en/malts/best-acidulated-malt" TargetMode="External"/><Relationship Id="rId142" Type="http://schemas.openxmlformats.org/officeDocument/2006/relationships/hyperlink" Target="http://brewingwithbriess.com/Products/Dark_Roasted.htm" TargetMode="External"/><Relationship Id="rId163" Type="http://schemas.openxmlformats.org/officeDocument/2006/relationships/hyperlink" Target="http://www.brewingwithbriess.com/Products/Dark_Roasted.htm"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s://www.weyermann.de/usa/gelbe_seiten_usa.asp?go=brewery&amp;umenue=yes&amp;idmenue=269&amp;sprache=10" TargetMode="External"/><Relationship Id="rId116" Type="http://schemas.openxmlformats.org/officeDocument/2006/relationships/hyperlink" Target="http://www.bestmalz.de/en/malts/best-caramel-munich-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Carapils.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hell"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printerSettings" Target="../printerSettings/printerSettings7.bin"/><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wheat-malt-dark"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rewingwithbriess.com/Products/Roasted.htm" TargetMode="External"/><Relationship Id="rId99" Type="http://schemas.openxmlformats.org/officeDocument/2006/relationships/hyperlink" Target="http://www.bestmalz.de/en/malts/best-munich-dark/" TargetMode="External"/><Relationship Id="rId101" Type="http://schemas.openxmlformats.org/officeDocument/2006/relationships/hyperlink" Target="http://www.bestmalz.de/en/malts/best-melanoidin-light" TargetMode="External"/><Relationship Id="rId122" Type="http://schemas.openxmlformats.org/officeDocument/2006/relationships/hyperlink" Target="http://www.bestmalz.de/en/malts/best-smoked" TargetMode="External"/><Relationship Id="rId143" Type="http://schemas.openxmlformats.org/officeDocument/2006/relationships/hyperlink" Target="http://brewingwithbriess.com/Products/Dark_Roasted.htm" TargetMode="External"/><Relationship Id="rId148" Type="http://schemas.openxmlformats.org/officeDocument/2006/relationships/hyperlink" Target="http://brewingwithbriess.com/Products/Kilned.htm" TargetMode="External"/><Relationship Id="rId164" Type="http://schemas.openxmlformats.org/officeDocument/2006/relationships/hyperlink" Target="http://www.brewingwithbriess.com/Products/Dark_Roasted.htm" TargetMode="External"/><Relationship Id="rId169" Type="http://schemas.openxmlformats.org/officeDocument/2006/relationships/hyperlink" Target="http://www.brewingwithbriess.com/Products/Extracts.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Munich.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romatic"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table" Target="../tables/table1.xm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www.bestmalz.de/en/malts/best-munich" TargetMode="External"/><Relationship Id="rId123" Type="http://schemas.openxmlformats.org/officeDocument/2006/relationships/hyperlink" Target="http://www.bestmalz.de/en/malts/best-peated" TargetMode="External"/><Relationship Id="rId144" Type="http://schemas.openxmlformats.org/officeDocument/2006/relationships/hyperlink" Target="http://brewingwithbriess.com/Products/Roast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Roasted.htm" TargetMode="External"/><Relationship Id="rId113" Type="http://schemas.openxmlformats.org/officeDocument/2006/relationships/hyperlink" Target="http://www.bestmalz.de/en/malts/best-caramel-amber"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best-pale-ale-malt/" TargetMode="External"/><Relationship Id="rId124" Type="http://schemas.openxmlformats.org/officeDocument/2006/relationships/hyperlink" Target="http://www.bestmalz.de/en/malts/best-roasted-barley"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Base.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www.bestmalz.de/en/malts/best-chocolate"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topLeftCell="A15" zoomScaleNormal="100" workbookViewId="0">
      <selection activeCell="B26" sqref="B26"/>
    </sheetView>
  </sheetViews>
  <sheetFormatPr defaultRowHeight="13.2" x14ac:dyDescent="0.25"/>
  <cols>
    <col min="1" max="1" width="9.109375" bestFit="1" customWidth="1"/>
    <col min="2" max="2" width="111.21875" customWidth="1"/>
  </cols>
  <sheetData>
    <row r="2" spans="2:2" x14ac:dyDescent="0.25">
      <c r="B2" s="58" t="s">
        <v>1251</v>
      </c>
    </row>
    <row r="3" spans="2:2" x14ac:dyDescent="0.25">
      <c r="B3" s="24" t="s">
        <v>1241</v>
      </c>
    </row>
    <row r="4" spans="2:2" x14ac:dyDescent="0.25">
      <c r="B4" s="181" t="s">
        <v>1397</v>
      </c>
    </row>
    <row r="5" spans="2:2" x14ac:dyDescent="0.25">
      <c r="B5" s="24" t="s">
        <v>1242</v>
      </c>
    </row>
    <row r="6" spans="2:2" x14ac:dyDescent="0.25">
      <c r="B6" s="24" t="s">
        <v>1243</v>
      </c>
    </row>
    <row r="7" spans="2:2" x14ac:dyDescent="0.25">
      <c r="B7" s="24" t="s">
        <v>1244</v>
      </c>
    </row>
    <row r="8" spans="2:2" x14ac:dyDescent="0.25">
      <c r="B8" s="24" t="s">
        <v>1245</v>
      </c>
    </row>
    <row r="9" spans="2:2" x14ac:dyDescent="0.25">
      <c r="B9" s="24" t="s">
        <v>1246</v>
      </c>
    </row>
    <row r="10" spans="2:2" x14ac:dyDescent="0.25">
      <c r="B10" s="24" t="s">
        <v>1247</v>
      </c>
    </row>
    <row r="11" spans="2:2" x14ac:dyDescent="0.25">
      <c r="B11" s="24" t="s">
        <v>1248</v>
      </c>
    </row>
    <row r="12" spans="2:2" x14ac:dyDescent="0.25">
      <c r="B12" s="24" t="s">
        <v>1252</v>
      </c>
    </row>
    <row r="13" spans="2:2" x14ac:dyDescent="0.25">
      <c r="B13" s="103" t="s">
        <v>163</v>
      </c>
    </row>
    <row r="16" spans="2:2" x14ac:dyDescent="0.25">
      <c r="B16" s="58" t="s">
        <v>1249</v>
      </c>
    </row>
    <row r="17" spans="1:2" x14ac:dyDescent="0.25">
      <c r="B17" s="24" t="s">
        <v>1250</v>
      </c>
    </row>
    <row r="18" spans="1:2" ht="66" x14ac:dyDescent="0.25">
      <c r="A18" s="102">
        <v>42838</v>
      </c>
      <c r="B18" s="101" t="s">
        <v>1267</v>
      </c>
    </row>
    <row r="19" spans="1:2" x14ac:dyDescent="0.25">
      <c r="A19" s="137">
        <v>42840</v>
      </c>
      <c r="B19" s="24" t="s">
        <v>1268</v>
      </c>
    </row>
    <row r="20" spans="1:2" x14ac:dyDescent="0.25">
      <c r="A20" s="137">
        <v>42845</v>
      </c>
      <c r="B20" s="24" t="s">
        <v>1269</v>
      </c>
    </row>
    <row r="21" spans="1:2" x14ac:dyDescent="0.25">
      <c r="A21" s="137">
        <v>42850</v>
      </c>
      <c r="B21" s="24" t="s">
        <v>1343</v>
      </c>
    </row>
    <row r="22" spans="1:2" x14ac:dyDescent="0.25">
      <c r="A22" s="137">
        <v>42854</v>
      </c>
      <c r="B22" s="24" t="s">
        <v>1354</v>
      </c>
    </row>
    <row r="23" spans="1:2" ht="52.8" x14ac:dyDescent="0.25">
      <c r="A23" s="141">
        <v>42931</v>
      </c>
      <c r="B23" s="101" t="s">
        <v>1394</v>
      </c>
    </row>
    <row r="24" spans="1:2" ht="132" x14ac:dyDescent="0.25">
      <c r="A24" s="141">
        <v>42983</v>
      </c>
      <c r="B24" s="101" t="s">
        <v>1726</v>
      </c>
    </row>
    <row r="25" spans="1:2" ht="145.19999999999999" x14ac:dyDescent="0.25">
      <c r="A25" s="141">
        <v>43048</v>
      </c>
      <c r="B25" s="101" t="s">
        <v>1812</v>
      </c>
    </row>
  </sheetData>
  <sheetProtection sheet="1" objects="1" scenarios="1"/>
  <hyperlinks>
    <hyperlink ref="B13" r:id="rId1"/>
    <hyperlink ref="B4"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7"/>
  <sheetViews>
    <sheetView topLeftCell="K1" workbookViewId="0">
      <selection activeCell="N27" sqref="N27"/>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4" t="s">
        <v>643</v>
      </c>
      <c r="C1" s="24" t="s">
        <v>648</v>
      </c>
      <c r="D1" s="24" t="s">
        <v>652</v>
      </c>
      <c r="E1" s="24" t="s">
        <v>658</v>
      </c>
      <c r="F1" s="24" t="s">
        <v>661</v>
      </c>
      <c r="G1" s="24" t="s">
        <v>672</v>
      </c>
      <c r="H1" s="24" t="s">
        <v>671</v>
      </c>
      <c r="I1" s="24" t="s">
        <v>676</v>
      </c>
      <c r="J1" s="24" t="s">
        <v>679</v>
      </c>
      <c r="K1" s="24" t="s">
        <v>683</v>
      </c>
      <c r="L1" s="24" t="s">
        <v>687</v>
      </c>
      <c r="M1" s="24" t="s">
        <v>691</v>
      </c>
      <c r="N1" s="24" t="s">
        <v>695</v>
      </c>
      <c r="O1" s="24" t="s">
        <v>699</v>
      </c>
      <c r="P1" s="24" t="s">
        <v>703</v>
      </c>
      <c r="Q1" s="24" t="s">
        <v>707</v>
      </c>
      <c r="R1" s="24" t="s">
        <v>712</v>
      </c>
      <c r="S1" s="24" t="s">
        <v>717</v>
      </c>
      <c r="T1" s="24" t="s">
        <v>720</v>
      </c>
      <c r="U1" s="24" t="s">
        <v>724</v>
      </c>
      <c r="V1" s="24" t="s">
        <v>728</v>
      </c>
      <c r="W1" s="24" t="s">
        <v>737</v>
      </c>
      <c r="X1" s="24" t="s">
        <v>742</v>
      </c>
      <c r="Y1" s="24" t="s">
        <v>749</v>
      </c>
      <c r="Z1" s="24" t="s">
        <v>753</v>
      </c>
      <c r="AA1" s="24" t="s">
        <v>757</v>
      </c>
      <c r="AB1" s="24" t="s">
        <v>762</v>
      </c>
      <c r="AC1" s="24" t="s">
        <v>771</v>
      </c>
      <c r="AD1" s="24" t="s">
        <v>775</v>
      </c>
      <c r="AE1" s="24" t="s">
        <v>779</v>
      </c>
      <c r="AF1" s="24" t="s">
        <v>783</v>
      </c>
      <c r="AG1" s="24" t="s">
        <v>786</v>
      </c>
      <c r="AH1" s="24" t="s">
        <v>789</v>
      </c>
      <c r="AI1" s="24" t="s">
        <v>792</v>
      </c>
    </row>
    <row r="2" spans="2:35" x14ac:dyDescent="0.25">
      <c r="B2" s="24" t="s">
        <v>644</v>
      </c>
      <c r="C2" s="24" t="s">
        <v>649</v>
      </c>
      <c r="D2" s="24" t="s">
        <v>653</v>
      </c>
      <c r="E2" s="24" t="s">
        <v>657</v>
      </c>
      <c r="F2" s="24" t="s">
        <v>662</v>
      </c>
      <c r="G2" s="24" t="s">
        <v>673</v>
      </c>
      <c r="H2" s="24" t="s">
        <v>666</v>
      </c>
      <c r="I2" s="24" t="s">
        <v>677</v>
      </c>
      <c r="J2" s="24" t="s">
        <v>680</v>
      </c>
      <c r="K2" s="24" t="s">
        <v>684</v>
      </c>
      <c r="L2" s="24" t="s">
        <v>688</v>
      </c>
      <c r="M2" s="24" t="s">
        <v>692</v>
      </c>
      <c r="N2" s="24" t="s">
        <v>696</v>
      </c>
      <c r="O2" s="24" t="s">
        <v>700</v>
      </c>
      <c r="P2" s="24" t="s">
        <v>704</v>
      </c>
      <c r="Q2" s="24" t="s">
        <v>708</v>
      </c>
      <c r="R2" s="24" t="s">
        <v>713</v>
      </c>
      <c r="S2" s="24" t="s">
        <v>718</v>
      </c>
      <c r="T2" s="24" t="s">
        <v>721</v>
      </c>
      <c r="U2" s="24" t="s">
        <v>725</v>
      </c>
      <c r="V2" s="24" t="s">
        <v>729</v>
      </c>
      <c r="W2" s="24" t="s">
        <v>738</v>
      </c>
      <c r="X2" s="24" t="s">
        <v>743</v>
      </c>
      <c r="Y2" s="24" t="s">
        <v>750</v>
      </c>
      <c r="Z2" s="24" t="s">
        <v>754</v>
      </c>
      <c r="AA2" s="24" t="s">
        <v>758</v>
      </c>
      <c r="AB2" s="24" t="s">
        <v>763</v>
      </c>
      <c r="AC2" s="24" t="s">
        <v>772</v>
      </c>
      <c r="AD2" s="24" t="s">
        <v>776</v>
      </c>
      <c r="AE2" s="24" t="s">
        <v>780</v>
      </c>
      <c r="AF2" s="24" t="s">
        <v>784</v>
      </c>
      <c r="AG2" s="24" t="s">
        <v>787</v>
      </c>
      <c r="AH2" s="24" t="s">
        <v>790</v>
      </c>
      <c r="AI2" s="24" t="s">
        <v>793</v>
      </c>
    </row>
    <row r="3" spans="2:35" x14ac:dyDescent="0.25">
      <c r="B3" s="24" t="s">
        <v>645</v>
      </c>
      <c r="C3" s="24" t="s">
        <v>650</v>
      </c>
      <c r="D3" s="24" t="s">
        <v>654</v>
      </c>
      <c r="E3" s="24" t="s">
        <v>659</v>
      </c>
      <c r="F3" s="24" t="s">
        <v>663</v>
      </c>
      <c r="G3" s="24" t="s">
        <v>674</v>
      </c>
      <c r="H3" s="24" t="s">
        <v>667</v>
      </c>
      <c r="I3" s="24" t="s">
        <v>678</v>
      </c>
      <c r="J3" s="24" t="s">
        <v>681</v>
      </c>
      <c r="K3" s="24" t="s">
        <v>685</v>
      </c>
      <c r="L3" s="24" t="s">
        <v>689</v>
      </c>
      <c r="M3" s="24" t="s">
        <v>693</v>
      </c>
      <c r="N3" s="24" t="s">
        <v>697</v>
      </c>
      <c r="O3" s="24" t="s">
        <v>701</v>
      </c>
      <c r="P3" s="24" t="s">
        <v>705</v>
      </c>
      <c r="Q3" s="24" t="s">
        <v>709</v>
      </c>
      <c r="R3" s="24" t="s">
        <v>714</v>
      </c>
      <c r="S3" s="24" t="s">
        <v>719</v>
      </c>
      <c r="T3" s="24" t="s">
        <v>722</v>
      </c>
      <c r="U3" s="24" t="s">
        <v>726</v>
      </c>
      <c r="V3" s="24" t="s">
        <v>730</v>
      </c>
      <c r="W3" s="24" t="s">
        <v>739</v>
      </c>
      <c r="X3" s="24" t="s">
        <v>744</v>
      </c>
      <c r="Y3" s="24" t="s">
        <v>751</v>
      </c>
      <c r="Z3" s="24" t="s">
        <v>755</v>
      </c>
      <c r="AA3" s="24" t="s">
        <v>759</v>
      </c>
      <c r="AB3" s="24" t="s">
        <v>764</v>
      </c>
      <c r="AC3" s="24" t="s">
        <v>773</v>
      </c>
      <c r="AD3" s="24" t="s">
        <v>777</v>
      </c>
      <c r="AE3" s="24" t="s">
        <v>781</v>
      </c>
      <c r="AF3" s="24" t="s">
        <v>785</v>
      </c>
      <c r="AG3" s="24" t="s">
        <v>788</v>
      </c>
      <c r="AH3" s="24" t="s">
        <v>791</v>
      </c>
      <c r="AI3" s="24" t="s">
        <v>794</v>
      </c>
    </row>
    <row r="4" spans="2:35" x14ac:dyDescent="0.25">
      <c r="B4" s="24" t="s">
        <v>646</v>
      </c>
      <c r="C4" s="24" t="s">
        <v>651</v>
      </c>
      <c r="D4" s="24" t="s">
        <v>655</v>
      </c>
      <c r="E4" s="24" t="s">
        <v>660</v>
      </c>
      <c r="F4" s="24" t="s">
        <v>664</v>
      </c>
      <c r="G4" s="24" t="s">
        <v>675</v>
      </c>
      <c r="H4" s="24" t="s">
        <v>668</v>
      </c>
      <c r="I4" s="24"/>
      <c r="J4" s="24" t="s">
        <v>682</v>
      </c>
      <c r="K4" s="24" t="s">
        <v>686</v>
      </c>
      <c r="L4" s="24" t="s">
        <v>690</v>
      </c>
      <c r="M4" s="24" t="s">
        <v>694</v>
      </c>
      <c r="N4" s="24" t="s">
        <v>698</v>
      </c>
      <c r="O4" s="24" t="s">
        <v>702</v>
      </c>
      <c r="P4" s="24" t="s">
        <v>706</v>
      </c>
      <c r="Q4" s="24" t="s">
        <v>710</v>
      </c>
      <c r="R4" s="24" t="s">
        <v>715</v>
      </c>
      <c r="S4" s="24"/>
      <c r="T4" s="24" t="s">
        <v>723</v>
      </c>
      <c r="U4" s="24" t="s">
        <v>727</v>
      </c>
      <c r="V4" s="24" t="s">
        <v>731</v>
      </c>
      <c r="W4" s="24" t="s">
        <v>740</v>
      </c>
      <c r="X4" s="24" t="s">
        <v>745</v>
      </c>
      <c r="Y4" s="24" t="s">
        <v>752</v>
      </c>
      <c r="Z4" s="24" t="s">
        <v>756</v>
      </c>
      <c r="AA4" s="24" t="s">
        <v>760</v>
      </c>
      <c r="AB4" s="24" t="s">
        <v>765</v>
      </c>
      <c r="AC4" s="24" t="s">
        <v>774</v>
      </c>
      <c r="AD4" s="24" t="s">
        <v>778</v>
      </c>
      <c r="AE4" s="24" t="s">
        <v>782</v>
      </c>
      <c r="AF4" s="24"/>
      <c r="AG4" s="24"/>
      <c r="AH4" s="24"/>
      <c r="AI4" s="24" t="s">
        <v>795</v>
      </c>
    </row>
    <row r="5" spans="2:35" x14ac:dyDescent="0.25">
      <c r="B5" s="24" t="s">
        <v>647</v>
      </c>
      <c r="D5" s="24" t="s">
        <v>656</v>
      </c>
      <c r="E5" s="24"/>
      <c r="F5" s="24" t="s">
        <v>665</v>
      </c>
      <c r="G5" s="24"/>
      <c r="H5" s="24" t="s">
        <v>669</v>
      </c>
      <c r="I5" s="24"/>
      <c r="J5" s="24"/>
      <c r="K5" s="24"/>
      <c r="L5" s="24"/>
      <c r="M5" s="24"/>
      <c r="N5" s="24"/>
      <c r="O5" s="24"/>
      <c r="P5" s="24"/>
      <c r="Q5" s="24" t="s">
        <v>711</v>
      </c>
      <c r="R5" s="24" t="s">
        <v>716</v>
      </c>
      <c r="S5" s="24"/>
      <c r="T5" s="24"/>
      <c r="U5" s="24"/>
      <c r="V5" s="24" t="s">
        <v>732</v>
      </c>
      <c r="W5" s="24" t="s">
        <v>741</v>
      </c>
      <c r="X5" s="24" t="s">
        <v>746</v>
      </c>
      <c r="Y5" s="24"/>
      <c r="Z5" s="24"/>
      <c r="AA5" s="24" t="s">
        <v>761</v>
      </c>
      <c r="AB5" s="24" t="s">
        <v>766</v>
      </c>
      <c r="AC5" s="24"/>
      <c r="AD5" s="24"/>
      <c r="AE5" s="24"/>
      <c r="AF5" s="24"/>
      <c r="AG5" s="24"/>
      <c r="AH5" s="24"/>
      <c r="AI5" s="24"/>
    </row>
    <row r="6" spans="2:35" x14ac:dyDescent="0.25">
      <c r="B6" s="24"/>
      <c r="D6" s="24"/>
      <c r="E6" s="24"/>
      <c r="F6" s="24"/>
      <c r="G6" s="24"/>
      <c r="H6" s="24" t="s">
        <v>670</v>
      </c>
      <c r="I6" s="24"/>
      <c r="J6" s="24"/>
      <c r="K6" s="24"/>
      <c r="L6" s="24"/>
      <c r="M6" s="24"/>
      <c r="N6" s="24"/>
      <c r="O6" s="24"/>
      <c r="P6" s="24"/>
      <c r="Q6" s="24"/>
      <c r="R6" s="24"/>
      <c r="S6" s="24"/>
      <c r="T6" s="24"/>
      <c r="U6" s="24"/>
      <c r="V6" s="24" t="s">
        <v>733</v>
      </c>
      <c r="W6" s="24"/>
      <c r="X6" s="24" t="s">
        <v>747</v>
      </c>
      <c r="Y6" s="24"/>
      <c r="Z6" s="24"/>
      <c r="AA6" s="24"/>
      <c r="AB6" s="24" t="s">
        <v>767</v>
      </c>
      <c r="AC6" s="24"/>
      <c r="AD6" s="24"/>
      <c r="AE6" s="24"/>
      <c r="AF6" s="24"/>
      <c r="AG6" s="24"/>
      <c r="AH6" s="24"/>
      <c r="AI6" s="24"/>
    </row>
    <row r="7" spans="2:35" x14ac:dyDescent="0.25">
      <c r="B7" s="24"/>
      <c r="D7" s="24"/>
      <c r="E7" s="24"/>
      <c r="F7" s="24"/>
      <c r="G7" s="24"/>
      <c r="H7" s="24"/>
      <c r="I7" s="24"/>
      <c r="J7" s="24"/>
      <c r="K7" s="24"/>
      <c r="L7" s="24"/>
      <c r="M7" s="24"/>
      <c r="N7" s="24"/>
      <c r="O7" s="24"/>
      <c r="P7" s="24"/>
      <c r="Q7" s="24"/>
      <c r="R7" s="24"/>
      <c r="S7" s="24"/>
      <c r="T7" s="24"/>
      <c r="U7" s="24"/>
      <c r="V7" s="24" t="s">
        <v>734</v>
      </c>
      <c r="W7" s="24"/>
      <c r="X7" s="24" t="s">
        <v>748</v>
      </c>
      <c r="Y7" s="24"/>
      <c r="Z7" s="24"/>
      <c r="AA7" s="24"/>
      <c r="AB7" s="24" t="s">
        <v>768</v>
      </c>
      <c r="AC7" s="24"/>
      <c r="AD7" s="24"/>
      <c r="AE7" s="24"/>
      <c r="AF7" s="24"/>
      <c r="AG7" s="24"/>
      <c r="AH7" s="24"/>
      <c r="AI7" s="24"/>
    </row>
    <row r="8" spans="2:35" x14ac:dyDescent="0.25">
      <c r="B8" s="24"/>
      <c r="D8" s="24"/>
      <c r="E8" s="24"/>
      <c r="F8" s="24"/>
      <c r="G8" s="24"/>
      <c r="H8" s="24"/>
      <c r="I8" s="24"/>
      <c r="J8" s="24"/>
      <c r="K8" s="24"/>
      <c r="L8" s="24"/>
      <c r="M8" s="24"/>
      <c r="N8" s="24"/>
      <c r="O8" s="24"/>
      <c r="P8" s="24"/>
      <c r="Q8" s="24"/>
      <c r="R8" s="24"/>
      <c r="S8" s="24"/>
      <c r="T8" s="24"/>
      <c r="U8" s="24"/>
      <c r="V8" s="24" t="s">
        <v>735</v>
      </c>
      <c r="W8" s="24"/>
      <c r="X8" s="24"/>
      <c r="Y8" s="24"/>
      <c r="Z8" s="24"/>
      <c r="AA8" s="24"/>
      <c r="AB8" s="24" t="s">
        <v>769</v>
      </c>
      <c r="AC8" s="24"/>
      <c r="AD8" s="24"/>
      <c r="AE8" s="24"/>
      <c r="AF8" s="24"/>
      <c r="AG8" s="24"/>
      <c r="AH8" s="24"/>
      <c r="AI8" s="24"/>
    </row>
    <row r="9" spans="2:35" x14ac:dyDescent="0.25">
      <c r="B9" s="24"/>
      <c r="D9" s="24"/>
      <c r="E9" s="24"/>
      <c r="F9" s="24"/>
      <c r="G9" s="24"/>
      <c r="H9" s="24"/>
      <c r="I9" s="24"/>
      <c r="J9" s="24"/>
      <c r="K9" s="24"/>
      <c r="L9" s="24"/>
      <c r="M9" s="24"/>
      <c r="N9" s="24"/>
      <c r="O9" s="24"/>
      <c r="P9" s="24"/>
      <c r="Q9" s="24"/>
      <c r="R9" s="24"/>
      <c r="S9" s="24"/>
      <c r="T9" s="24"/>
      <c r="U9" s="24"/>
      <c r="V9" s="24" t="s">
        <v>736</v>
      </c>
      <c r="W9" s="24"/>
      <c r="X9" s="24"/>
      <c r="Y9" s="24"/>
      <c r="Z9" s="24"/>
      <c r="AA9" s="24"/>
      <c r="AB9" s="24" t="s">
        <v>770</v>
      </c>
      <c r="AC9" s="24"/>
      <c r="AD9" s="24"/>
      <c r="AE9" s="24"/>
      <c r="AF9" s="24"/>
      <c r="AG9" s="24"/>
      <c r="AH9" s="24"/>
      <c r="AI9" s="24"/>
    </row>
    <row r="10" spans="2:35" x14ac:dyDescent="0.25">
      <c r="B10" s="24"/>
      <c r="D10" s="24"/>
      <c r="E10" s="24"/>
      <c r="F10" s="24"/>
      <c r="G10" s="24"/>
      <c r="H10" s="24"/>
      <c r="I10" s="24"/>
      <c r="J10" s="24"/>
      <c r="K10" s="24"/>
      <c r="L10" s="24"/>
      <c r="M10" s="24"/>
      <c r="N10" s="24"/>
      <c r="O10" s="24"/>
      <c r="P10" s="24"/>
      <c r="Q10" s="24"/>
      <c r="R10" s="24"/>
      <c r="S10" s="24"/>
      <c r="T10" s="24"/>
      <c r="U10" s="24"/>
      <c r="V10" s="24"/>
      <c r="W10" s="24"/>
      <c r="X10" s="24"/>
      <c r="Y10" s="24"/>
      <c r="Z10" s="24"/>
      <c r="AA10" s="24"/>
      <c r="AE10" s="24"/>
    </row>
    <row r="17" spans="2:2" x14ac:dyDescent="0.25">
      <c r="B17" s="57" t="s">
        <v>642</v>
      </c>
    </row>
  </sheetData>
  <sheetProtection sheet="1" objects="1" scenarios="1"/>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2"/>
  <sheetViews>
    <sheetView workbookViewId="0">
      <selection activeCell="B8" sqref="B8:D8"/>
    </sheetView>
  </sheetViews>
  <sheetFormatPr defaultRowHeight="13.2" x14ac:dyDescent="0.25"/>
  <cols>
    <col min="3" max="3" width="9.44140625" customWidth="1"/>
    <col min="4" max="4" width="32.88671875" bestFit="1" customWidth="1"/>
    <col min="5" max="5" width="93.21875" customWidth="1"/>
  </cols>
  <sheetData>
    <row r="2" spans="2:5" x14ac:dyDescent="0.25">
      <c r="B2" s="243" t="s">
        <v>1720</v>
      </c>
      <c r="C2" s="244"/>
      <c r="D2" s="245"/>
      <c r="E2" s="52" t="s">
        <v>1721</v>
      </c>
    </row>
    <row r="3" spans="2:5" x14ac:dyDescent="0.25">
      <c r="B3" s="209" t="s">
        <v>1702</v>
      </c>
      <c r="C3" s="209" t="s">
        <v>107</v>
      </c>
      <c r="D3" s="209" t="s">
        <v>69</v>
      </c>
      <c r="E3" s="217" t="s">
        <v>1724</v>
      </c>
    </row>
    <row r="4" spans="2:5" x14ac:dyDescent="0.25">
      <c r="B4" s="211" t="s">
        <v>1703</v>
      </c>
      <c r="C4" s="42">
        <v>0.79</v>
      </c>
      <c r="D4" s="17" t="s">
        <v>1704</v>
      </c>
      <c r="E4" s="210" t="s">
        <v>1722</v>
      </c>
    </row>
    <row r="5" spans="2:5" x14ac:dyDescent="0.25">
      <c r="B5" s="212" t="s">
        <v>1699</v>
      </c>
      <c r="C5" s="42">
        <v>4.2000000000000003E-2</v>
      </c>
      <c r="D5" s="1" t="s">
        <v>1402</v>
      </c>
      <c r="E5" s="210" t="s">
        <v>1723</v>
      </c>
    </row>
    <row r="6" spans="2:5" x14ac:dyDescent="0.25">
      <c r="B6" s="212" t="s">
        <v>1700</v>
      </c>
      <c r="C6" s="215">
        <f>((C4-C5-0.002)*46.214)/1000+1</f>
        <v>1.034475644</v>
      </c>
      <c r="D6" s="1" t="s">
        <v>1701</v>
      </c>
    </row>
    <row r="8" spans="2:5" x14ac:dyDescent="0.25">
      <c r="B8" s="243" t="s">
        <v>1719</v>
      </c>
      <c r="C8" s="244"/>
      <c r="D8" s="245"/>
      <c r="E8" s="52" t="s">
        <v>1721</v>
      </c>
    </row>
    <row r="9" spans="2:5" x14ac:dyDescent="0.25">
      <c r="B9" s="205" t="s">
        <v>1702</v>
      </c>
      <c r="C9" s="205" t="s">
        <v>107</v>
      </c>
      <c r="D9" s="205" t="s">
        <v>69</v>
      </c>
      <c r="E9" s="24" t="s">
        <v>1725</v>
      </c>
    </row>
    <row r="10" spans="2:5" x14ac:dyDescent="0.25">
      <c r="B10" s="207" t="s">
        <v>1703</v>
      </c>
      <c r="C10" s="42">
        <v>0.79</v>
      </c>
      <c r="D10" s="17" t="s">
        <v>1704</v>
      </c>
    </row>
    <row r="11" spans="2:5" x14ac:dyDescent="0.25">
      <c r="B11" s="208"/>
      <c r="C11" s="218"/>
      <c r="D11" s="1"/>
    </row>
    <row r="12" spans="2:5" x14ac:dyDescent="0.25">
      <c r="B12" s="208" t="s">
        <v>1700</v>
      </c>
      <c r="C12" s="215">
        <f>((C10)*46.214)/1000+1</f>
        <v>1.03650906</v>
      </c>
      <c r="D12" s="1" t="s">
        <v>1701</v>
      </c>
    </row>
  </sheetData>
  <sheetProtection sheet="1" objects="1" scenarios="1"/>
  <mergeCells count="2">
    <mergeCell ref="B8:D8"/>
    <mergeCell ref="B2:D2"/>
  </mergeCells>
  <hyperlinks>
    <hyperlink ref="E4" r:id="rId1"/>
    <hyperlink ref="E3" r:id="rId2"/>
    <hyperlink ref="E5" r:id="rId3"/>
  </hyperlinks>
  <pageMargins left="0.7" right="0.7" top="0.75" bottom="0.75" header="0.3" footer="0.3"/>
  <pageSetup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116" bestFit="1" customWidth="1"/>
    <col min="8" max="8" width="13.6640625" customWidth="1"/>
    <col min="12" max="12" width="32.88671875" bestFit="1" customWidth="1"/>
  </cols>
  <sheetData>
    <row r="1" spans="1:8" x14ac:dyDescent="0.25">
      <c r="A1" s="370" t="s">
        <v>80</v>
      </c>
      <c r="B1" s="370"/>
      <c r="C1" s="370"/>
      <c r="D1" s="370"/>
    </row>
    <row r="2" spans="1:8" x14ac:dyDescent="0.25">
      <c r="A2" s="20" t="s">
        <v>78</v>
      </c>
      <c r="B2" s="3"/>
      <c r="C2" s="23" t="s">
        <v>81</v>
      </c>
      <c r="D2" s="3" t="s">
        <v>82</v>
      </c>
      <c r="F2" s="114" t="s">
        <v>1256</v>
      </c>
      <c r="G2" s="116">
        <v>0.45359237000000002</v>
      </c>
    </row>
    <row r="3" spans="1:8" x14ac:dyDescent="0.25">
      <c r="A3" s="100">
        <v>8.73</v>
      </c>
      <c r="B3" s="19" t="s">
        <v>0</v>
      </c>
      <c r="C3" s="22">
        <f>A3*0.8125</f>
        <v>7.0931250000000006</v>
      </c>
      <c r="D3" s="22">
        <f>A3*0.6875</f>
        <v>6.0018750000000001</v>
      </c>
      <c r="F3" s="55" t="s">
        <v>1257</v>
      </c>
      <c r="G3" s="116">
        <v>2.20462262185</v>
      </c>
    </row>
    <row r="4" spans="1:8" ht="26.4" x14ac:dyDescent="0.25">
      <c r="A4" s="20" t="s">
        <v>79</v>
      </c>
      <c r="B4" s="3"/>
      <c r="C4" s="23" t="s">
        <v>83</v>
      </c>
      <c r="D4" s="3" t="s">
        <v>84</v>
      </c>
      <c r="F4" s="114" t="s">
        <v>1258</v>
      </c>
      <c r="G4" s="116">
        <v>1.0566882049699999</v>
      </c>
    </row>
    <row r="5" spans="1:8" x14ac:dyDescent="0.25">
      <c r="A5" s="100">
        <v>7.57</v>
      </c>
      <c r="B5" s="19" t="s">
        <v>0</v>
      </c>
      <c r="C5" s="22">
        <f>A5*0.937</f>
        <v>7.093090000000001</v>
      </c>
      <c r="D5" s="22">
        <f>A5*0.7929</f>
        <v>6.0022530000000005</v>
      </c>
      <c r="F5" s="55" t="s">
        <v>1259</v>
      </c>
      <c r="G5" s="116">
        <v>0.94635294999999997</v>
      </c>
    </row>
    <row r="6" spans="1:8" x14ac:dyDescent="0.25">
      <c r="F6" s="115" t="s">
        <v>1260</v>
      </c>
      <c r="G6" s="116">
        <v>2.0863511218233199</v>
      </c>
    </row>
    <row r="7" spans="1:8" x14ac:dyDescent="0.25">
      <c r="A7" s="370" t="s">
        <v>77</v>
      </c>
      <c r="B7" s="370"/>
      <c r="C7" s="370"/>
      <c r="D7" s="370"/>
      <c r="F7" s="120" t="s">
        <v>1261</v>
      </c>
      <c r="G7" s="117">
        <v>154</v>
      </c>
      <c r="H7" s="118">
        <f>5/9*(G7-32)</f>
        <v>67.777777777777786</v>
      </c>
    </row>
    <row r="8" spans="1:8" x14ac:dyDescent="0.25">
      <c r="A8" s="21" t="s">
        <v>81</v>
      </c>
      <c r="B8" s="3"/>
      <c r="C8" s="377" t="s">
        <v>78</v>
      </c>
      <c r="D8" s="378"/>
      <c r="F8" s="115" t="s">
        <v>1262</v>
      </c>
      <c r="G8" s="116">
        <v>28.349519999999998</v>
      </c>
    </row>
    <row r="9" spans="1:8" x14ac:dyDescent="0.25">
      <c r="A9" s="100">
        <v>6.6</v>
      </c>
      <c r="B9" s="19" t="s">
        <v>0</v>
      </c>
      <c r="C9" s="375">
        <f>A9/0.8125</f>
        <v>8.1230769230769226</v>
      </c>
      <c r="D9" s="376"/>
      <c r="F9" s="120" t="s">
        <v>1263</v>
      </c>
      <c r="G9" s="116">
        <v>0.26417205124199999</v>
      </c>
    </row>
    <row r="10" spans="1:8" ht="26.4" x14ac:dyDescent="0.25">
      <c r="A10" s="21" t="s">
        <v>82</v>
      </c>
      <c r="B10" s="3"/>
      <c r="C10" s="377" t="s">
        <v>78</v>
      </c>
      <c r="D10" s="378"/>
      <c r="F10" s="119" t="s">
        <v>1265</v>
      </c>
      <c r="G10" s="116">
        <v>4.5100000000000001E-4</v>
      </c>
    </row>
    <row r="11" spans="1:8" ht="26.4" x14ac:dyDescent="0.25">
      <c r="A11" s="100">
        <v>6</v>
      </c>
      <c r="B11" s="19" t="s">
        <v>0</v>
      </c>
      <c r="C11" s="375">
        <f>A11/0.6875</f>
        <v>8.7272727272727266</v>
      </c>
      <c r="D11" s="376"/>
      <c r="F11" s="119" t="s">
        <v>1264</v>
      </c>
      <c r="G11" s="116">
        <f>G10*17.22</f>
        <v>7.7662199999999999E-3</v>
      </c>
    </row>
    <row r="12" spans="1:8" x14ac:dyDescent="0.25">
      <c r="A12" s="21" t="s">
        <v>83</v>
      </c>
      <c r="B12" s="3"/>
      <c r="C12" s="377" t="s">
        <v>78</v>
      </c>
      <c r="D12" s="378"/>
    </row>
    <row r="13" spans="1:8" x14ac:dyDescent="0.25">
      <c r="A13" s="100">
        <v>6</v>
      </c>
      <c r="B13" s="19" t="s">
        <v>0</v>
      </c>
      <c r="C13" s="375">
        <f>A13/0.937</f>
        <v>6.4034151547491991</v>
      </c>
      <c r="D13" s="376"/>
      <c r="F13" s="58" t="s">
        <v>1390</v>
      </c>
      <c r="G13" s="180" t="s">
        <v>91</v>
      </c>
    </row>
    <row r="14" spans="1:8" x14ac:dyDescent="0.25">
      <c r="A14" s="21" t="s">
        <v>84</v>
      </c>
      <c r="B14" s="3"/>
      <c r="C14" s="377" t="s">
        <v>78</v>
      </c>
      <c r="D14" s="378"/>
      <c r="G14" s="180">
        <v>1.6</v>
      </c>
      <c r="H14" s="24" t="s">
        <v>1391</v>
      </c>
    </row>
    <row r="15" spans="1:8" x14ac:dyDescent="0.25">
      <c r="A15" s="100">
        <v>6</v>
      </c>
      <c r="B15" s="19" t="s">
        <v>0</v>
      </c>
      <c r="C15" s="375">
        <f>A15/0.7929</f>
        <v>7.567158531971244</v>
      </c>
      <c r="D15" s="376"/>
      <c r="G15" s="116">
        <v>0.38</v>
      </c>
      <c r="H15" s="24" t="s">
        <v>1392</v>
      </c>
    </row>
    <row r="16" spans="1:8" x14ac:dyDescent="0.25">
      <c r="G16" s="180" t="s">
        <v>1393</v>
      </c>
    </row>
    <row r="17" spans="1:8" x14ac:dyDescent="0.25">
      <c r="A17" s="24" t="s">
        <v>86</v>
      </c>
      <c r="G17" s="116">
        <v>4.18</v>
      </c>
      <c r="H17" s="24" t="s">
        <v>1391</v>
      </c>
    </row>
    <row r="18" spans="1:8" x14ac:dyDescent="0.25">
      <c r="A18" s="24" t="s">
        <v>85</v>
      </c>
      <c r="G18" s="116">
        <v>0.99904397700000003</v>
      </c>
      <c r="H18" s="24" t="s">
        <v>1392</v>
      </c>
    </row>
    <row r="19" spans="1:8" x14ac:dyDescent="0.25">
      <c r="A19" s="24" t="s">
        <v>87</v>
      </c>
    </row>
    <row r="20" spans="1:8" x14ac:dyDescent="0.25">
      <c r="A20" s="24" t="s">
        <v>88</v>
      </c>
    </row>
    <row r="23" spans="1:8" x14ac:dyDescent="0.25">
      <c r="B23" s="24"/>
    </row>
  </sheetData>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J11" sqref="J11"/>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370" t="s">
        <v>13</v>
      </c>
      <c r="D1" s="370"/>
      <c r="E1" s="370"/>
    </row>
    <row r="2" spans="1:8" x14ac:dyDescent="0.25">
      <c r="C2" s="1" t="s">
        <v>2</v>
      </c>
      <c r="D2" s="10">
        <v>12.0107</v>
      </c>
      <c r="E2" s="2" t="s">
        <v>1</v>
      </c>
    </row>
    <row r="3" spans="1:8" x14ac:dyDescent="0.25">
      <c r="C3" s="1" t="s">
        <v>3</v>
      </c>
      <c r="D3" s="10">
        <v>15.9994</v>
      </c>
      <c r="E3" s="2" t="s">
        <v>1</v>
      </c>
    </row>
    <row r="4" spans="1:8" x14ac:dyDescent="0.25">
      <c r="C4" s="1" t="s">
        <v>4</v>
      </c>
      <c r="D4" s="10">
        <v>1.0079400000000001</v>
      </c>
      <c r="E4" s="2" t="s">
        <v>1</v>
      </c>
    </row>
    <row r="5" spans="1:8" ht="23.25" customHeight="1" x14ac:dyDescent="0.25">
      <c r="C5" s="1" t="s">
        <v>5</v>
      </c>
      <c r="D5" s="11">
        <f>6.022*10^23</f>
        <v>6.0219999999999996E+23</v>
      </c>
      <c r="E5" s="11"/>
    </row>
    <row r="6" spans="1:8" ht="15.6" x14ac:dyDescent="0.25">
      <c r="C6" s="1" t="s">
        <v>8</v>
      </c>
      <c r="D6" s="12">
        <v>8.20578E-2</v>
      </c>
      <c r="E6" s="13" t="s">
        <v>9</v>
      </c>
    </row>
    <row r="7" spans="1:8" x14ac:dyDescent="0.25">
      <c r="C7" s="1" t="s">
        <v>10</v>
      </c>
      <c r="D7" s="14">
        <v>293.14999999999998</v>
      </c>
      <c r="E7" s="2" t="s">
        <v>14</v>
      </c>
    </row>
    <row r="8" spans="1:8" x14ac:dyDescent="0.25">
      <c r="C8" s="1" t="s">
        <v>11</v>
      </c>
      <c r="D8" s="12">
        <v>1</v>
      </c>
      <c r="E8" s="2" t="s">
        <v>12</v>
      </c>
    </row>
    <row r="11" spans="1:8" ht="15.6" x14ac:dyDescent="0.35">
      <c r="A11" s="379" t="s">
        <v>1737</v>
      </c>
      <c r="B11" s="379"/>
      <c r="C11" s="379"/>
      <c r="D11" s="379"/>
      <c r="E11" s="379"/>
      <c r="F11" s="379"/>
      <c r="G11" s="379"/>
      <c r="H11" s="379"/>
    </row>
    <row r="12" spans="1:8" ht="20.25" customHeight="1" x14ac:dyDescent="0.25">
      <c r="C12" s="4" t="s">
        <v>44</v>
      </c>
      <c r="D12" s="4"/>
      <c r="E12" s="4" t="s">
        <v>7</v>
      </c>
      <c r="G12" t="s">
        <v>45</v>
      </c>
    </row>
    <row r="13" spans="1:8" ht="24" customHeight="1" x14ac:dyDescent="0.25">
      <c r="C13" s="9" t="s">
        <v>40</v>
      </c>
      <c r="D13" s="9" t="s">
        <v>43</v>
      </c>
      <c r="E13" s="9" t="s">
        <v>41</v>
      </c>
      <c r="G13" s="9" t="s">
        <v>42</v>
      </c>
    </row>
    <row r="14" spans="1:8" ht="15" x14ac:dyDescent="0.25">
      <c r="C14" s="4">
        <f>D2*6+D4*12+D3*6</f>
        <v>180.15588</v>
      </c>
      <c r="D14" s="9" t="s">
        <v>43</v>
      </c>
      <c r="E14" s="4">
        <f>2*(D2+D4*3+D2+D4*2+D3+D4)</f>
        <v>92.136879999999991</v>
      </c>
      <c r="F14" s="4" t="s">
        <v>6</v>
      </c>
      <c r="G14" s="4">
        <f>2*(D2+D3*2)</f>
        <v>88.019000000000005</v>
      </c>
      <c r="H14" s="4" t="s">
        <v>1</v>
      </c>
    </row>
    <row r="17" spans="1:7" x14ac:dyDescent="0.25">
      <c r="A17" s="24" t="s">
        <v>1731</v>
      </c>
      <c r="C17" s="55" t="s">
        <v>1732</v>
      </c>
      <c r="E17" s="220" t="s">
        <v>7</v>
      </c>
      <c r="G17" t="s">
        <v>45</v>
      </c>
    </row>
    <row r="18" spans="1:7" ht="18.600000000000001" x14ac:dyDescent="0.25">
      <c r="A18" s="9" t="s">
        <v>1733</v>
      </c>
      <c r="B18" s="9" t="s">
        <v>6</v>
      </c>
      <c r="C18" s="9" t="s">
        <v>1734</v>
      </c>
      <c r="D18" s="9" t="s">
        <v>43</v>
      </c>
      <c r="E18" s="9" t="s">
        <v>1735</v>
      </c>
      <c r="F18" s="9" t="s">
        <v>6</v>
      </c>
      <c r="G18" s="9" t="s">
        <v>1736</v>
      </c>
    </row>
    <row r="19" spans="1:7" x14ac:dyDescent="0.25">
      <c r="A19" s="220">
        <f>D4*2+D3</f>
        <v>18.015280000000001</v>
      </c>
      <c r="C19" s="220">
        <f>D2*12+D4*22+D3*11</f>
        <v>342.29647999999997</v>
      </c>
      <c r="E19" s="220">
        <f>4*(D2*2+D4*5+D3+D4)</f>
        <v>184.27375999999998</v>
      </c>
      <c r="G19" s="220">
        <f>4*(D2+D3*2)</f>
        <v>176.03800000000001</v>
      </c>
    </row>
  </sheetData>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tabSelected="1" zoomScaleNormal="100" workbookViewId="0">
      <selection activeCell="A30" sqref="A30:F34"/>
    </sheetView>
  </sheetViews>
  <sheetFormatPr defaultRowHeight="13.2" x14ac:dyDescent="0.25"/>
  <cols>
    <col min="1" max="1" width="13.5546875" customWidth="1"/>
    <col min="2" max="2" width="12.44140625" customWidth="1"/>
    <col min="3" max="3" width="8.21875" customWidth="1"/>
    <col min="4" max="4" width="8.77734375" customWidth="1"/>
    <col min="5" max="5" width="7.109375" customWidth="1"/>
    <col min="6" max="6" width="7.5546875" customWidth="1"/>
    <col min="7" max="7" width="2.5546875" customWidth="1"/>
    <col min="8" max="8" width="9.5546875" customWidth="1"/>
    <col min="9" max="9" width="8.109375" customWidth="1"/>
    <col min="10" max="10" width="7" customWidth="1"/>
    <col min="11" max="11" width="8.33203125" customWidth="1"/>
    <col min="12" max="12" width="7.21875" customWidth="1"/>
    <col min="13" max="13" width="6.88671875" customWidth="1"/>
    <col min="14" max="14" width="6.6640625" customWidth="1"/>
    <col min="15" max="15" width="5" customWidth="1"/>
    <col min="16" max="16" width="1.6640625" customWidth="1"/>
    <col min="17" max="17" width="7.77734375" customWidth="1"/>
    <col min="18" max="18" width="8.44140625" customWidth="1"/>
    <col min="19" max="19" width="10.109375" customWidth="1"/>
    <col min="20" max="20" width="9.5546875" customWidth="1"/>
    <col min="21" max="21" width="10.5546875" customWidth="1"/>
    <col min="22" max="22" width="6.21875" customWidth="1"/>
    <col min="23" max="23" width="6.5546875" customWidth="1"/>
  </cols>
  <sheetData>
    <row r="1" spans="1:22" x14ac:dyDescent="0.25">
      <c r="A1" s="54" t="s">
        <v>169</v>
      </c>
      <c r="B1" s="267" t="s">
        <v>728</v>
      </c>
      <c r="C1" s="267"/>
      <c r="D1" s="267"/>
      <c r="E1" s="267"/>
      <c r="G1" s="54" t="s">
        <v>135</v>
      </c>
      <c r="H1" s="267" t="s">
        <v>149</v>
      </c>
      <c r="I1" s="267"/>
      <c r="J1" s="267"/>
      <c r="K1" s="281" t="s">
        <v>164</v>
      </c>
      <c r="L1" s="282"/>
      <c r="M1" s="282"/>
      <c r="N1" s="282"/>
      <c r="O1" s="282"/>
      <c r="P1" s="282"/>
      <c r="Q1" s="283"/>
    </row>
    <row r="2" spans="1:22" ht="13.2" customHeight="1" x14ac:dyDescent="0.25">
      <c r="A2" s="59" t="s">
        <v>134</v>
      </c>
      <c r="B2" s="268" t="s">
        <v>729</v>
      </c>
      <c r="C2" s="268"/>
      <c r="D2" s="268"/>
      <c r="E2" s="268"/>
      <c r="G2" s="54" t="s">
        <v>136</v>
      </c>
      <c r="H2" s="269">
        <v>43141</v>
      </c>
      <c r="I2" s="269"/>
      <c r="J2" s="269"/>
      <c r="K2" s="284" t="s">
        <v>163</v>
      </c>
      <c r="L2" s="285"/>
      <c r="M2" s="285"/>
      <c r="N2" s="285"/>
      <c r="O2" s="285"/>
      <c r="P2" s="285"/>
      <c r="Q2" s="286"/>
    </row>
    <row r="4" spans="1:22" x14ac:dyDescent="0.25">
      <c r="A4" s="243" t="s">
        <v>1191</v>
      </c>
      <c r="B4" s="244"/>
      <c r="C4" s="244"/>
      <c r="D4" s="244"/>
      <c r="E4" s="244"/>
      <c r="F4" s="245"/>
      <c r="H4" s="243" t="s">
        <v>137</v>
      </c>
      <c r="I4" s="244"/>
      <c r="J4" s="244"/>
      <c r="K4" s="244"/>
      <c r="L4" s="244"/>
      <c r="M4" s="244"/>
      <c r="N4" s="244"/>
      <c r="O4" s="244"/>
      <c r="P4" s="244"/>
      <c r="Q4" s="245"/>
    </row>
    <row r="5" spans="1:22" ht="13.2" customHeight="1" x14ac:dyDescent="0.25">
      <c r="A5" s="270" t="s">
        <v>68</v>
      </c>
      <c r="B5" s="271"/>
      <c r="C5" s="271"/>
      <c r="D5" s="272"/>
      <c r="E5" s="196" t="s">
        <v>166</v>
      </c>
      <c r="F5" s="276" t="s">
        <v>1225</v>
      </c>
      <c r="H5" s="270" t="str">
        <f>'Hop Calcs'!D5</f>
        <v>Species</v>
      </c>
      <c r="I5" s="271"/>
      <c r="J5" s="271"/>
      <c r="K5" s="272"/>
      <c r="L5" s="277" t="str">
        <f>'Hop Calcs'!C5</f>
        <v>Type</v>
      </c>
      <c r="M5" s="277" t="str">
        <f>'Hop Calcs'!E5</f>
        <v>Alpha (%)</v>
      </c>
      <c r="N5" s="121" t="str">
        <f>'Hop Calcs'!F5</f>
        <v>Qty</v>
      </c>
      <c r="O5" s="287" t="s">
        <v>1228</v>
      </c>
      <c r="P5" s="271" t="str">
        <f>'Hop Calcs'!B5</f>
        <v>Time (min)</v>
      </c>
      <c r="Q5" s="272"/>
    </row>
    <row r="6" spans="1:22" x14ac:dyDescent="0.25">
      <c r="A6" s="273"/>
      <c r="B6" s="274"/>
      <c r="C6" s="274"/>
      <c r="D6" s="275"/>
      <c r="E6" s="122" t="str">
        <f>'Brewhouse Setup &amp; Calcs'!$B$6</f>
        <v>lb</v>
      </c>
      <c r="F6" s="277"/>
      <c r="G6" s="204"/>
      <c r="H6" s="270"/>
      <c r="I6" s="271"/>
      <c r="J6" s="271"/>
      <c r="K6" s="272"/>
      <c r="L6" s="278"/>
      <c r="M6" s="278"/>
      <c r="N6" s="122" t="str">
        <f>'Brewhouse Setup &amp; Calcs'!B7</f>
        <v>oz</v>
      </c>
      <c r="O6" s="288"/>
      <c r="P6" s="274"/>
      <c r="Q6" s="275"/>
    </row>
    <row r="7" spans="1:22" x14ac:dyDescent="0.25">
      <c r="A7" s="264" t="str">
        <f>IF(ISBLANK('Grain &amp; Sugar Calcs'!B5),"",'Grain &amp; Sugar Calcs'!B5)</f>
        <v>Pale Malt: Brewers Malt, 2-row (Briess)</v>
      </c>
      <c r="B7" s="265"/>
      <c r="C7" s="265"/>
      <c r="D7" s="266"/>
      <c r="E7" s="86">
        <f>IF(ISBLANK('Grain &amp; Sugar Calcs'!C5),"",'Grain &amp; Sugar Calcs'!C5)</f>
        <v>11</v>
      </c>
      <c r="F7" s="123">
        <f>IF('Grain &amp; Sugar Calcs'!D5=0,"",'Grain &amp; Sugar Calcs'!D5)</f>
        <v>0.81481481481481477</v>
      </c>
      <c r="H7" s="251" t="str">
        <f>IF('Hop Calcs'!D7=0,"",'Hop Calcs'!D7)</f>
        <v>Citra® (U.S.)</v>
      </c>
      <c r="I7" s="251"/>
      <c r="J7" s="251"/>
      <c r="K7" s="251"/>
      <c r="L7" s="195" t="str">
        <f>IF('Hop Calcs'!C7=0,"",'Hop Calcs'!C7)</f>
        <v>Pellet</v>
      </c>
      <c r="M7" s="77">
        <f>IF('Hop Calcs'!E7=0,"",'Hop Calcs'!E7)</f>
        <v>13</v>
      </c>
      <c r="N7" s="86">
        <f>IF('Hop Calcs'!F7=0,"",'Hop Calcs'!F7)</f>
        <v>0.5</v>
      </c>
      <c r="O7" s="77">
        <f>'Hop Calcs'!G7</f>
        <v>6.5</v>
      </c>
      <c r="P7" s="279" t="str">
        <f>IF(ISBLANK('Hop Calcs'!B7),"",'Hop Calcs'!B7)</f>
        <v>FWH</v>
      </c>
      <c r="Q7" s="280"/>
    </row>
    <row r="8" spans="1:22" x14ac:dyDescent="0.25">
      <c r="A8" s="251" t="str">
        <f>IF(ISBLANK('Grain &amp; Sugar Calcs'!B6),"",'Grain &amp; Sugar Calcs'!B6)</f>
        <v>Wheat Malt: Wheat Malt, Red (Briess)</v>
      </c>
      <c r="B8" s="251"/>
      <c r="C8" s="251"/>
      <c r="D8" s="251"/>
      <c r="E8" s="78">
        <f>IF(ISBLANK('Grain &amp; Sugar Calcs'!C6),"",'Grain &amp; Sugar Calcs'!C6)</f>
        <v>1</v>
      </c>
      <c r="F8" s="123">
        <f>IF('Grain &amp; Sugar Calcs'!D6=0,"",'Grain &amp; Sugar Calcs'!D6)</f>
        <v>7.407407407407407E-2</v>
      </c>
      <c r="H8" s="251" t="str">
        <f>IF('Hop Calcs'!D8=0,"",'Hop Calcs'!D8)</f>
        <v>Mosaic™</v>
      </c>
      <c r="I8" s="251"/>
      <c r="J8" s="251"/>
      <c r="K8" s="251"/>
      <c r="L8" s="195" t="str">
        <f>IF('Hop Calcs'!C8=0,"",'Hop Calcs'!C8)</f>
        <v>Pellet</v>
      </c>
      <c r="M8" s="77">
        <f>IF('Hop Calcs'!E8=0,"",'Hop Calcs'!E8)</f>
        <v>12.3</v>
      </c>
      <c r="N8" s="78">
        <f>IF('Hop Calcs'!F8=0,"",'Hop Calcs'!F8)</f>
        <v>0.5</v>
      </c>
      <c r="O8" s="77">
        <f>'Hop Calcs'!G8</f>
        <v>6.15</v>
      </c>
      <c r="P8" s="279" t="str">
        <f>IF(ISBLANK('Hop Calcs'!B8),"",'Hop Calcs'!B8)</f>
        <v>FWH</v>
      </c>
      <c r="Q8" s="280"/>
      <c r="U8" s="28"/>
      <c r="V8" s="28"/>
    </row>
    <row r="9" spans="1:22" x14ac:dyDescent="0.25">
      <c r="A9" s="251" t="str">
        <f>IF(ISBLANK('Grain &amp; Sugar Calcs'!B7),"",'Grain &amp; Sugar Calcs'!B7)</f>
        <v>Flaked Oats (Briess)</v>
      </c>
      <c r="B9" s="251"/>
      <c r="C9" s="251"/>
      <c r="D9" s="251"/>
      <c r="E9" s="78">
        <f>IF(ISBLANK('Grain &amp; Sugar Calcs'!C7),"",'Grain &amp; Sugar Calcs'!C7)</f>
        <v>1</v>
      </c>
      <c r="F9" s="123">
        <f>IF('Grain &amp; Sugar Calcs'!D7=0,"",'Grain &amp; Sugar Calcs'!D7)</f>
        <v>7.407407407407407E-2</v>
      </c>
      <c r="H9" s="251" t="str">
        <f>IF('Hop Calcs'!D9=0,"",'Hop Calcs'!D9)</f>
        <v>Citra® (U.S.)</v>
      </c>
      <c r="I9" s="251"/>
      <c r="J9" s="251"/>
      <c r="K9" s="251"/>
      <c r="L9" s="195" t="str">
        <f>IF('Hop Calcs'!C9=0,"",'Hop Calcs'!C9)</f>
        <v>Pellet</v>
      </c>
      <c r="M9" s="77">
        <f>IF('Hop Calcs'!E9=0,"",'Hop Calcs'!E9)</f>
        <v>13</v>
      </c>
      <c r="N9" s="78">
        <f>IF('Hop Calcs'!F9=0,"",'Hop Calcs'!F9)</f>
        <v>1.5</v>
      </c>
      <c r="O9" s="77">
        <f>'Hop Calcs'!G9</f>
        <v>19.5</v>
      </c>
      <c r="P9" s="279" t="str">
        <f>IF(ISBLANK('Hop Calcs'!B9),"",'Hop Calcs'!B9)</f>
        <v>Hop Stand</v>
      </c>
      <c r="Q9" s="280"/>
    </row>
    <row r="10" spans="1:22" s="28" customFormat="1" x14ac:dyDescent="0.25">
      <c r="A10" s="251" t="str">
        <f>IF(ISBLANK('Grain &amp; Sugar Calcs'!B8),"",'Grain &amp; Sugar Calcs'!B8)</f>
        <v>Rice Hulls</v>
      </c>
      <c r="B10" s="251"/>
      <c r="C10" s="251"/>
      <c r="D10" s="251"/>
      <c r="E10" s="78">
        <f>IF(ISBLANK('Grain &amp; Sugar Calcs'!C8),"",'Grain &amp; Sugar Calcs'!C8)</f>
        <v>0.5</v>
      </c>
      <c r="F10" s="123">
        <f>IF('Grain &amp; Sugar Calcs'!D8=0,"",'Grain &amp; Sugar Calcs'!D8)</f>
        <v>3.7037037037037035E-2</v>
      </c>
      <c r="H10" s="251" t="str">
        <f>IF('Hop Calcs'!D10=0,"",'Hop Calcs'!D10)</f>
        <v>Mosaic™</v>
      </c>
      <c r="I10" s="251"/>
      <c r="J10" s="251"/>
      <c r="K10" s="251"/>
      <c r="L10" s="195" t="str">
        <f>IF('Hop Calcs'!C10=0,"",'Hop Calcs'!C10)</f>
        <v>Pellet</v>
      </c>
      <c r="M10" s="77">
        <f>IF('Hop Calcs'!E10=0,"",'Hop Calcs'!E10)</f>
        <v>12.3</v>
      </c>
      <c r="N10" s="78">
        <f>IF('Hop Calcs'!F10=0,"",'Hop Calcs'!F10)</f>
        <v>1.5</v>
      </c>
      <c r="O10" s="77">
        <f>'Hop Calcs'!G10</f>
        <v>18.450000000000003</v>
      </c>
      <c r="P10" s="279" t="str">
        <f>IF(ISBLANK('Hop Calcs'!B10),"",'Hop Calcs'!B10)</f>
        <v>Hop Stand</v>
      </c>
      <c r="Q10" s="280"/>
      <c r="U10"/>
      <c r="V10"/>
    </row>
    <row r="11" spans="1:22" x14ac:dyDescent="0.25">
      <c r="A11" s="251" t="str">
        <f>IF(ISBLANK('Grain &amp; Sugar Calcs'!B9),"",'Grain &amp; Sugar Calcs'!B9)</f>
        <v/>
      </c>
      <c r="B11" s="251"/>
      <c r="C11" s="251"/>
      <c r="D11" s="251"/>
      <c r="E11" s="78" t="str">
        <f>IF(ISBLANK('Grain &amp; Sugar Calcs'!C9),"",'Grain &amp; Sugar Calcs'!C9)</f>
        <v/>
      </c>
      <c r="F11" s="123" t="str">
        <f>IF('Grain &amp; Sugar Calcs'!D9=0,"",'Grain &amp; Sugar Calcs'!D9)</f>
        <v/>
      </c>
      <c r="H11" s="251" t="str">
        <f>IF('Hop Calcs'!D11=0,"",'Hop Calcs'!D11)</f>
        <v>Citra® (U.S.)</v>
      </c>
      <c r="I11" s="251"/>
      <c r="J11" s="251"/>
      <c r="K11" s="251"/>
      <c r="L11" s="195" t="str">
        <f>IF('Hop Calcs'!C11=0,"",'Hop Calcs'!C11)</f>
        <v>Pellet</v>
      </c>
      <c r="M11" s="77">
        <f>IF('Hop Calcs'!E11=0,"",'Hop Calcs'!E11)</f>
        <v>13</v>
      </c>
      <c r="N11" s="78">
        <f>IF('Hop Calcs'!F11=0,"",'Hop Calcs'!F11)</f>
        <v>1</v>
      </c>
      <c r="O11" s="77">
        <f>'Hop Calcs'!G11</f>
        <v>13</v>
      </c>
      <c r="P11" s="279" t="str">
        <f>IF(ISBLANK('Hop Calcs'!B11),"",'Hop Calcs'!B11)</f>
        <v>Dry Hop</v>
      </c>
      <c r="Q11" s="280"/>
    </row>
    <row r="12" spans="1:22" x14ac:dyDescent="0.25">
      <c r="A12" s="251" t="str">
        <f>IF(ISBLANK('Grain &amp; Sugar Calcs'!B10),"",'Grain &amp; Sugar Calcs'!B10)</f>
        <v/>
      </c>
      <c r="B12" s="251"/>
      <c r="C12" s="251"/>
      <c r="D12" s="251"/>
      <c r="E12" s="78" t="str">
        <f>IF(ISBLANK('Grain &amp; Sugar Calcs'!C10),"",'Grain &amp; Sugar Calcs'!C10)</f>
        <v/>
      </c>
      <c r="F12" s="123" t="str">
        <f>IF('Grain &amp; Sugar Calcs'!D10=0,"",'Grain &amp; Sugar Calcs'!D10)</f>
        <v/>
      </c>
      <c r="H12" s="251" t="str">
        <f>IF('Hop Calcs'!D12=0,"",'Hop Calcs'!D12)</f>
        <v>Mosaic™</v>
      </c>
      <c r="I12" s="251"/>
      <c r="J12" s="251"/>
      <c r="K12" s="251"/>
      <c r="L12" s="195" t="str">
        <f>IF('Hop Calcs'!C12=0,"",'Hop Calcs'!C12)</f>
        <v>Pellet</v>
      </c>
      <c r="M12" s="76">
        <f>IF('Hop Calcs'!E12=0,"",'Hop Calcs'!E12)</f>
        <v>12.3</v>
      </c>
      <c r="N12" s="78">
        <f>IF('Hop Calcs'!F12=0,"",'Hop Calcs'!F12)</f>
        <v>1</v>
      </c>
      <c r="O12" s="77">
        <f>'Hop Calcs'!G12</f>
        <v>12.3</v>
      </c>
      <c r="P12" s="279" t="str">
        <f>IF(ISBLANK('Hop Calcs'!B12),"",'Hop Calcs'!B12)</f>
        <v>Dry Hop</v>
      </c>
      <c r="Q12" s="280"/>
    </row>
    <row r="13" spans="1:22" x14ac:dyDescent="0.25">
      <c r="A13" s="251" t="str">
        <f>IF(ISBLANK('Grain &amp; Sugar Calcs'!B11),"",'Grain &amp; Sugar Calcs'!B11)</f>
        <v/>
      </c>
      <c r="B13" s="251"/>
      <c r="C13" s="251"/>
      <c r="D13" s="251"/>
      <c r="E13" s="78" t="str">
        <f>IF(ISBLANK('Grain &amp; Sugar Calcs'!C11),"",'Grain &amp; Sugar Calcs'!C11)</f>
        <v/>
      </c>
      <c r="F13" s="123" t="str">
        <f>IF('Grain &amp; Sugar Calcs'!D11=0,"",'Grain &amp; Sugar Calcs'!D11)</f>
        <v/>
      </c>
      <c r="H13" s="251" t="str">
        <f>IF('Hop Calcs'!D13=0,"",'Hop Calcs'!D13)</f>
        <v/>
      </c>
      <c r="I13" s="251"/>
      <c r="J13" s="251"/>
      <c r="K13" s="251"/>
      <c r="L13" s="195" t="str">
        <f>IF('Hop Calcs'!C13=0,"",'Hop Calcs'!C13)</f>
        <v/>
      </c>
      <c r="M13" s="76" t="str">
        <f>IF('Hop Calcs'!E13=0,"",'Hop Calcs'!E13)</f>
        <v/>
      </c>
      <c r="N13" s="78" t="str">
        <f>IF('Hop Calcs'!F13=0,"",'Hop Calcs'!F13)</f>
        <v/>
      </c>
      <c r="O13" s="77" t="str">
        <f>'Hop Calcs'!G13</f>
        <v/>
      </c>
      <c r="P13" s="279" t="str">
        <f>IF(ISBLANK('Hop Calcs'!B13),"",'Hop Calcs'!B13)</f>
        <v/>
      </c>
      <c r="Q13" s="280"/>
    </row>
    <row r="14" spans="1:22" x14ac:dyDescent="0.25">
      <c r="A14" s="251" t="str">
        <f>IF(ISBLANK('Grain &amp; Sugar Calcs'!B12),"",'Grain &amp; Sugar Calcs'!B12)</f>
        <v/>
      </c>
      <c r="B14" s="251"/>
      <c r="C14" s="251"/>
      <c r="D14" s="251"/>
      <c r="E14" s="78" t="str">
        <f>IF(ISBLANK('Grain &amp; Sugar Calcs'!C12),"",'Grain &amp; Sugar Calcs'!C12)</f>
        <v/>
      </c>
      <c r="F14" s="123" t="str">
        <f>IF('Grain &amp; Sugar Calcs'!D12=0,"",'Grain &amp; Sugar Calcs'!D12)</f>
        <v/>
      </c>
      <c r="H14" s="251" t="str">
        <f>IF('Hop Calcs'!D14=0,"",'Hop Calcs'!D14)</f>
        <v/>
      </c>
      <c r="I14" s="251"/>
      <c r="J14" s="251"/>
      <c r="K14" s="251"/>
      <c r="L14" s="195" t="str">
        <f>IF('Hop Calcs'!C14=0,"",'Hop Calcs'!C14)</f>
        <v/>
      </c>
      <c r="M14" s="76" t="str">
        <f>IF('Hop Calcs'!E14=0,"",'Hop Calcs'!E14)</f>
        <v/>
      </c>
      <c r="N14" s="78" t="str">
        <f>IF('Hop Calcs'!F14=0,"",'Hop Calcs'!F14)</f>
        <v/>
      </c>
      <c r="O14" s="77" t="str">
        <f>'Hop Calcs'!G14</f>
        <v/>
      </c>
      <c r="P14" s="279" t="str">
        <f>IF(ISBLANK('Hop Calcs'!B14),"",'Hop Calcs'!B14)</f>
        <v/>
      </c>
      <c r="Q14" s="280"/>
    </row>
    <row r="15" spans="1:22" x14ac:dyDescent="0.25">
      <c r="A15" s="251" t="str">
        <f>IF(ISBLANK('Grain &amp; Sugar Calcs'!B13),"",'Grain &amp; Sugar Calcs'!B13)</f>
        <v/>
      </c>
      <c r="B15" s="251"/>
      <c r="C15" s="251"/>
      <c r="D15" s="251"/>
      <c r="E15" s="78" t="str">
        <f>IF(ISBLANK('Grain &amp; Sugar Calcs'!C13),"",'Grain &amp; Sugar Calcs'!C13)</f>
        <v/>
      </c>
      <c r="F15" s="123" t="str">
        <f>IF('Grain &amp; Sugar Calcs'!D13=0,"",'Grain &amp; Sugar Calcs'!D13)</f>
        <v/>
      </c>
      <c r="H15" s="251" t="str">
        <f>IF('Hop Calcs'!D15=0,"",'Hop Calcs'!D15)</f>
        <v/>
      </c>
      <c r="I15" s="251"/>
      <c r="J15" s="251"/>
      <c r="K15" s="251"/>
      <c r="L15" s="195" t="str">
        <f>IF('Hop Calcs'!C15=0,"",'Hop Calcs'!C15)</f>
        <v/>
      </c>
      <c r="M15" s="76" t="str">
        <f>IF('Hop Calcs'!E15=0,"",'Hop Calcs'!E15)</f>
        <v/>
      </c>
      <c r="N15" s="78" t="str">
        <f>IF('Hop Calcs'!F15=0,"",'Hop Calcs'!F15)</f>
        <v/>
      </c>
      <c r="O15" s="77" t="str">
        <f>'Hop Calcs'!G15</f>
        <v/>
      </c>
      <c r="P15" s="279" t="str">
        <f>IF(ISBLANK('Hop Calcs'!B15),"",'Hop Calcs'!B15)</f>
        <v/>
      </c>
      <c r="Q15" s="280"/>
    </row>
    <row r="17" spans="1:17" x14ac:dyDescent="0.25">
      <c r="A17" s="243" t="s">
        <v>143</v>
      </c>
      <c r="B17" s="244"/>
      <c r="C17" s="244"/>
      <c r="D17" s="244"/>
      <c r="E17" s="245"/>
      <c r="G17" s="243" t="s">
        <v>1233</v>
      </c>
      <c r="H17" s="244"/>
      <c r="I17" s="244"/>
      <c r="J17" s="244"/>
      <c r="K17" s="244"/>
      <c r="L17" s="244"/>
      <c r="M17" s="244"/>
      <c r="N17" s="244"/>
      <c r="O17" s="244"/>
      <c r="P17" s="244"/>
      <c r="Q17" s="245"/>
    </row>
    <row r="18" spans="1:17" x14ac:dyDescent="0.25">
      <c r="A18" s="254" t="s">
        <v>145</v>
      </c>
      <c r="B18" s="255"/>
      <c r="C18" s="79" t="s">
        <v>107</v>
      </c>
      <c r="D18" s="85" t="s">
        <v>153</v>
      </c>
      <c r="E18" s="79" t="s">
        <v>102</v>
      </c>
      <c r="G18" s="289" t="s">
        <v>1230</v>
      </c>
      <c r="H18" s="289"/>
      <c r="I18" s="289"/>
      <c r="J18" s="289"/>
      <c r="K18" s="289"/>
      <c r="L18" s="289" t="s">
        <v>1229</v>
      </c>
      <c r="M18" s="289"/>
      <c r="N18" s="79" t="s">
        <v>1232</v>
      </c>
      <c r="O18" s="254" t="s">
        <v>20</v>
      </c>
      <c r="P18" s="290"/>
      <c r="Q18" s="142" t="str">
        <f>'Brewhouse Setup &amp; Calcs'!$B$4</f>
        <v>°F</v>
      </c>
    </row>
    <row r="19" spans="1:17" x14ac:dyDescent="0.25">
      <c r="A19" s="252" t="str">
        <f>'Brewhouse Setup &amp; Calcs'!A13</f>
        <v>Ambient Grain Temp</v>
      </c>
      <c r="B19" s="253"/>
      <c r="C19" s="77">
        <f>'Brewhouse Setup &amp; Calcs'!B13</f>
        <v>68</v>
      </c>
      <c r="D19" s="47"/>
      <c r="E19" s="76" t="str">
        <f>'Brewhouse Setup &amp; Calcs'!$B$4</f>
        <v>°F</v>
      </c>
      <c r="G19" s="256" t="s">
        <v>599</v>
      </c>
      <c r="H19" s="257"/>
      <c r="I19" s="257"/>
      <c r="J19" s="257"/>
      <c r="K19" s="258"/>
      <c r="L19" s="294" t="str">
        <f>IF(ISBLANK(G19),"",VLOOKUP(G19,yeast_table[#All],3))</f>
        <v>Wyeast</v>
      </c>
      <c r="M19" s="295"/>
      <c r="N19" s="125">
        <f>IF(ISBLANK(G19),"",VLOOKUP(G19,yeast_table[#All],6))</f>
        <v>0.73</v>
      </c>
      <c r="O19" s="145">
        <f>IF(ISBLANK(G19),"",(IF('Brewhouse Setup &amp; Calcs'!$B$4="°C",5/9*(VLOOKUP(G19,yeast_table[#All],7)-32),VLOOKUP(G19,yeast_table[#All],7))))</f>
        <v>64</v>
      </c>
      <c r="P19" s="143" t="s">
        <v>1355</v>
      </c>
      <c r="Q19" s="144">
        <f>IF(ISBLANK(G19),"",(IF('Brewhouse Setup &amp; Calcs'!$B$4="°C",5/9*(VLOOKUP(G19,yeast_table[#All],8)-32),VLOOKUP(G19,yeast_table[#All],8))))</f>
        <v>74</v>
      </c>
    </row>
    <row r="20" spans="1:17" x14ac:dyDescent="0.25">
      <c r="A20" s="252" t="str">
        <f>'Brewhouse Setup &amp; Calcs'!A14</f>
        <v>Desired Mash Temp</v>
      </c>
      <c r="B20" s="253"/>
      <c r="C20" s="77">
        <f>'Brewhouse Setup &amp; Calcs'!B14</f>
        <v>153</v>
      </c>
      <c r="D20" s="47"/>
      <c r="E20" s="76" t="str">
        <f>'Brewhouse Setup &amp; Calcs'!$B$4</f>
        <v>°F</v>
      </c>
      <c r="G20" s="231" t="s">
        <v>147</v>
      </c>
      <c r="H20" s="232"/>
      <c r="I20" s="232"/>
      <c r="J20" s="232"/>
      <c r="K20" s="232"/>
      <c r="L20" s="233"/>
      <c r="M20" s="292" t="s">
        <v>133</v>
      </c>
      <c r="N20" s="293"/>
      <c r="O20" s="231" t="s">
        <v>146</v>
      </c>
      <c r="P20" s="232"/>
      <c r="Q20" s="233"/>
    </row>
    <row r="21" spans="1:17" x14ac:dyDescent="0.25">
      <c r="A21" s="252" t="str">
        <f>'Brewhouse Setup &amp; Calcs'!A15</f>
        <v>Water/Grist Ratio</v>
      </c>
      <c r="B21" s="253"/>
      <c r="C21" s="76">
        <f>'Brewhouse Setup &amp; Calcs'!B15</f>
        <v>1.375</v>
      </c>
      <c r="D21" s="47"/>
      <c r="E21" s="76" t="str">
        <f>'Brewhouse Setup &amp; Calcs'!C15</f>
        <v>qt/lb</v>
      </c>
      <c r="G21" s="256" t="s">
        <v>1386</v>
      </c>
      <c r="H21" s="257"/>
      <c r="I21" s="257"/>
      <c r="J21" s="257"/>
      <c r="K21" s="257"/>
      <c r="L21" s="258"/>
      <c r="M21" s="256" t="s">
        <v>1389</v>
      </c>
      <c r="N21" s="258"/>
      <c r="O21" s="256" t="s">
        <v>170</v>
      </c>
      <c r="P21" s="257"/>
      <c r="Q21" s="258"/>
    </row>
    <row r="22" spans="1:17" x14ac:dyDescent="0.25">
      <c r="A22" s="252" t="str">
        <f>'Brewhouse Setup &amp; Calcs'!A39</f>
        <v>Strike Water to Add</v>
      </c>
      <c r="B22" s="253"/>
      <c r="C22" s="77">
        <f>'Brewhouse Setup &amp; Calcs'!B39</f>
        <v>18.5625</v>
      </c>
      <c r="D22" s="47"/>
      <c r="E22" s="76" t="str">
        <f>'Brewhouse Setup &amp; Calcs'!$B$5</f>
        <v>qt</v>
      </c>
      <c r="G22" s="256" t="s">
        <v>1395</v>
      </c>
      <c r="H22" s="257"/>
      <c r="I22" s="257"/>
      <c r="J22" s="257"/>
      <c r="K22" s="257"/>
      <c r="L22" s="258"/>
      <c r="M22" s="256" t="s">
        <v>1810</v>
      </c>
      <c r="N22" s="258"/>
      <c r="O22" s="256" t="s">
        <v>1396</v>
      </c>
      <c r="P22" s="257"/>
      <c r="Q22" s="258"/>
    </row>
    <row r="23" spans="1:17" ht="13.2" customHeight="1" x14ac:dyDescent="0.25">
      <c r="A23" s="252" t="str">
        <f>'Brewhouse Setup &amp; Calcs'!A40</f>
        <v>Strike Water Temp</v>
      </c>
      <c r="B23" s="253"/>
      <c r="C23" s="77">
        <f>'Brewhouse Setup &amp; Calcs'!B40</f>
        <v>165.36363636363637</v>
      </c>
      <c r="D23" s="47"/>
      <c r="E23" s="76" t="str">
        <f>'Brewhouse Setup &amp; Calcs'!$B$4</f>
        <v>°F</v>
      </c>
      <c r="G23" s="256"/>
      <c r="H23" s="257"/>
      <c r="I23" s="257"/>
      <c r="J23" s="257"/>
      <c r="K23" s="257"/>
      <c r="L23" s="258"/>
      <c r="M23" s="256"/>
      <c r="N23" s="258"/>
      <c r="O23" s="256"/>
      <c r="P23" s="257"/>
      <c r="Q23" s="258"/>
    </row>
    <row r="24" spans="1:17" x14ac:dyDescent="0.25">
      <c r="A24" s="260" t="s">
        <v>142</v>
      </c>
      <c r="B24" s="261"/>
      <c r="C24" s="76">
        <f>'Brewhouse Setup &amp; Calcs'!$B$46</f>
        <v>2</v>
      </c>
      <c r="D24" s="262"/>
      <c r="E24" s="263"/>
      <c r="G24" s="256"/>
      <c r="H24" s="257"/>
      <c r="I24" s="257"/>
      <c r="J24" s="257"/>
      <c r="K24" s="257"/>
      <c r="L24" s="258"/>
      <c r="M24" s="256"/>
      <c r="N24" s="258"/>
      <c r="O24" s="256"/>
      <c r="P24" s="257"/>
      <c r="Q24" s="258"/>
    </row>
    <row r="25" spans="1:17" x14ac:dyDescent="0.25">
      <c r="A25" s="252" t="str">
        <f>'Brewhouse Setup &amp; Calcs'!A50</f>
        <v>Add for 1st Step</v>
      </c>
      <c r="B25" s="253"/>
      <c r="C25" s="77">
        <f>'Brewhouse Setup &amp; Calcs'!B50</f>
        <v>1.5675000000000008</v>
      </c>
      <c r="D25" s="47"/>
      <c r="E25" s="76" t="str">
        <f>'Brewhouse Setup &amp; Calcs'!$B$5</f>
        <v>qt</v>
      </c>
      <c r="G25" s="256"/>
      <c r="H25" s="257"/>
      <c r="I25" s="257"/>
      <c r="J25" s="257"/>
      <c r="K25" s="257"/>
      <c r="L25" s="258"/>
      <c r="M25" s="249"/>
      <c r="N25" s="250"/>
      <c r="O25" s="249"/>
      <c r="P25" s="291"/>
      <c r="Q25" s="250"/>
    </row>
    <row r="26" spans="1:17" x14ac:dyDescent="0.25">
      <c r="A26" s="260" t="s">
        <v>1373</v>
      </c>
      <c r="B26" s="261"/>
      <c r="C26" s="77">
        <f>'Brewhouse Setup &amp; Calcs'!B51</f>
        <v>13.38</v>
      </c>
      <c r="D26" s="152"/>
      <c r="E26" s="149" t="str">
        <f>'Brewhouse Setup &amp; Calcs'!$B$5</f>
        <v>qt</v>
      </c>
      <c r="G26" s="256"/>
      <c r="H26" s="257"/>
      <c r="I26" s="257"/>
      <c r="J26" s="257"/>
      <c r="K26" s="257"/>
      <c r="L26" s="258"/>
      <c r="M26" s="249"/>
      <c r="N26" s="250"/>
      <c r="O26" s="249"/>
      <c r="P26" s="291"/>
      <c r="Q26" s="250"/>
    </row>
    <row r="27" spans="1:17" x14ac:dyDescent="0.25">
      <c r="A27" s="252" t="str">
        <f>'Brewhouse Setup &amp; Calcs'!A52</f>
        <v>Add/Drain for 2nd Step</v>
      </c>
      <c r="B27" s="253"/>
      <c r="C27" s="77">
        <f>'Brewhouse Setup &amp; Calcs'!B52</f>
        <v>13.38</v>
      </c>
      <c r="D27" s="47"/>
      <c r="E27" s="76" t="str">
        <f>'Brewhouse Setup &amp; Calcs'!$B$5</f>
        <v>qt</v>
      </c>
      <c r="G27" s="256"/>
      <c r="H27" s="257"/>
      <c r="I27" s="257"/>
      <c r="J27" s="257"/>
      <c r="K27" s="257"/>
      <c r="L27" s="258"/>
      <c r="M27" s="259"/>
      <c r="N27" s="259"/>
      <c r="O27" s="259"/>
      <c r="P27" s="259"/>
      <c r="Q27" s="259"/>
    </row>
    <row r="28" spans="1:17" x14ac:dyDescent="0.25">
      <c r="A28" s="252" t="str">
        <f>'Brewhouse Setup &amp; Calcs'!A53</f>
        <v>Add/Drain for 3rd Step</v>
      </c>
      <c r="B28" s="253"/>
      <c r="C28" s="78">
        <f>'Brewhouse Setup &amp; Calcs'!B53</f>
        <v>0</v>
      </c>
      <c r="D28" s="47"/>
      <c r="E28" s="76" t="str">
        <f>'Brewhouse Setup &amp; Calcs'!$B$5</f>
        <v>qt</v>
      </c>
    </row>
    <row r="29" spans="1:17" ht="13.2" customHeight="1" x14ac:dyDescent="0.25">
      <c r="B29" s="202"/>
      <c r="C29" s="202"/>
      <c r="D29" s="202"/>
      <c r="E29" s="202"/>
      <c r="F29" s="202"/>
      <c r="I29" s="83" t="s">
        <v>1234</v>
      </c>
      <c r="J29" s="79" t="s">
        <v>153</v>
      </c>
      <c r="K29" s="68" t="s">
        <v>102</v>
      </c>
      <c r="N29" s="82" t="s">
        <v>1234</v>
      </c>
      <c r="O29" s="254" t="s">
        <v>153</v>
      </c>
      <c r="P29" s="290"/>
      <c r="Q29" s="290"/>
    </row>
    <row r="30" spans="1:17" ht="13.2" customHeight="1" x14ac:dyDescent="0.25">
      <c r="A30" s="234" t="s">
        <v>1811</v>
      </c>
      <c r="B30" s="235"/>
      <c r="C30" s="235"/>
      <c r="D30" s="235"/>
      <c r="E30" s="235"/>
      <c r="F30" s="236"/>
      <c r="H30" s="54" t="s">
        <v>122</v>
      </c>
      <c r="I30" s="126">
        <f>'Brewhouse Setup &amp; Calcs'!B55</f>
        <v>26.76</v>
      </c>
      <c r="J30" s="80">
        <v>27</v>
      </c>
      <c r="K30" s="89" t="str">
        <f>'Brewhouse Setup &amp; Calcs'!B5</f>
        <v>qt</v>
      </c>
      <c r="M30" s="54" t="s">
        <v>1224</v>
      </c>
      <c r="N30" s="129">
        <f>'Brewhouse Setup &amp; Calcs'!B17</f>
        <v>0.87</v>
      </c>
      <c r="O30" s="296">
        <f>IF(ISBLANK(J38),"",((J38-1)*1000)/('Grain &amp; Sugar Calcs'!H14/IF('Brewhouse Setup &amp; Calcs'!B5="Liters",(1.056688*J30/4),(J30/4))))</f>
        <v>0.86906884910863358</v>
      </c>
      <c r="P30" s="297"/>
      <c r="Q30" s="297"/>
    </row>
    <row r="31" spans="1:17" x14ac:dyDescent="0.25">
      <c r="A31" s="237"/>
      <c r="B31" s="238"/>
      <c r="C31" s="238"/>
      <c r="D31" s="238"/>
      <c r="E31" s="238"/>
      <c r="F31" s="239"/>
      <c r="H31" s="54" t="s">
        <v>139</v>
      </c>
      <c r="I31" s="127">
        <f>'Brewhouse Setup &amp; Calcs'!$B$18</f>
        <v>60</v>
      </c>
      <c r="J31" s="81">
        <v>60</v>
      </c>
      <c r="K31" s="90" t="str">
        <f>'Brewhouse Setup &amp; Calcs'!C18</f>
        <v>min</v>
      </c>
      <c r="M31" s="54" t="s">
        <v>1223</v>
      </c>
      <c r="N31" s="130">
        <f>'Hop Calcs'!J16</f>
        <v>37.77469380791041</v>
      </c>
      <c r="O31" s="299">
        <f>IF(ISBLANK(J32),"",'Hop Calcs'!J16*I32/J32)</f>
        <v>40.293006728437767</v>
      </c>
      <c r="P31" s="300"/>
      <c r="Q31" s="300"/>
    </row>
    <row r="32" spans="1:17" x14ac:dyDescent="0.25">
      <c r="A32" s="237"/>
      <c r="B32" s="238"/>
      <c r="C32" s="238"/>
      <c r="D32" s="238"/>
      <c r="E32" s="238"/>
      <c r="F32" s="239"/>
      <c r="H32" s="54" t="s">
        <v>140</v>
      </c>
      <c r="I32" s="126">
        <f>'Brewhouse Setup &amp; Calcs'!B58</f>
        <v>24</v>
      </c>
      <c r="J32" s="80">
        <v>22.5</v>
      </c>
      <c r="K32" s="124" t="str">
        <f>'Brewhouse Setup &amp; Calcs'!C58</f>
        <v>qt</v>
      </c>
      <c r="M32" s="54" t="s">
        <v>148</v>
      </c>
      <c r="N32" s="129">
        <f>(I39-I40)*(46.0688/44.0098)/I40/0.794</f>
        <v>6.595652293317851E-2</v>
      </c>
      <c r="O32" s="296">
        <f>IF(ISBLANK(J40),"",(J39-J40)*(46.0688/44.0098)/J40/0.794)</f>
        <v>6.6243174481469658E-2</v>
      </c>
      <c r="P32" s="297"/>
      <c r="Q32" s="297"/>
    </row>
    <row r="33" spans="1:23" x14ac:dyDescent="0.25">
      <c r="A33" s="237"/>
      <c r="B33" s="238"/>
      <c r="C33" s="238"/>
      <c r="D33" s="238"/>
      <c r="E33" s="238"/>
      <c r="F33" s="239"/>
      <c r="H33" s="54" t="s">
        <v>138</v>
      </c>
      <c r="I33" s="128">
        <f>'Brewhouse Setup &amp; Calcs'!$B$12</f>
        <v>22</v>
      </c>
      <c r="J33" s="80">
        <v>21</v>
      </c>
      <c r="K33" s="91" t="str">
        <f>'Brewhouse Setup &amp; Calcs'!$C$12</f>
        <v>qt</v>
      </c>
      <c r="M33" s="84" t="s">
        <v>1266</v>
      </c>
      <c r="N33" s="131">
        <f>N19</f>
        <v>0.73</v>
      </c>
      <c r="O33" s="301">
        <f>IF(ISBLANK(J40),"",(J39-J40)/(J39-1))</f>
        <v>0.77272727272727437</v>
      </c>
      <c r="P33" s="302"/>
      <c r="Q33" s="302"/>
    </row>
    <row r="34" spans="1:23" x14ac:dyDescent="0.25">
      <c r="A34" s="240"/>
      <c r="B34" s="241"/>
      <c r="C34" s="241"/>
      <c r="D34" s="241"/>
      <c r="E34" s="241"/>
      <c r="F34" s="242"/>
      <c r="M34" s="54" t="s">
        <v>1405</v>
      </c>
      <c r="N34" s="184">
        <f>'Grain &amp; Sugar Calcs'!L18</f>
        <v>4.9759346074518778</v>
      </c>
      <c r="O34" s="303">
        <f>IF(ISBLANK(J32),"",'Grain &amp; Sugar Calcs'!L18*(I32/J32))</f>
        <v>5.3076635812820028</v>
      </c>
      <c r="P34" s="304"/>
      <c r="Q34" s="304"/>
    </row>
    <row r="35" spans="1:23" ht="13.2" customHeight="1" x14ac:dyDescent="0.25">
      <c r="A35" s="202"/>
      <c r="J35" s="305" t="s">
        <v>153</v>
      </c>
      <c r="K35" s="305"/>
      <c r="L35" s="87"/>
      <c r="Q35" s="51"/>
      <c r="R35" s="51"/>
      <c r="S35" s="51"/>
      <c r="T35" s="51"/>
      <c r="U35" s="51"/>
      <c r="V35" s="51"/>
      <c r="W35" s="51"/>
    </row>
    <row r="36" spans="1:23" ht="13.2" customHeight="1" x14ac:dyDescent="0.25">
      <c r="B36" s="243" t="s">
        <v>1691</v>
      </c>
      <c r="C36" s="244"/>
      <c r="D36" s="244"/>
      <c r="E36" s="245"/>
      <c r="J36" s="298" t="s">
        <v>159</v>
      </c>
      <c r="K36" s="243" t="s">
        <v>160</v>
      </c>
      <c r="L36" s="245"/>
      <c r="R36" s="51"/>
      <c r="S36" s="51"/>
      <c r="T36" s="51"/>
      <c r="U36" s="51"/>
      <c r="V36" s="51"/>
      <c r="W36" s="51"/>
    </row>
    <row r="37" spans="1:23" ht="13.2" customHeight="1" x14ac:dyDescent="0.25">
      <c r="B37" s="246" t="s">
        <v>1692</v>
      </c>
      <c r="C37" s="247"/>
      <c r="D37" s="247"/>
      <c r="E37" s="248"/>
      <c r="I37" s="88" t="s">
        <v>1234</v>
      </c>
      <c r="J37" s="277"/>
      <c r="K37" s="68" t="s">
        <v>161</v>
      </c>
      <c r="L37" s="79" t="s">
        <v>162</v>
      </c>
      <c r="R37" s="51"/>
      <c r="S37" s="51"/>
      <c r="T37" s="51"/>
      <c r="U37" s="51"/>
      <c r="V37" s="51"/>
      <c r="W37" s="51"/>
    </row>
    <row r="38" spans="1:23" x14ac:dyDescent="0.25">
      <c r="B38" s="230" t="s">
        <v>1694</v>
      </c>
      <c r="C38" s="230"/>
      <c r="D38" s="199">
        <v>2.5</v>
      </c>
      <c r="E38" s="203"/>
      <c r="F38" s="202"/>
      <c r="H38" s="54" t="s">
        <v>154</v>
      </c>
      <c r="I38" s="132">
        <f>'Grain &amp; Sugar Calcs'!J20</f>
        <v>1.0626230785650224</v>
      </c>
      <c r="J38" s="95">
        <v>1.0620000000000001</v>
      </c>
      <c r="K38" s="97">
        <v>14.6</v>
      </c>
      <c r="L38" s="134">
        <f>IF(K38="","",(K38/(258.6-((K38/258.2)*227.1)))+1)</f>
        <v>1.0594079003562533</v>
      </c>
      <c r="R38" s="51"/>
      <c r="S38" s="51"/>
      <c r="T38" s="51"/>
      <c r="U38" s="51"/>
      <c r="V38" s="51"/>
      <c r="W38" s="51"/>
    </row>
    <row r="39" spans="1:23" x14ac:dyDescent="0.25">
      <c r="B39" s="230" t="s">
        <v>1695</v>
      </c>
      <c r="C39" s="230"/>
      <c r="D39" s="199">
        <v>38</v>
      </c>
      <c r="E39" s="177" t="str">
        <f>'Brewhouse Setup &amp; Calcs'!$B$4</f>
        <v>°F</v>
      </c>
      <c r="F39" s="202"/>
      <c r="H39" s="54" t="s">
        <v>155</v>
      </c>
      <c r="I39" s="133">
        <f>'Grain &amp; Sugar Calcs'!K20</f>
        <v>1.0698247325999999</v>
      </c>
      <c r="J39" s="96">
        <v>1.0660000000000001</v>
      </c>
      <c r="K39" s="98">
        <v>16</v>
      </c>
      <c r="L39" s="135">
        <f>IF(K39="","", (K39 / (258.6-((K39 / 258.2)*227.1))) + 1)</f>
        <v>1.0654323967656325</v>
      </c>
      <c r="R39" s="51"/>
      <c r="S39" s="51"/>
      <c r="T39" s="51"/>
      <c r="U39" s="51"/>
      <c r="V39" s="51"/>
      <c r="W39" s="51"/>
    </row>
    <row r="40" spans="1:23" ht="13.2" customHeight="1" x14ac:dyDescent="0.25">
      <c r="B40" s="230" t="s">
        <v>1696</v>
      </c>
      <c r="C40" s="230"/>
      <c r="D40" s="201">
        <f xml:space="preserve"> IF('Brewhouse Setup &amp; Calcs'!$B$2="US Customary",(-16.6999 - 0.0101059*D39 + 0.00116512*D39^2 + 0.173354*D39*D38 + 4.24267*D38 - 0.0684226*D38^2),(-16.6999 - 0.0101059*(9/5*D39+32) + 0.00116512*(9/5*D39+32)^2 + 0.173354*(9/5*D39+32)*D38 + 4.24267*D38 - 0.0684226*D38^2)*6.894757)</f>
        <v>11.246172830000003</v>
      </c>
      <c r="E40" s="177" t="str">
        <f>'Brewhouse Setup &amp; Calcs'!B8</f>
        <v>PSI</v>
      </c>
      <c r="F40" s="202"/>
      <c r="H40" s="54" t="s">
        <v>156</v>
      </c>
      <c r="I40" s="133">
        <f>1+('Grain &amp; Sugar Calcs'!K16*(1-N33)/1000)</f>
        <v>1.018852677802</v>
      </c>
      <c r="J40" s="96">
        <v>1.0149999999999999</v>
      </c>
      <c r="K40" s="98">
        <v>8.1999999999999993</v>
      </c>
      <c r="L40" s="135">
        <f>IF(K40=0, "", 1 - 0.000856829*(K39/'Brewhouse Setup &amp; Calcs'!B32) + 0.00349412*(K40/'Brewhouse Setup &amp; Calcs'!B32))</f>
        <v>1.0143678076923077</v>
      </c>
      <c r="M40" s="101"/>
      <c r="N40" s="101"/>
      <c r="O40" s="101"/>
      <c r="P40" s="101"/>
      <c r="Q40" s="101"/>
      <c r="R40" s="51"/>
      <c r="S40" s="51"/>
      <c r="T40" s="51"/>
      <c r="U40" s="51"/>
    </row>
    <row r="41" spans="1:23" x14ac:dyDescent="0.25">
      <c r="A41" s="51"/>
      <c r="B41" s="51"/>
      <c r="C41" s="51"/>
      <c r="D41" s="51"/>
      <c r="E41" s="51"/>
      <c r="F41" s="51"/>
      <c r="G41" s="51"/>
      <c r="R41" s="51"/>
      <c r="S41" s="51"/>
      <c r="T41" s="51"/>
      <c r="U41" s="51"/>
    </row>
    <row r="42" spans="1:23" x14ac:dyDescent="0.25">
      <c r="F42" s="51"/>
      <c r="G42" s="51"/>
    </row>
  </sheetData>
  <sheetProtection sheet="1" objects="1" scenarios="1"/>
  <mergeCells count="100">
    <mergeCell ref="O29:Q29"/>
    <mergeCell ref="O30:Q30"/>
    <mergeCell ref="J36:J37"/>
    <mergeCell ref="O31:Q31"/>
    <mergeCell ref="O32:Q32"/>
    <mergeCell ref="O33:Q33"/>
    <mergeCell ref="K36:L36"/>
    <mergeCell ref="O34:Q34"/>
    <mergeCell ref="J35:K35"/>
    <mergeCell ref="G17:Q17"/>
    <mergeCell ref="O18:P18"/>
    <mergeCell ref="A28:B28"/>
    <mergeCell ref="O21:Q21"/>
    <mergeCell ref="O20:Q20"/>
    <mergeCell ref="M21:N21"/>
    <mergeCell ref="O22:Q22"/>
    <mergeCell ref="O26:Q26"/>
    <mergeCell ref="O25:Q25"/>
    <mergeCell ref="O24:Q24"/>
    <mergeCell ref="O23:Q23"/>
    <mergeCell ref="M20:N20"/>
    <mergeCell ref="G24:L24"/>
    <mergeCell ref="G23:L23"/>
    <mergeCell ref="M24:N24"/>
    <mergeCell ref="L19:M19"/>
    <mergeCell ref="K1:Q1"/>
    <mergeCell ref="K2:Q2"/>
    <mergeCell ref="O5:O6"/>
    <mergeCell ref="G18:K18"/>
    <mergeCell ref="L18:M18"/>
    <mergeCell ref="P7:Q7"/>
    <mergeCell ref="P8:Q8"/>
    <mergeCell ref="P9:Q9"/>
    <mergeCell ref="P10:Q10"/>
    <mergeCell ref="P11:Q11"/>
    <mergeCell ref="P12:Q12"/>
    <mergeCell ref="P13:Q13"/>
    <mergeCell ref="H11:K11"/>
    <mergeCell ref="H12:K12"/>
    <mergeCell ref="H13:K13"/>
    <mergeCell ref="H14:K14"/>
    <mergeCell ref="G19:K19"/>
    <mergeCell ref="M23:N23"/>
    <mergeCell ref="B1:E1"/>
    <mergeCell ref="B2:E2"/>
    <mergeCell ref="H1:J1"/>
    <mergeCell ref="H2:J2"/>
    <mergeCell ref="A5:D6"/>
    <mergeCell ref="A4:F4"/>
    <mergeCell ref="F5:F6"/>
    <mergeCell ref="H5:K6"/>
    <mergeCell ref="H4:Q4"/>
    <mergeCell ref="M5:M6"/>
    <mergeCell ref="L5:L6"/>
    <mergeCell ref="P5:Q6"/>
    <mergeCell ref="P14:Q14"/>
    <mergeCell ref="P15:Q15"/>
    <mergeCell ref="A7:D7"/>
    <mergeCell ref="A8:D8"/>
    <mergeCell ref="A9:D9"/>
    <mergeCell ref="A10:D10"/>
    <mergeCell ref="A11:D11"/>
    <mergeCell ref="H15:K15"/>
    <mergeCell ref="M27:N27"/>
    <mergeCell ref="O27:Q27"/>
    <mergeCell ref="A27:B27"/>
    <mergeCell ref="A24:B24"/>
    <mergeCell ref="A21:B21"/>
    <mergeCell ref="G22:L22"/>
    <mergeCell ref="G21:L21"/>
    <mergeCell ref="A25:B25"/>
    <mergeCell ref="D24:E24"/>
    <mergeCell ref="A26:B26"/>
    <mergeCell ref="A22:B22"/>
    <mergeCell ref="G26:L26"/>
    <mergeCell ref="G25:L25"/>
    <mergeCell ref="M22:N22"/>
    <mergeCell ref="M26:N26"/>
    <mergeCell ref="M25:N25"/>
    <mergeCell ref="B40:C40"/>
    <mergeCell ref="H8:K8"/>
    <mergeCell ref="H7:K7"/>
    <mergeCell ref="H9:K9"/>
    <mergeCell ref="H10:K10"/>
    <mergeCell ref="A12:D12"/>
    <mergeCell ref="A13:D13"/>
    <mergeCell ref="A14:D14"/>
    <mergeCell ref="A15:D15"/>
    <mergeCell ref="A23:B23"/>
    <mergeCell ref="A18:B18"/>
    <mergeCell ref="A17:E17"/>
    <mergeCell ref="A19:B19"/>
    <mergeCell ref="A20:B20"/>
    <mergeCell ref="G27:L27"/>
    <mergeCell ref="B39:C39"/>
    <mergeCell ref="G20:L20"/>
    <mergeCell ref="A30:F34"/>
    <mergeCell ref="B36:E36"/>
    <mergeCell ref="B37:E37"/>
    <mergeCell ref="B38:C38"/>
  </mergeCells>
  <dataValidations xWindow="274" yWindow="299" count="2">
    <dataValidation type="list" showInputMessage="1" showErrorMessage="1" errorTitle="Category" error="Choose a beer category." promptTitle="Beer Category" prompt="Choose beer category." sqref="B1">
      <formula1>BeerList_Headers</formula1>
    </dataValidation>
    <dataValidation type="list" showInputMessage="1" showErrorMessage="1" errorTitle="Style" error="Choose beer style for selected category." promptTitle="Beer Style" prompt="Choose beer style for selected category." sqref="B2">
      <formula1>BeerList_list2</formula1>
    </dataValidation>
  </dataValidations>
  <hyperlinks>
    <hyperlink ref="K2" r:id="rId1"/>
  </hyperlinks>
  <printOptions horizontalCentered="1" verticalCentered="1"/>
  <pageMargins left="0.5" right="0.5" top="0.5" bottom="0.5" header="0.3" footer="0.3"/>
  <pageSetup orientation="landscape" r:id="rId2"/>
  <headerFooter>
    <oddHeader>&amp;C&amp;"Comic Sans MS,Regular"&amp;16&amp;F</oddHeader>
    <oddFooter>&amp;LYouTube Channel: BEERNBBQBYLARRY
Facebook: BEERNBBQBYLARRY
Twitter: @BEERNBBQbyLarry&amp;CCourtesy of
&amp;"Arial,Bold"&amp;12BEER-N-BBQ by Larry
&amp;10www.beernbbqbylarry.com&amp;RPlease consider donating via the PayPal link above.</oddFooter>
  </headerFooter>
  <extLst>
    <ext xmlns:x14="http://schemas.microsoft.com/office/spreadsheetml/2009/9/main" uri="{CCE6A557-97BC-4b89-ADB6-D9C93CAAB3DF}">
      <x14:dataValidations xmlns:xm="http://schemas.microsoft.com/office/excel/2006/main" xWindow="274" yWindow="299" count="1">
        <x14:dataValidation type="list" showInputMessage="1" showErrorMessage="1">
          <x14:formula1>
            <xm:f>'Yeast List'!$A$2:$A$242</xm:f>
          </x14:formula1>
          <xm:sqref>G19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topLeftCell="A10" workbookViewId="0">
      <selection activeCell="E55" sqref="E55"/>
    </sheetView>
  </sheetViews>
  <sheetFormatPr defaultRowHeight="13.2" x14ac:dyDescent="0.25"/>
  <cols>
    <col min="1" max="1" width="23.88671875" customWidth="1"/>
    <col min="2" max="2" width="7.21875" style="33" customWidth="1"/>
    <col min="3" max="3" width="5.5546875" style="33" bestFit="1" customWidth="1"/>
    <col min="4" max="4" width="6.5546875" style="220" customWidth="1"/>
    <col min="5" max="5" width="8.21875" style="220" customWidth="1"/>
    <col min="6" max="6" width="14.44140625" customWidth="1"/>
    <col min="8" max="8" width="79.5546875" customWidth="1"/>
  </cols>
  <sheetData>
    <row r="1" spans="1:8" x14ac:dyDescent="0.25">
      <c r="B1" s="56"/>
      <c r="C1" s="56"/>
    </row>
    <row r="2" spans="1:8" x14ac:dyDescent="0.25">
      <c r="A2" s="62" t="s">
        <v>1219</v>
      </c>
      <c r="B2" s="249" t="s">
        <v>1218</v>
      </c>
      <c r="C2" s="250"/>
      <c r="D2"/>
      <c r="E2" s="222"/>
      <c r="F2" s="306" t="s">
        <v>1697</v>
      </c>
      <c r="G2" s="307"/>
      <c r="H2" s="307"/>
    </row>
    <row r="3" spans="1:8" x14ac:dyDescent="0.25">
      <c r="A3" s="66" t="s">
        <v>144</v>
      </c>
      <c r="B3" s="65" t="s">
        <v>107</v>
      </c>
      <c r="C3"/>
      <c r="D3"/>
      <c r="E3"/>
      <c r="F3" s="308" t="s">
        <v>1397</v>
      </c>
      <c r="G3" s="308"/>
      <c r="H3" s="308"/>
    </row>
    <row r="4" spans="1:8" x14ac:dyDescent="0.25">
      <c r="A4" s="69" t="s">
        <v>1214</v>
      </c>
      <c r="B4" s="76" t="str">
        <f>IF($B$2="US Customary","°F", IF($B$2="Metric","°C",))</f>
        <v>°F</v>
      </c>
      <c r="C4" s="67"/>
    </row>
    <row r="5" spans="1:8" x14ac:dyDescent="0.25">
      <c r="A5" s="69" t="s">
        <v>1215</v>
      </c>
      <c r="B5" s="76" t="str">
        <f>IF($B$2="US Customary","qt", IF($B$2="Metric","Liters",))</f>
        <v>qt</v>
      </c>
      <c r="C5" s="67"/>
      <c r="F5" s="305" t="s">
        <v>1365</v>
      </c>
      <c r="G5" s="305"/>
    </row>
    <row r="6" spans="1:8" x14ac:dyDescent="0.25">
      <c r="A6" s="69" t="s">
        <v>1216</v>
      </c>
      <c r="B6" s="76" t="str">
        <f>IF($B$2="US Customary","lb", IF($B$2="Metric","kg",))</f>
        <v>lb</v>
      </c>
      <c r="C6" s="67"/>
      <c r="F6" s="153" t="s">
        <v>1366</v>
      </c>
      <c r="G6" s="27" t="str">
        <f>IF(B43&lt;=B25*B26,"PASS","FAIL")</f>
        <v>PASS</v>
      </c>
    </row>
    <row r="7" spans="1:8" x14ac:dyDescent="0.25">
      <c r="A7" s="69" t="s">
        <v>1217</v>
      </c>
      <c r="B7" s="76" t="str">
        <f>IF($B$2="US Customary","oz", IF($B$2="Metric","grams",))</f>
        <v>oz</v>
      </c>
      <c r="C7" s="67"/>
      <c r="F7" s="156" t="s">
        <v>1367</v>
      </c>
      <c r="G7" s="27" t="str">
        <f>IF(B55&lt;=(B28*B27),"PASS","FAIL")</f>
        <v>PASS</v>
      </c>
    </row>
    <row r="8" spans="1:8" x14ac:dyDescent="0.25">
      <c r="A8" s="198" t="s">
        <v>1693</v>
      </c>
      <c r="B8" s="113" t="str">
        <f>IF($B$2="US Customary","PSI", IF($B$2="Metric","kPa",))</f>
        <v>PSI</v>
      </c>
      <c r="C8" s="151"/>
    </row>
    <row r="9" spans="1:8" ht="13.8" thickBot="1" x14ac:dyDescent="0.3">
      <c r="A9" s="155"/>
      <c r="B9"/>
      <c r="C9" s="197"/>
    </row>
    <row r="10" spans="1:8" ht="13.8" thickTop="1" x14ac:dyDescent="0.25">
      <c r="A10" s="324" t="s">
        <v>1196</v>
      </c>
      <c r="B10" s="325"/>
      <c r="C10" s="325"/>
      <c r="D10" s="325"/>
      <c r="E10" s="325"/>
      <c r="F10" s="325"/>
      <c r="G10" s="325"/>
      <c r="H10" s="326"/>
    </row>
    <row r="11" spans="1:8" x14ac:dyDescent="0.25">
      <c r="A11" s="157" t="s">
        <v>1368</v>
      </c>
      <c r="B11" s="150" t="s">
        <v>107</v>
      </c>
      <c r="C11" s="150" t="s">
        <v>102</v>
      </c>
      <c r="D11" s="219" t="s">
        <v>107</v>
      </c>
      <c r="E11" s="219" t="s">
        <v>102</v>
      </c>
      <c r="F11" s="289" t="s">
        <v>69</v>
      </c>
      <c r="G11" s="289"/>
      <c r="H11" s="309"/>
    </row>
    <row r="12" spans="1:8" x14ac:dyDescent="0.25">
      <c r="A12" s="158" t="s">
        <v>1193</v>
      </c>
      <c r="B12" s="152">
        <v>22</v>
      </c>
      <c r="C12" s="149" t="str">
        <f>$B$5</f>
        <v>qt</v>
      </c>
      <c r="D12" s="78">
        <f>IF($B$2="US Customary",B12/4,"")</f>
        <v>5.5</v>
      </c>
      <c r="E12" s="113" t="str">
        <f>IF($B$2="US Customary","US Gal","")</f>
        <v>US Gal</v>
      </c>
      <c r="F12" s="310" t="s">
        <v>1374</v>
      </c>
      <c r="G12" s="310"/>
      <c r="H12" s="311"/>
    </row>
    <row r="13" spans="1:8" x14ac:dyDescent="0.25">
      <c r="A13" s="158" t="s">
        <v>106</v>
      </c>
      <c r="B13" s="46">
        <v>68</v>
      </c>
      <c r="C13" s="113" t="str">
        <f>'Brewhouse Setup &amp; Calcs'!$B$4</f>
        <v>°F</v>
      </c>
      <c r="D13" s="314"/>
      <c r="E13" s="315"/>
      <c r="F13" s="336" t="s">
        <v>1208</v>
      </c>
      <c r="G13" s="336"/>
      <c r="H13" s="337"/>
    </row>
    <row r="14" spans="1:8" x14ac:dyDescent="0.25">
      <c r="A14" s="158" t="s">
        <v>168</v>
      </c>
      <c r="B14" s="46">
        <v>153</v>
      </c>
      <c r="C14" s="113" t="str">
        <f>'Brewhouse Setup &amp; Calcs'!$B$4</f>
        <v>°F</v>
      </c>
      <c r="D14" s="316"/>
      <c r="E14" s="317"/>
      <c r="F14" s="336" t="s">
        <v>1209</v>
      </c>
      <c r="G14" s="336"/>
      <c r="H14" s="337"/>
    </row>
    <row r="15" spans="1:8" x14ac:dyDescent="0.25">
      <c r="A15" s="158" t="s">
        <v>103</v>
      </c>
      <c r="B15" s="152">
        <v>1.375</v>
      </c>
      <c r="C15" s="113" t="str">
        <f>IF($B$2="Metric","L/kg","qt/lb")</f>
        <v>qt/lb</v>
      </c>
      <c r="D15" s="78">
        <f>IF($B$2="US Customary",B15/4,"")</f>
        <v>0.34375</v>
      </c>
      <c r="E15" s="113" t="str">
        <f>IF($B$2="US Customary","USGal/lb","")</f>
        <v>USGal/lb</v>
      </c>
      <c r="F15" s="336" t="s">
        <v>167</v>
      </c>
      <c r="G15" s="336"/>
      <c r="H15" s="337"/>
    </row>
    <row r="16" spans="1:8" x14ac:dyDescent="0.25">
      <c r="A16" s="158" t="s">
        <v>1359</v>
      </c>
      <c r="B16" s="152">
        <v>0.5</v>
      </c>
      <c r="C16" s="113" t="str">
        <f>IF($B$2="Metric","L/kg","qt/lb")</f>
        <v>qt/lb</v>
      </c>
      <c r="D16" s="78">
        <f>IF($B$2="US Customary",B16/4,"")</f>
        <v>0.125</v>
      </c>
      <c r="E16" s="113" t="str">
        <f>IF($B$2="US Customary","USGal/lb","")</f>
        <v>USGal/lb</v>
      </c>
      <c r="F16" s="336" t="s">
        <v>1375</v>
      </c>
      <c r="G16" s="336"/>
      <c r="H16" s="337"/>
    </row>
    <row r="17" spans="1:8" x14ac:dyDescent="0.25">
      <c r="A17" s="159" t="s">
        <v>98</v>
      </c>
      <c r="B17" s="39">
        <v>0.87</v>
      </c>
      <c r="C17" s="154" t="s">
        <v>108</v>
      </c>
      <c r="D17" s="314"/>
      <c r="E17" s="315"/>
      <c r="F17" s="336" t="s">
        <v>1205</v>
      </c>
      <c r="G17" s="336"/>
      <c r="H17" s="337"/>
    </row>
    <row r="18" spans="1:8" x14ac:dyDescent="0.25">
      <c r="A18" s="158" t="s">
        <v>115</v>
      </c>
      <c r="B18" s="40">
        <v>60</v>
      </c>
      <c r="C18" s="153" t="s">
        <v>1235</v>
      </c>
      <c r="D18" s="318"/>
      <c r="E18" s="319"/>
      <c r="F18" s="310" t="s">
        <v>116</v>
      </c>
      <c r="G18" s="310"/>
      <c r="H18" s="311"/>
    </row>
    <row r="19" spans="1:8" x14ac:dyDescent="0.25">
      <c r="A19" s="158" t="s">
        <v>112</v>
      </c>
      <c r="B19" s="42">
        <v>7.4999999999999997E-2</v>
      </c>
      <c r="C19" s="153" t="s">
        <v>113</v>
      </c>
      <c r="D19" s="318"/>
      <c r="E19" s="319"/>
      <c r="F19" s="310" t="s">
        <v>1197</v>
      </c>
      <c r="G19" s="310"/>
      <c r="H19" s="311"/>
    </row>
    <row r="20" spans="1:8" x14ac:dyDescent="0.25">
      <c r="A20" s="158" t="s">
        <v>1239</v>
      </c>
      <c r="B20" s="41">
        <v>210.6</v>
      </c>
      <c r="C20" s="113" t="str">
        <f>$B$4</f>
        <v>°F</v>
      </c>
      <c r="D20" s="318"/>
      <c r="E20" s="319"/>
      <c r="F20" s="310" t="s">
        <v>1206</v>
      </c>
      <c r="G20" s="310"/>
      <c r="H20" s="311"/>
    </row>
    <row r="21" spans="1:8" ht="13.8" thickBot="1" x14ac:dyDescent="0.3">
      <c r="A21" s="160" t="s">
        <v>1240</v>
      </c>
      <c r="B21" s="164">
        <v>62</v>
      </c>
      <c r="C21" s="165" t="str">
        <f>$B$4</f>
        <v>°F</v>
      </c>
      <c r="D21" s="320"/>
      <c r="E21" s="321"/>
      <c r="F21" s="329" t="s">
        <v>1207</v>
      </c>
      <c r="G21" s="329"/>
      <c r="H21" s="330"/>
    </row>
    <row r="22" spans="1:8" ht="14.4" thickTop="1" thickBot="1" x14ac:dyDescent="0.3">
      <c r="B22"/>
      <c r="C22" s="151"/>
    </row>
    <row r="23" spans="1:8" ht="13.8" thickTop="1" x14ac:dyDescent="0.25">
      <c r="A23" s="324" t="s">
        <v>1369</v>
      </c>
      <c r="B23" s="325"/>
      <c r="C23" s="325"/>
      <c r="D23" s="325"/>
      <c r="E23" s="325"/>
      <c r="F23" s="325"/>
      <c r="G23" s="325"/>
      <c r="H23" s="326"/>
    </row>
    <row r="24" spans="1:8" x14ac:dyDescent="0.25">
      <c r="A24" s="157" t="s">
        <v>1368</v>
      </c>
      <c r="B24" s="150" t="s">
        <v>107</v>
      </c>
      <c r="C24" s="150" t="s">
        <v>102</v>
      </c>
      <c r="D24" s="219" t="s">
        <v>107</v>
      </c>
      <c r="E24" s="219" t="s">
        <v>102</v>
      </c>
      <c r="F24" s="289" t="s">
        <v>69</v>
      </c>
      <c r="G24" s="289"/>
      <c r="H24" s="309"/>
    </row>
    <row r="25" spans="1:8" x14ac:dyDescent="0.25">
      <c r="A25" s="161" t="s">
        <v>111</v>
      </c>
      <c r="B25" s="37">
        <v>32</v>
      </c>
      <c r="C25" s="149" t="str">
        <f>$B$5</f>
        <v>qt</v>
      </c>
      <c r="D25" s="177">
        <f>IF($B$2="US Customary",B25/4,"")</f>
        <v>8</v>
      </c>
      <c r="E25" s="113" t="str">
        <f>IF($B$2="US Customary","US Gal","")</f>
        <v>US Gal</v>
      </c>
      <c r="F25" s="327" t="s">
        <v>1199</v>
      </c>
      <c r="G25" s="327"/>
      <c r="H25" s="328"/>
    </row>
    <row r="26" spans="1:8" x14ac:dyDescent="0.25">
      <c r="A26" s="161" t="s">
        <v>130</v>
      </c>
      <c r="B26" s="38">
        <v>0.95</v>
      </c>
      <c r="C26" s="154" t="s">
        <v>108</v>
      </c>
      <c r="D26" s="252"/>
      <c r="E26" s="253"/>
      <c r="F26" s="327" t="s">
        <v>1200</v>
      </c>
      <c r="G26" s="327"/>
      <c r="H26" s="328"/>
    </row>
    <row r="27" spans="1:8" x14ac:dyDescent="0.25">
      <c r="A27" s="158" t="s">
        <v>114</v>
      </c>
      <c r="B27" s="37">
        <v>80</v>
      </c>
      <c r="C27" s="149" t="str">
        <f>$B$5</f>
        <v>qt</v>
      </c>
      <c r="D27" s="177">
        <f>IF($B$2="US Customary",B27/4,"")</f>
        <v>20</v>
      </c>
      <c r="E27" s="113" t="str">
        <f>IF($B$2="US Customary","US Gal","")</f>
        <v>US Gal</v>
      </c>
      <c r="F27" s="327" t="s">
        <v>1201</v>
      </c>
      <c r="G27" s="327"/>
      <c r="H27" s="328"/>
    </row>
    <row r="28" spans="1:8" x14ac:dyDescent="0.25">
      <c r="A28" s="158" t="s">
        <v>1192</v>
      </c>
      <c r="B28" s="38">
        <v>0.9</v>
      </c>
      <c r="C28" s="154" t="s">
        <v>108</v>
      </c>
      <c r="D28" s="252"/>
      <c r="E28" s="253"/>
      <c r="F28" s="327" t="s">
        <v>1210</v>
      </c>
      <c r="G28" s="327"/>
      <c r="H28" s="328"/>
    </row>
    <row r="29" spans="1:8" x14ac:dyDescent="0.25">
      <c r="A29" s="162" t="s">
        <v>117</v>
      </c>
      <c r="B29" s="152">
        <v>0</v>
      </c>
      <c r="C29" s="149" t="str">
        <f t="shared" ref="C29:C31" si="0">$B$5</f>
        <v>qt</v>
      </c>
      <c r="D29" s="78">
        <f>IF($B$2="US Customary",B29/4,"")</f>
        <v>0</v>
      </c>
      <c r="E29" s="113" t="str">
        <f>IF($B$2="US Customary","US Gal","")</f>
        <v>US Gal</v>
      </c>
      <c r="F29" s="327" t="s">
        <v>1204</v>
      </c>
      <c r="G29" s="327"/>
      <c r="H29" s="328"/>
    </row>
    <row r="30" spans="1:8" x14ac:dyDescent="0.25">
      <c r="A30" s="162" t="s">
        <v>1194</v>
      </c>
      <c r="B30" s="152">
        <v>1</v>
      </c>
      <c r="C30" s="149" t="str">
        <f t="shared" si="0"/>
        <v>qt</v>
      </c>
      <c r="D30" s="78">
        <f>IF($B$2="US Customary",B30/4,"")</f>
        <v>0.25</v>
      </c>
      <c r="E30" s="113" t="str">
        <f>IF($B$2="US Customary","US Gal","")</f>
        <v>US Gal</v>
      </c>
      <c r="F30" s="327" t="s">
        <v>1203</v>
      </c>
      <c r="G30" s="327"/>
      <c r="H30" s="328"/>
    </row>
    <row r="31" spans="1:8" x14ac:dyDescent="0.25">
      <c r="A31" s="162" t="s">
        <v>1195</v>
      </c>
      <c r="B31" s="176">
        <v>1</v>
      </c>
      <c r="C31" s="177" t="str">
        <f t="shared" si="0"/>
        <v>qt</v>
      </c>
      <c r="D31" s="78">
        <f>IF($B$2="US Customary",B31/4,"")</f>
        <v>0.25</v>
      </c>
      <c r="E31" s="113" t="str">
        <f>IF($B$2="US Customary","US Gal","")</f>
        <v>US Gal</v>
      </c>
      <c r="F31" s="331" t="s">
        <v>1202</v>
      </c>
      <c r="G31" s="331"/>
      <c r="H31" s="332"/>
    </row>
    <row r="32" spans="1:8" ht="13.8" thickBot="1" x14ac:dyDescent="0.3">
      <c r="A32" s="178" t="s">
        <v>1387</v>
      </c>
      <c r="B32" s="179">
        <v>1.04</v>
      </c>
      <c r="C32" s="347"/>
      <c r="D32" s="348"/>
      <c r="E32" s="349"/>
      <c r="F32" s="345" t="s">
        <v>1388</v>
      </c>
      <c r="G32" s="345"/>
      <c r="H32" s="346"/>
    </row>
    <row r="33" spans="1:8" ht="14.4" thickTop="1" thickBot="1" x14ac:dyDescent="0.3"/>
    <row r="34" spans="1:8" ht="13.8" thickTop="1" x14ac:dyDescent="0.25">
      <c r="A34" s="333" t="s">
        <v>1370</v>
      </c>
      <c r="B34" s="334"/>
      <c r="C34" s="334"/>
      <c r="D34" s="334"/>
      <c r="E34" s="334"/>
      <c r="F34" s="334"/>
      <c r="G34" s="334"/>
      <c r="H34" s="335"/>
    </row>
    <row r="35" spans="1:8" x14ac:dyDescent="0.25">
      <c r="A35" s="157" t="s">
        <v>1371</v>
      </c>
      <c r="B35" s="150" t="s">
        <v>107</v>
      </c>
      <c r="C35" s="150" t="s">
        <v>102</v>
      </c>
      <c r="D35" s="219" t="s">
        <v>107</v>
      </c>
      <c r="E35" s="219" t="s">
        <v>102</v>
      </c>
      <c r="F35" s="289" t="s">
        <v>69</v>
      </c>
      <c r="G35" s="289"/>
      <c r="H35" s="309"/>
    </row>
    <row r="36" spans="1:8" x14ac:dyDescent="0.25">
      <c r="A36" s="158" t="s">
        <v>1738</v>
      </c>
      <c r="B36" s="78">
        <f>B39+B50+B52+B53</f>
        <v>33.510000000000005</v>
      </c>
      <c r="C36" s="177" t="str">
        <f t="shared" ref="C36:C58" si="1">$B$5</f>
        <v>qt</v>
      </c>
      <c r="D36" s="78">
        <f>IF($B$2="US Customary",B36/4,"")</f>
        <v>8.3775000000000013</v>
      </c>
      <c r="E36" s="113" t="str">
        <f>IF($B$2="US Customary","US Gal","")</f>
        <v>US Gal</v>
      </c>
      <c r="F36" s="310" t="s">
        <v>118</v>
      </c>
      <c r="G36" s="310"/>
      <c r="H36" s="311"/>
    </row>
    <row r="37" spans="1:8" x14ac:dyDescent="0.25">
      <c r="A37" s="158" t="s">
        <v>132</v>
      </c>
      <c r="B37" s="77">
        <f>IF(C37="qt",0.3125*'Grain &amp; Sugar Calcs'!C14,IF(C37="Liters",0.652*'Grain &amp; Sugar Calcs'!C14,""))</f>
        <v>4.21875</v>
      </c>
      <c r="C37" s="113" t="str">
        <f>'Brewhouse Setup &amp; Calcs'!$B$5</f>
        <v>qt</v>
      </c>
      <c r="D37" s="78">
        <f>IF($B$2="US Customary",B37/4,"")</f>
        <v>1.0546875</v>
      </c>
      <c r="E37" s="113" t="str">
        <f>IF($B$2="US Customary","US Gal","")</f>
        <v>US Gal</v>
      </c>
      <c r="F37" s="1" t="s">
        <v>1213</v>
      </c>
      <c r="G37" s="1"/>
      <c r="H37" s="167"/>
    </row>
    <row r="38" spans="1:8" x14ac:dyDescent="0.25">
      <c r="A38" s="224" t="s">
        <v>1739</v>
      </c>
      <c r="B38" s="252"/>
      <c r="C38" s="312"/>
      <c r="D38" s="312"/>
      <c r="E38" s="312"/>
      <c r="F38" s="312"/>
      <c r="G38" s="312"/>
      <c r="H38" s="313"/>
    </row>
    <row r="39" spans="1:8" x14ac:dyDescent="0.25">
      <c r="A39" s="158" t="s">
        <v>104</v>
      </c>
      <c r="B39" s="77">
        <f>'Grain &amp; Sugar Calcs'!C14*B15</f>
        <v>18.5625</v>
      </c>
      <c r="C39" s="113" t="str">
        <f>'Brewhouse Setup &amp; Calcs'!$B$5</f>
        <v>qt</v>
      </c>
      <c r="D39" s="78">
        <f>IF($B$2="US Customary",B39/4,"")</f>
        <v>4.640625</v>
      </c>
      <c r="E39" s="113" t="str">
        <f>IF($B$2="US Customary","US Gal","")</f>
        <v>US Gal</v>
      </c>
      <c r="F39" s="338" t="s">
        <v>1212</v>
      </c>
      <c r="G39" s="338"/>
      <c r="H39" s="339"/>
    </row>
    <row r="40" spans="1:8" x14ac:dyDescent="0.25">
      <c r="A40" s="158" t="s">
        <v>105</v>
      </c>
      <c r="B40" s="225">
        <f>(IF(B2="US Customary",0.2,0.41)/B15)*(B14-B13)+B14</f>
        <v>165.36363636363637</v>
      </c>
      <c r="C40" s="226" t="str">
        <f>'Brewhouse Setup &amp; Calcs'!$B$4</f>
        <v>°F</v>
      </c>
      <c r="D40" s="252"/>
      <c r="E40" s="253"/>
      <c r="F40" s="343" t="s">
        <v>1211</v>
      </c>
      <c r="G40" s="343"/>
      <c r="H40" s="344"/>
    </row>
    <row r="41" spans="1:8" x14ac:dyDescent="0.25">
      <c r="A41" s="224" t="s">
        <v>1740</v>
      </c>
      <c r="B41" s="252"/>
      <c r="C41" s="312"/>
      <c r="D41" s="312"/>
      <c r="E41" s="312"/>
      <c r="F41" s="312"/>
      <c r="G41" s="312"/>
      <c r="H41" s="313"/>
    </row>
    <row r="42" spans="1:8" x14ac:dyDescent="0.25">
      <c r="A42" s="158" t="s">
        <v>1361</v>
      </c>
      <c r="B42" s="163">
        <f>B16*'Grain &amp; Sugar Calcs'!C14</f>
        <v>6.75</v>
      </c>
      <c r="C42" s="113" t="str">
        <f>'Brewhouse Setup &amp; Calcs'!$B$5</f>
        <v>qt</v>
      </c>
      <c r="D42" s="78">
        <f>IF($B$2="US Customary",B42/4,"")</f>
        <v>1.6875</v>
      </c>
      <c r="E42" s="113" t="str">
        <f>IF($B$2="US Customary","US Gal","")</f>
        <v>US Gal</v>
      </c>
      <c r="F42" s="336" t="s">
        <v>1360</v>
      </c>
      <c r="G42" s="336"/>
      <c r="H42" s="337"/>
    </row>
    <row r="43" spans="1:8" x14ac:dyDescent="0.25">
      <c r="A43" s="158" t="s">
        <v>127</v>
      </c>
      <c r="B43" s="77">
        <f>(B37+B39)</f>
        <v>22.78125</v>
      </c>
      <c r="C43" s="113" t="str">
        <f>'Brewhouse Setup &amp; Calcs'!$B$5</f>
        <v>qt</v>
      </c>
      <c r="D43" s="78">
        <f>IF($B$2="US Customary",B43/4,"")</f>
        <v>5.6953125</v>
      </c>
      <c r="E43" s="113" t="str">
        <f>IF($B$2="US Customary","US Gal","")</f>
        <v>US Gal</v>
      </c>
      <c r="F43" s="336" t="s">
        <v>1362</v>
      </c>
      <c r="G43" s="336"/>
      <c r="H43" s="337"/>
    </row>
    <row r="44" spans="1:8" x14ac:dyDescent="0.25">
      <c r="A44" s="168" t="s">
        <v>128</v>
      </c>
      <c r="B44" s="173">
        <f>B25*B26-B37-B42</f>
        <v>19.431249999999999</v>
      </c>
      <c r="C44" s="166" t="str">
        <f>'Brewhouse Setup &amp; Calcs'!$B$5</f>
        <v>qt</v>
      </c>
      <c r="D44" s="78">
        <f>IF($B$2="US Customary",B44/4,"")</f>
        <v>4.8578124999999996</v>
      </c>
      <c r="E44" s="113" t="str">
        <f>IF($B$2="US Customary","US Gal","")</f>
        <v>US Gal</v>
      </c>
      <c r="F44" s="336" t="s">
        <v>1363</v>
      </c>
      <c r="G44" s="336"/>
      <c r="H44" s="337"/>
    </row>
    <row r="45" spans="1:8" x14ac:dyDescent="0.25">
      <c r="A45" s="169" t="s">
        <v>129</v>
      </c>
      <c r="B45" s="77">
        <f>B55/B44</f>
        <v>1.377163074943712</v>
      </c>
      <c r="C45" s="314"/>
      <c r="D45" s="350"/>
      <c r="E45" s="315"/>
      <c r="F45" s="336" t="s">
        <v>1237</v>
      </c>
      <c r="G45" s="336"/>
      <c r="H45" s="337"/>
    </row>
    <row r="46" spans="1:8" x14ac:dyDescent="0.25">
      <c r="A46" s="169" t="s">
        <v>131</v>
      </c>
      <c r="B46" s="149">
        <f>ROUNDUP(B45,0)</f>
        <v>2</v>
      </c>
      <c r="C46" s="316"/>
      <c r="D46" s="351"/>
      <c r="E46" s="317"/>
      <c r="F46" s="336" t="s">
        <v>1238</v>
      </c>
      <c r="G46" s="336"/>
      <c r="H46" s="337"/>
    </row>
    <row r="47" spans="1:8" ht="13.2" customHeight="1" x14ac:dyDescent="0.25">
      <c r="A47" s="162" t="s">
        <v>1364</v>
      </c>
      <c r="B47" s="77">
        <f>B55/B46</f>
        <v>13.38</v>
      </c>
      <c r="C47" s="113" t="str">
        <f>'Brewhouse Setup &amp; Calcs'!$B$5</f>
        <v>qt</v>
      </c>
      <c r="D47" s="78">
        <f>IF($B$2="US Customary",B47/4,"")</f>
        <v>3.3450000000000002</v>
      </c>
      <c r="E47" s="113" t="str">
        <f>IF($B$2="US Customary","US Gal","")</f>
        <v>US Gal</v>
      </c>
      <c r="F47" s="340" t="s">
        <v>1379</v>
      </c>
      <c r="G47" s="341"/>
      <c r="H47" s="342"/>
    </row>
    <row r="48" spans="1:8" x14ac:dyDescent="0.25">
      <c r="A48" s="162" t="s">
        <v>1236</v>
      </c>
      <c r="B48" s="77">
        <f>B39-B42-B29</f>
        <v>11.8125</v>
      </c>
      <c r="C48" s="113" t="str">
        <f>'Brewhouse Setup &amp; Calcs'!$B$5</f>
        <v>qt</v>
      </c>
      <c r="D48" s="78">
        <f>IF($B$2="US Customary",B48/4,"")</f>
        <v>2.953125</v>
      </c>
      <c r="E48" s="113" t="str">
        <f>IF($B$2="US Customary","US Gal","")</f>
        <v>US Gal</v>
      </c>
      <c r="F48" s="340" t="s">
        <v>1380</v>
      </c>
      <c r="G48" s="341"/>
      <c r="H48" s="342"/>
    </row>
    <row r="49" spans="1:8" x14ac:dyDescent="0.25">
      <c r="A49" s="227" t="s">
        <v>1741</v>
      </c>
      <c r="B49" s="252"/>
      <c r="C49" s="312"/>
      <c r="D49" s="312"/>
      <c r="E49" s="312"/>
      <c r="F49" s="312"/>
      <c r="G49" s="312"/>
      <c r="H49" s="313"/>
    </row>
    <row r="50" spans="1:8" x14ac:dyDescent="0.25">
      <c r="A50" s="162" t="s">
        <v>1376</v>
      </c>
      <c r="B50" s="77">
        <f>IF(B47&gt;=B48,B47-B48,0)</f>
        <v>1.5675000000000008</v>
      </c>
      <c r="C50" s="113" t="str">
        <f>'Brewhouse Setup &amp; Calcs'!$B$5</f>
        <v>qt</v>
      </c>
      <c r="D50" s="78">
        <f>IF($B$2="US Customary",B50/4,"")</f>
        <v>0.3918750000000002</v>
      </c>
      <c r="E50" s="113" t="str">
        <f>IF($B$2="US Customary","US Gal","")</f>
        <v>US Gal</v>
      </c>
      <c r="F50" s="340" t="s">
        <v>1381</v>
      </c>
      <c r="G50" s="341"/>
      <c r="H50" s="342"/>
    </row>
    <row r="51" spans="1:8" x14ac:dyDescent="0.25">
      <c r="A51" s="162" t="s">
        <v>1373</v>
      </c>
      <c r="B51" s="163">
        <f>IF(B47&gt;B48,B47,B48)</f>
        <v>13.38</v>
      </c>
      <c r="C51" s="113" t="str">
        <f>'Brewhouse Setup &amp; Calcs'!$B$5</f>
        <v>qt</v>
      </c>
      <c r="D51" s="78">
        <f>IF($B$2="US Customary",B51/4,"")</f>
        <v>3.3450000000000002</v>
      </c>
      <c r="E51" s="113" t="str">
        <f>IF($B$2="US Customary","US Gal","")</f>
        <v>US Gal</v>
      </c>
      <c r="F51" s="340" t="s">
        <v>1382</v>
      </c>
      <c r="G51" s="341"/>
      <c r="H51" s="342"/>
    </row>
    <row r="52" spans="1:8" x14ac:dyDescent="0.25">
      <c r="A52" s="162" t="s">
        <v>1377</v>
      </c>
      <c r="B52" s="77">
        <f>IF(B46&gt;1,B47,0)</f>
        <v>13.38</v>
      </c>
      <c r="C52" s="113" t="str">
        <f>'Brewhouse Setup &amp; Calcs'!$B$5</f>
        <v>qt</v>
      </c>
      <c r="D52" s="78">
        <f>IF($B$2="US Customary",B52/4,"")</f>
        <v>3.3450000000000002</v>
      </c>
      <c r="E52" s="113" t="str">
        <f>IF($B$2="US Customary","US Gal","")</f>
        <v>US Gal</v>
      </c>
      <c r="F52" s="340" t="s">
        <v>1383</v>
      </c>
      <c r="G52" s="341"/>
      <c r="H52" s="342"/>
    </row>
    <row r="53" spans="1:8" x14ac:dyDescent="0.25">
      <c r="A53" s="162" t="s">
        <v>1378</v>
      </c>
      <c r="B53" s="77">
        <f>IF(B46&gt;2,B55-B51-B52,0)</f>
        <v>0</v>
      </c>
      <c r="C53" s="113" t="str">
        <f>'Brewhouse Setup &amp; Calcs'!$B$5</f>
        <v>qt</v>
      </c>
      <c r="D53" s="78">
        <f>IF($B$2="US Customary",B53/4,"")</f>
        <v>0</v>
      </c>
      <c r="E53" s="113" t="str">
        <f>IF($B$2="US Customary","US Gal","")</f>
        <v>US Gal</v>
      </c>
      <c r="F53" s="352" t="s">
        <v>1384</v>
      </c>
      <c r="G53" s="353"/>
      <c r="H53" s="354"/>
    </row>
    <row r="54" spans="1:8" x14ac:dyDescent="0.25">
      <c r="A54" s="170" t="s">
        <v>1372</v>
      </c>
      <c r="B54" s="150" t="s">
        <v>107</v>
      </c>
      <c r="C54" s="150" t="s">
        <v>102</v>
      </c>
      <c r="D54" s="219" t="s">
        <v>107</v>
      </c>
      <c r="E54" s="219" t="s">
        <v>102</v>
      </c>
      <c r="F54" s="289" t="s">
        <v>69</v>
      </c>
      <c r="G54" s="289"/>
      <c r="H54" s="309"/>
    </row>
    <row r="55" spans="1:8" x14ac:dyDescent="0.25">
      <c r="A55" s="158" t="s">
        <v>109</v>
      </c>
      <c r="B55" s="77">
        <f>B58+B56+B57</f>
        <v>26.76</v>
      </c>
      <c r="C55" s="149" t="str">
        <f t="shared" si="1"/>
        <v>qt</v>
      </c>
      <c r="D55" s="78">
        <f>IF($B$2="US Customary",B55/4,"")</f>
        <v>6.69</v>
      </c>
      <c r="E55" s="113" t="str">
        <f>IF($B$2="US Customary","US Gal","")</f>
        <v>US Gal</v>
      </c>
      <c r="F55" s="310" t="s">
        <v>118</v>
      </c>
      <c r="G55" s="310"/>
      <c r="H55" s="311"/>
    </row>
    <row r="56" spans="1:8" x14ac:dyDescent="0.25">
      <c r="A56" s="158" t="s">
        <v>120</v>
      </c>
      <c r="B56" s="174">
        <f>B58*B18/60*B19</f>
        <v>1.7999999999999998</v>
      </c>
      <c r="C56" s="149" t="str">
        <f t="shared" ref="C56:C57" si="2">$B$5</f>
        <v>qt</v>
      </c>
      <c r="D56" s="78">
        <f>IF($B$2="US Customary",B56/4,"")</f>
        <v>0.44999999999999996</v>
      </c>
      <c r="E56" s="113" t="str">
        <f>IF($B$2="US Customary","US Gal","")</f>
        <v>US Gal</v>
      </c>
      <c r="F56" s="310" t="s">
        <v>1385</v>
      </c>
      <c r="G56" s="310"/>
      <c r="H56" s="311"/>
    </row>
    <row r="57" spans="1:8" x14ac:dyDescent="0.25">
      <c r="A57" s="158" t="s">
        <v>121</v>
      </c>
      <c r="B57" s="77">
        <f>B58*0.04</f>
        <v>0.96</v>
      </c>
      <c r="C57" s="149" t="str">
        <f t="shared" si="2"/>
        <v>qt</v>
      </c>
      <c r="D57" s="78">
        <f>IF($B$2="US Customary",B57/4,"")</f>
        <v>0.24</v>
      </c>
      <c r="E57" s="113" t="str">
        <f>IF($B$2="US Customary","US Gal","")</f>
        <v>US Gal</v>
      </c>
      <c r="F57" s="310" t="s">
        <v>119</v>
      </c>
      <c r="G57" s="310"/>
      <c r="H57" s="311"/>
    </row>
    <row r="58" spans="1:8" ht="13.8" thickBot="1" x14ac:dyDescent="0.3">
      <c r="A58" s="171" t="s">
        <v>110</v>
      </c>
      <c r="B58" s="175">
        <f>B12+B30+B31</f>
        <v>24</v>
      </c>
      <c r="C58" s="172" t="str">
        <f t="shared" si="1"/>
        <v>qt</v>
      </c>
      <c r="D58" s="223">
        <f>IF($B$2="US Customary",B58/4,"")</f>
        <v>6</v>
      </c>
      <c r="E58" s="165" t="str">
        <f>IF($B$2="US Customary","US Gal","")</f>
        <v>US Gal</v>
      </c>
      <c r="F58" s="322" t="s">
        <v>1198</v>
      </c>
      <c r="G58" s="322"/>
      <c r="H58" s="323"/>
    </row>
    <row r="59" spans="1:8" ht="13.8" thickTop="1" x14ac:dyDescent="0.25">
      <c r="B59" s="151"/>
      <c r="C59" s="151"/>
    </row>
    <row r="60" spans="1:8" x14ac:dyDescent="0.25">
      <c r="B60" s="151"/>
      <c r="C60" s="151"/>
    </row>
    <row r="61" spans="1:8" x14ac:dyDescent="0.25">
      <c r="B61" s="151"/>
      <c r="C61" s="151"/>
    </row>
    <row r="62" spans="1:8" x14ac:dyDescent="0.25">
      <c r="B62" s="151"/>
      <c r="C62" s="151"/>
    </row>
    <row r="63" spans="1:8" x14ac:dyDescent="0.25">
      <c r="B63"/>
      <c r="C63"/>
      <c r="D63"/>
      <c r="E63"/>
    </row>
    <row r="64" spans="1:8" x14ac:dyDescent="0.25">
      <c r="B64"/>
      <c r="C64"/>
      <c r="D64"/>
      <c r="E64"/>
    </row>
    <row r="65" spans="2:5" x14ac:dyDescent="0.25">
      <c r="B65"/>
      <c r="C65"/>
      <c r="D65"/>
      <c r="E65"/>
    </row>
    <row r="66" spans="2:5" x14ac:dyDescent="0.25">
      <c r="B66"/>
      <c r="C66"/>
      <c r="D66"/>
      <c r="E66"/>
    </row>
    <row r="67" spans="2:5" x14ac:dyDescent="0.25">
      <c r="B67"/>
      <c r="C67"/>
      <c r="D67"/>
      <c r="E67"/>
    </row>
    <row r="68" spans="2:5" x14ac:dyDescent="0.25">
      <c r="B68"/>
      <c r="C68"/>
      <c r="D68"/>
      <c r="E68"/>
    </row>
    <row r="69" spans="2:5" x14ac:dyDescent="0.25">
      <c r="B69"/>
      <c r="C69"/>
      <c r="D69"/>
      <c r="E69"/>
    </row>
  </sheetData>
  <sheetProtection sheet="1" objects="1" scenarios="1"/>
  <dataConsolidate/>
  <mergeCells count="57">
    <mergeCell ref="D40:E40"/>
    <mergeCell ref="C45:E46"/>
    <mergeCell ref="F57:H57"/>
    <mergeCell ref="F54:H54"/>
    <mergeCell ref="F53:H53"/>
    <mergeCell ref="F52:H52"/>
    <mergeCell ref="F51:H51"/>
    <mergeCell ref="F44:H44"/>
    <mergeCell ref="F55:H55"/>
    <mergeCell ref="F45:H45"/>
    <mergeCell ref="F46:H46"/>
    <mergeCell ref="F56:H56"/>
    <mergeCell ref="F50:H50"/>
    <mergeCell ref="F48:H48"/>
    <mergeCell ref="F47:H47"/>
    <mergeCell ref="F40:H40"/>
    <mergeCell ref="B41:H41"/>
    <mergeCell ref="B49:H49"/>
    <mergeCell ref="B2:C2"/>
    <mergeCell ref="F18:H18"/>
    <mergeCell ref="F19:H19"/>
    <mergeCell ref="F20:H20"/>
    <mergeCell ref="A10:H10"/>
    <mergeCell ref="F13:H13"/>
    <mergeCell ref="F14:H14"/>
    <mergeCell ref="F15:H15"/>
    <mergeCell ref="F16:H16"/>
    <mergeCell ref="F17:H17"/>
    <mergeCell ref="F32:H32"/>
    <mergeCell ref="F36:H36"/>
    <mergeCell ref="F58:H58"/>
    <mergeCell ref="A23:H23"/>
    <mergeCell ref="F24:H24"/>
    <mergeCell ref="F25:H25"/>
    <mergeCell ref="F21:H21"/>
    <mergeCell ref="F26:H26"/>
    <mergeCell ref="F27:H27"/>
    <mergeCell ref="F28:H28"/>
    <mergeCell ref="F29:H29"/>
    <mergeCell ref="F30:H30"/>
    <mergeCell ref="F31:H31"/>
    <mergeCell ref="A34:H34"/>
    <mergeCell ref="F42:H42"/>
    <mergeCell ref="F43:H43"/>
    <mergeCell ref="F39:H39"/>
    <mergeCell ref="F35:H35"/>
    <mergeCell ref="F2:H2"/>
    <mergeCell ref="F3:H3"/>
    <mergeCell ref="F11:H11"/>
    <mergeCell ref="F12:H12"/>
    <mergeCell ref="B38:H38"/>
    <mergeCell ref="D13:E14"/>
    <mergeCell ref="D17:E21"/>
    <mergeCell ref="D26:E26"/>
    <mergeCell ref="F5:G5"/>
    <mergeCell ref="D28:E28"/>
    <mergeCell ref="C32:E32"/>
  </mergeCells>
  <conditionalFormatting sqref="G7">
    <cfRule type="cellIs" dxfId="19" priority="5" operator="equal">
      <formula>"PASS"</formula>
    </cfRule>
    <cfRule type="cellIs" dxfId="18" priority="6" operator="equal">
      <formula>"FAIL"</formula>
    </cfRule>
  </conditionalFormatting>
  <conditionalFormatting sqref="G6">
    <cfRule type="cellIs" dxfId="17" priority="3" operator="equal">
      <formula>"PASS"</formula>
    </cfRule>
    <cfRule type="cellIs" dxfId="16" priority="4" operator="equal">
      <formula>"FAIL"</formula>
    </cfRule>
  </conditionalFormatting>
  <dataValidations count="5">
    <dataValidation type="decimal" operator="lessThan" showInputMessage="1" showErrorMessage="1" sqref="B26 B13 B15:B17">
      <formula1>100</formula1>
    </dataValidation>
    <dataValidation showInputMessage="1" showErrorMessage="1" sqref="B25"/>
    <dataValidation type="list" showInputMessage="1" showErrorMessage="1" errorTitle="System of Measure" error="Select from the list" promptTitle="System Units" prompt="Select units system for this spreadsheet." sqref="B2:C2">
      <formula1>"US Customary,Metric"</formula1>
    </dataValidation>
    <dataValidation type="list" allowBlank="1" showInputMessage="1" showErrorMessage="1" promptTitle="Units" prompt="Select Units" sqref="C13:C14">
      <formula1>"°F,°C"</formula1>
    </dataValidation>
    <dataValidation type="list" showInputMessage="1" showErrorMessage="1" errorTitle="Units" error="Select a unit of measure" promptTitle="Units" prompt="Select unit of measure" sqref="C15:C17">
      <formula1>"qt/lb,L/kg"</formula1>
    </dataValidation>
  </dataValidations>
  <hyperlinks>
    <hyperlink ref="F3" r:id="rId1" display="Brewing Recipe Calculator Template Update: Overview, Deep Dive, &amp; Walkthrough Example"/>
    <hyperlink ref="F3:H3" r:id="rId2" display="Brewing Recipe Template Playlist"/>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1"/>
  <sheetViews>
    <sheetView topLeftCell="B1" workbookViewId="0">
      <selection activeCell="D10" sqref="D10"/>
    </sheetView>
  </sheetViews>
  <sheetFormatPr defaultRowHeight="13.2" x14ac:dyDescent="0.25"/>
  <cols>
    <col min="1" max="1" width="5.77734375" customWidth="1"/>
    <col min="2" max="2" width="51.88671875" customWidth="1"/>
    <col min="3" max="3" width="7.77734375" bestFit="1" customWidth="1"/>
    <col min="4" max="4" width="7.77734375" customWidth="1"/>
    <col min="5" max="5" width="7.21875" customWidth="1"/>
    <col min="6" max="6" width="9.5546875" customWidth="1"/>
    <col min="7" max="7" width="6.44140625" customWidth="1"/>
    <col min="8" max="8" width="8.6640625" customWidth="1"/>
    <col min="9" max="9" width="7.88671875" customWidth="1"/>
    <col min="10" max="10" width="9" customWidth="1"/>
    <col min="11" max="11" width="9.44140625" customWidth="1"/>
    <col min="12" max="12" width="9.33203125" customWidth="1"/>
    <col min="14" max="14" width="31.5546875" customWidth="1"/>
  </cols>
  <sheetData>
    <row r="1" spans="2:13" x14ac:dyDescent="0.25">
      <c r="B1" s="31"/>
      <c r="C1" s="31"/>
      <c r="D1" s="31"/>
      <c r="F1" s="32"/>
      <c r="G1" s="32"/>
      <c r="H1" s="31"/>
      <c r="I1" s="31"/>
      <c r="J1" s="31"/>
      <c r="K1" s="31"/>
    </row>
    <row r="2" spans="2:13" x14ac:dyDescent="0.25">
      <c r="B2" s="355" t="s">
        <v>150</v>
      </c>
      <c r="C2" s="356"/>
      <c r="D2" s="356"/>
      <c r="E2" s="356"/>
      <c r="F2" s="356"/>
      <c r="G2" s="356"/>
      <c r="H2" s="356"/>
      <c r="I2" s="356"/>
      <c r="J2" s="356"/>
      <c r="K2" s="356"/>
      <c r="L2" s="356"/>
      <c r="M2" s="193"/>
    </row>
    <row r="3" spans="2:13" s="28" customFormat="1" ht="26.4" customHeight="1" x14ac:dyDescent="0.25">
      <c r="B3" s="298" t="s">
        <v>796</v>
      </c>
      <c r="C3" s="70" t="s">
        <v>165</v>
      </c>
      <c r="D3" s="357" t="s">
        <v>97</v>
      </c>
      <c r="E3" s="298" t="s">
        <v>68</v>
      </c>
      <c r="F3" s="298" t="s">
        <v>798</v>
      </c>
      <c r="G3" s="70" t="s">
        <v>1255</v>
      </c>
      <c r="H3" s="298" t="s">
        <v>1227</v>
      </c>
      <c r="I3" s="298" t="s">
        <v>99</v>
      </c>
      <c r="J3" s="298" t="s">
        <v>1253</v>
      </c>
      <c r="K3" s="298" t="s">
        <v>1254</v>
      </c>
      <c r="L3" s="188" t="s">
        <v>1399</v>
      </c>
      <c r="M3" s="194"/>
    </row>
    <row r="4" spans="2:13" s="28" customFormat="1" x14ac:dyDescent="0.25">
      <c r="B4" s="277"/>
      <c r="C4" s="72" t="str">
        <f>'Brewhouse Setup &amp; Calcs'!$B$6</f>
        <v>lb</v>
      </c>
      <c r="D4" s="358"/>
      <c r="E4" s="277"/>
      <c r="F4" s="277"/>
      <c r="G4" s="71" t="s">
        <v>1226</v>
      </c>
      <c r="H4" s="277"/>
      <c r="I4" s="277"/>
      <c r="J4" s="277"/>
      <c r="K4" s="277"/>
      <c r="L4" s="191" t="s">
        <v>1400</v>
      </c>
      <c r="M4" s="194"/>
    </row>
    <row r="5" spans="2:13" x14ac:dyDescent="0.25">
      <c r="B5" s="49" t="s">
        <v>1547</v>
      </c>
      <c r="C5" s="43">
        <v>11</v>
      </c>
      <c r="D5" s="108">
        <f t="shared" ref="D5:D13" si="0">IF(ISBLANK(C5),"",C5/$C$16)</f>
        <v>0.81481481481481477</v>
      </c>
      <c r="E5" s="109" t="str">
        <f>IF(ISBLANK(B5),"",VLOOKUP(B5,grains_table[#All],3))</f>
        <v>Grain</v>
      </c>
      <c r="F5" s="106">
        <f>IF(ISBLANK(B5),"",VLOOKUP(B5,grains_table[#All],6))</f>
        <v>1.03743334</v>
      </c>
      <c r="G5" s="110">
        <f t="shared" ref="G5:G13" si="1">IF(ISBLANK(B5),"",(F5-1)*1000)</f>
        <v>37.43333999999998</v>
      </c>
      <c r="H5" s="111">
        <f>IF(ISBLANK(B5),"",IF('Brewhouse Setup &amp; Calcs'!$B$2="Metric",2.20462262185*G5*C5,G5*C5))</f>
        <v>411.7667399999998</v>
      </c>
      <c r="I5" s="112">
        <f>IF(ISBLANK(B5),"",IF(E5="Grain",'Brewhouse Setup &amp; Calcs'!$B$17,IF(E5="Sugar",1,)))</f>
        <v>0.87</v>
      </c>
      <c r="J5" s="111">
        <f>IF(ISBLANK(B5),"",IF('Brewhouse Setup &amp; Calcs'!$B$2="Metric",H5*I5/(0.264172*'Brewhouse Setup &amp; Calcs'!$B$55),H5*I5/'Brewhouse Setup &amp; Calcs'!$B$55*4))</f>
        <v>53.548141076233151</v>
      </c>
      <c r="K5" s="111">
        <f>IF(ISBLANK(B5),"",IF('Brewhouse Setup &amp; Calcs'!$B$2="Metric",H5*I5/(0.264172*'Brewhouse Setup &amp; Calcs'!$B$58),H5*I5/'Brewhouse Setup &amp; Calcs'!$B$58*4))</f>
        <v>59.706177299999972</v>
      </c>
      <c r="L5" s="111">
        <f>IF(ISBLANK(C5),"",(IF('Brewhouse Setup &amp; Calcs'!$B$2="US Customary",1.4922*((VLOOKUP(B5,grains_table[#All],7)*C5)/('Brewhouse Setup &amp; Calcs'!$B$58/4))^0.6859,1.4922*((VLOOKUP(B5,grains_table[#All],7)*C5*2.204623)/('Brewhouse Setup &amp; Calcs'!$B$58*1.056688/4))^0.6859)))</f>
        <v>3.3843537156421957</v>
      </c>
    </row>
    <row r="6" spans="2:13" x14ac:dyDescent="0.25">
      <c r="B6" s="49" t="s">
        <v>1594</v>
      </c>
      <c r="C6" s="43">
        <v>1</v>
      </c>
      <c r="D6" s="108">
        <f t="shared" si="0"/>
        <v>7.407407407407407E-2</v>
      </c>
      <c r="E6" s="109" t="str">
        <f>IF(ISBLANK(B6),"",VLOOKUP(B6,grains_table[#All],3))</f>
        <v>Grain</v>
      </c>
      <c r="F6" s="106">
        <f>IF(ISBLANK(B6),"",VLOOKUP(B6,grains_table[#All],6))</f>
        <v>1.03743334</v>
      </c>
      <c r="G6" s="110">
        <f t="shared" si="1"/>
        <v>37.43333999999998</v>
      </c>
      <c r="H6" s="111">
        <f>IF(ISBLANK(B6),"",IF('Brewhouse Setup &amp; Calcs'!$B$2="Metric",2.20462262185*G6*C6,G6*C6))</f>
        <v>37.43333999999998</v>
      </c>
      <c r="I6" s="112">
        <f>IF(ISBLANK(B6),"",IF(E6="Grain",'Brewhouse Setup &amp; Calcs'!$B$17,IF(E6="Sugar",1,)))</f>
        <v>0.87</v>
      </c>
      <c r="J6" s="111">
        <f>IF(ISBLANK(B6),"",IF('Brewhouse Setup &amp; Calcs'!$B$2="Metric",H6*I6/(0.264172*'Brewhouse Setup &amp; Calcs'!$B$55),H6*I6/'Brewhouse Setup &amp; Calcs'!$B$55*4))</f>
        <v>4.8680128251121051</v>
      </c>
      <c r="K6" s="111">
        <f>IF(ISBLANK(B6),"",IF('Brewhouse Setup &amp; Calcs'!$B$2="Metric",H6*I6/(0.264172*'Brewhouse Setup &amp; Calcs'!$B$58),H6*I6/'Brewhouse Setup &amp; Calcs'!$B$58*4))</f>
        <v>5.4278342999999971</v>
      </c>
      <c r="L6" s="111">
        <f>IF(ISBLANK(C6),"",(IF('Brewhouse Setup &amp; Calcs'!$B$2="US Customary",1.4922*((VLOOKUP(B6,grains_table[#All],7)*C6)/('Brewhouse Setup &amp; Calcs'!$B$58/4))^0.6859,1.4922*((VLOOKUP(B6,grains_table[#All],7)*C6*2.204623)/('Brewhouse Setup &amp; Calcs'!$B$58*1.056688/4))^0.6859)))</f>
        <v>0.77304044358905211</v>
      </c>
    </row>
    <row r="7" spans="2:13" x14ac:dyDescent="0.25">
      <c r="B7" s="49" t="s">
        <v>1408</v>
      </c>
      <c r="C7" s="43">
        <v>1</v>
      </c>
      <c r="D7" s="108">
        <f t="shared" si="0"/>
        <v>7.407407407407407E-2</v>
      </c>
      <c r="E7" s="109" t="str">
        <f>IF(ISBLANK(B7),"",VLOOKUP(B7,grains_table[#All],3))</f>
        <v>Grain</v>
      </c>
      <c r="F7" s="106">
        <f>IF(ISBLANK(B7),"",VLOOKUP(B7,grains_table[#All],6))</f>
        <v>1.0323498</v>
      </c>
      <c r="G7" s="110">
        <f t="shared" si="1"/>
        <v>32.349799999999988</v>
      </c>
      <c r="H7" s="111">
        <f>IF(ISBLANK(B7),"",IF('Brewhouse Setup &amp; Calcs'!$B$2="Metric",2.20462262185*G7*C7,G7*C7))</f>
        <v>32.349799999999988</v>
      </c>
      <c r="I7" s="112">
        <f>IF(ISBLANK(B7),"",IF(E7="Grain",'Brewhouse Setup &amp; Calcs'!$B$17,IF(E7="Sugar",1,)))</f>
        <v>0.87</v>
      </c>
      <c r="J7" s="111">
        <f>IF(ISBLANK(B7),"",IF('Brewhouse Setup &amp; Calcs'!$B$2="Metric",H7*I7/(0.264172*'Brewhouse Setup &amp; Calcs'!$B$55),H7*I7/'Brewhouse Setup &amp; Calcs'!$B$55*4))</f>
        <v>4.2069246636771283</v>
      </c>
      <c r="K7" s="111">
        <f>IF(ISBLANK(B7),"",IF('Brewhouse Setup &amp; Calcs'!$B$2="Metric",H7*I7/(0.264172*'Brewhouse Setup &amp; Calcs'!$B$58),H7*I7/'Brewhouse Setup &amp; Calcs'!$B$58*4))</f>
        <v>4.6907209999999981</v>
      </c>
      <c r="L7" s="111">
        <f>IF(ISBLANK(C7),"",(IF('Brewhouse Setup &amp; Calcs'!$B$2="US Customary",1.4922*((VLOOKUP(B7,grains_table[#All],7)*C7)/('Brewhouse Setup &amp; Calcs'!$B$58/4))^0.6859,1.4922*((VLOOKUP(B7,grains_table[#All],7)*C7*2.204623)/('Brewhouse Setup &amp; Calcs'!$B$58*1.056688/4))^0.6859)))</f>
        <v>0.81854044822063043</v>
      </c>
    </row>
    <row r="8" spans="2:13" x14ac:dyDescent="0.25">
      <c r="B8" s="49" t="s">
        <v>1806</v>
      </c>
      <c r="C8" s="43">
        <v>0.5</v>
      </c>
      <c r="D8" s="108">
        <f t="shared" si="0"/>
        <v>3.7037037037037035E-2</v>
      </c>
      <c r="E8" s="109" t="str">
        <f>IF(ISBLANK(B8),"",VLOOKUP(B8,grains_table[#All],3))</f>
        <v>Grain</v>
      </c>
      <c r="F8" s="106">
        <f>IF(ISBLANK(B8),"",VLOOKUP(B8,grains_table[#All],6))</f>
        <v>1</v>
      </c>
      <c r="G8" s="110">
        <f t="shared" si="1"/>
        <v>0</v>
      </c>
      <c r="H8" s="111">
        <f>IF(ISBLANK(B8),"",IF('Brewhouse Setup &amp; Calcs'!$B$2="Metric",2.20462262185*G8*C8,G8*C8))</f>
        <v>0</v>
      </c>
      <c r="I8" s="112">
        <f>IF(ISBLANK(B8),"",IF(E8="Grain",'Brewhouse Setup &amp; Calcs'!$B$17,IF(E8="Sugar",1,)))</f>
        <v>0.87</v>
      </c>
      <c r="J8" s="111">
        <f>IF(ISBLANK(B8),"",IF('Brewhouse Setup &amp; Calcs'!$B$2="Metric",H8*I8/(0.264172*'Brewhouse Setup &amp; Calcs'!$B$55),H8*I8/'Brewhouse Setup &amp; Calcs'!$B$55*4))</f>
        <v>0</v>
      </c>
      <c r="K8" s="111">
        <f>IF(ISBLANK(B8),"",IF('Brewhouse Setup &amp; Calcs'!$B$2="Metric",H8*I8/(0.264172*'Brewhouse Setup &amp; Calcs'!$B$58),H8*I8/'Brewhouse Setup &amp; Calcs'!$B$58*4))</f>
        <v>0</v>
      </c>
      <c r="L8" s="111">
        <f>IF(ISBLANK(C8),"",(IF('Brewhouse Setup &amp; Calcs'!$B$2="US Customary",1.4922*((VLOOKUP(B8,grains_table[#All],7)*C8)/('Brewhouse Setup &amp; Calcs'!$B$58/4))^0.6859,1.4922*((VLOOKUP(B8,grains_table[#All],7)*C8*2.204623)/('Brewhouse Setup &amp; Calcs'!$B$58*1.056688/4))^0.6859)))</f>
        <v>0</v>
      </c>
    </row>
    <row r="9" spans="2:13" x14ac:dyDescent="0.25">
      <c r="B9" s="49"/>
      <c r="C9" s="43"/>
      <c r="D9" s="108" t="str">
        <f t="shared" si="0"/>
        <v/>
      </c>
      <c r="E9" s="109" t="str">
        <f>IF(ISBLANK(B9),"",VLOOKUP(B9,grains_table[#All],3))</f>
        <v/>
      </c>
      <c r="F9" s="106" t="str">
        <f>IF(ISBLANK(B9),"",VLOOKUP(B9,grains_table[#All],6))</f>
        <v/>
      </c>
      <c r="G9" s="110" t="str">
        <f t="shared" si="1"/>
        <v/>
      </c>
      <c r="H9" s="111" t="str">
        <f>IF(ISBLANK(B9),"",IF('Brewhouse Setup &amp; Calcs'!$B$2="Metric",2.20462262185*G9*C9,G9*C9))</f>
        <v/>
      </c>
      <c r="I9" s="112" t="str">
        <f>IF(ISBLANK(B9),"",IF(E9="Grain",'Brewhouse Setup &amp; Calcs'!$B$17,IF(E9="Sugar",1,)))</f>
        <v/>
      </c>
      <c r="J9" s="111" t="str">
        <f>IF(ISBLANK(B9),"",IF('Brewhouse Setup &amp; Calcs'!$B$2="Metric",H9*I9/(0.264172*'Brewhouse Setup &amp; Calcs'!$B$55),H9*I9/'Brewhouse Setup &amp; Calcs'!$B$55*4))</f>
        <v/>
      </c>
      <c r="K9" s="111" t="str">
        <f>IF(ISBLANK(B9),"",IF('Brewhouse Setup &amp; Calcs'!$B$2="Metric",H9*I9/(0.264172*'Brewhouse Setup &amp; Calcs'!$B$58),H9*I9/'Brewhouse Setup &amp; Calcs'!$B$58*4))</f>
        <v/>
      </c>
      <c r="L9" s="111" t="str">
        <f>IF(ISBLANK(C9),"",(IF('Brewhouse Setup &amp; Calcs'!$B$2="US Customary",1.4922*((VLOOKUP(B9,grains_table[#All],7)*C9)/('Brewhouse Setup &amp; Calcs'!$B$58/4))^0.6859,1.4922*((VLOOKUP(B9,grains_table[#All],7)*C9*2.204623)/('Brewhouse Setup &amp; Calcs'!$B$58*1.056688/4))^0.6859)))</f>
        <v/>
      </c>
    </row>
    <row r="10" spans="2:13" x14ac:dyDescent="0.25">
      <c r="B10" s="49"/>
      <c r="C10" s="43"/>
      <c r="D10" s="108" t="str">
        <f t="shared" si="0"/>
        <v/>
      </c>
      <c r="E10" s="109" t="str">
        <f>IF(ISBLANK(B10),"",VLOOKUP(B10,grains_table[#All],3))</f>
        <v/>
      </c>
      <c r="F10" s="106" t="str">
        <f>IF(ISBLANK(B10),"",VLOOKUP(B10,grains_table[#All],6))</f>
        <v/>
      </c>
      <c r="G10" s="110" t="str">
        <f t="shared" si="1"/>
        <v/>
      </c>
      <c r="H10" s="111" t="str">
        <f>IF(ISBLANK(B10),"",IF('Brewhouse Setup &amp; Calcs'!$B$2="Metric",2.20462262185*G10*C10,G10*C10))</f>
        <v/>
      </c>
      <c r="I10" s="112" t="str">
        <f>IF(ISBLANK(B10),"",IF(E10="Grain",'Brewhouse Setup &amp; Calcs'!$B$17,IF(E10="Sugar",1,)))</f>
        <v/>
      </c>
      <c r="J10" s="111" t="str">
        <f>IF(ISBLANK(B10),"",IF('Brewhouse Setup &amp; Calcs'!$B$2="Metric",H10*I10/(0.264172*'Brewhouse Setup &amp; Calcs'!$B$55),H10*I10/'Brewhouse Setup &amp; Calcs'!$B$55*4))</f>
        <v/>
      </c>
      <c r="K10" s="111" t="str">
        <f>IF(ISBLANK(B10),"",IF('Brewhouse Setup &amp; Calcs'!$B$2="Metric",H10*I10/(0.264172*'Brewhouse Setup &amp; Calcs'!$B$58),H10*I10/'Brewhouse Setup &amp; Calcs'!$B$58*4))</f>
        <v/>
      </c>
      <c r="L10" s="111" t="str">
        <f>IF(ISBLANK(C10),"",(IF('Brewhouse Setup &amp; Calcs'!$B$2="US Customary",1.4922*((VLOOKUP(B10,grains_table[#All],7)*C10)/('Brewhouse Setup &amp; Calcs'!$B$58/4))^0.6859,1.4922*((VLOOKUP(B10,grains_table[#All],7)*C10*2.204623)/('Brewhouse Setup &amp; Calcs'!$B$58*1.056688/4))^0.6859)))</f>
        <v/>
      </c>
    </row>
    <row r="11" spans="2:13" x14ac:dyDescent="0.25">
      <c r="B11" s="49"/>
      <c r="C11" s="43"/>
      <c r="D11" s="108" t="str">
        <f t="shared" si="0"/>
        <v/>
      </c>
      <c r="E11" s="109" t="str">
        <f>IF(ISBLANK(B11),"",VLOOKUP(B11,grains_table[#All],3))</f>
        <v/>
      </c>
      <c r="F11" s="106" t="str">
        <f>IF(ISBLANK(B11),"",VLOOKUP(B11,grains_table[#All],6))</f>
        <v/>
      </c>
      <c r="G11" s="110" t="str">
        <f t="shared" si="1"/>
        <v/>
      </c>
      <c r="H11" s="111" t="str">
        <f>IF(ISBLANK(B11),"",IF('Brewhouse Setup &amp; Calcs'!$B$2="Metric",2.20462262185*G11*C11,G11*C11))</f>
        <v/>
      </c>
      <c r="I11" s="112" t="str">
        <f>IF(ISBLANK(B11),"",IF(E11="Grain",'Brewhouse Setup &amp; Calcs'!$B$17,IF(E11="Sugar",1,)))</f>
        <v/>
      </c>
      <c r="J11" s="111" t="str">
        <f>IF(ISBLANK(B11),"",IF('Brewhouse Setup &amp; Calcs'!$B$2="Metric",H11*I11/(0.264172*'Brewhouse Setup &amp; Calcs'!$B$55),H11*I11/'Brewhouse Setup &amp; Calcs'!$B$55*4))</f>
        <v/>
      </c>
      <c r="K11" s="111" t="str">
        <f>IF(ISBLANK(B11),"",IF('Brewhouse Setup &amp; Calcs'!$B$2="Metric",H11*I11/(0.264172*'Brewhouse Setup &amp; Calcs'!$B$58),H11*I11/'Brewhouse Setup &amp; Calcs'!$B$58*4))</f>
        <v/>
      </c>
      <c r="L11" s="111" t="str">
        <f>IF(ISBLANK(C11),"",(IF('Brewhouse Setup &amp; Calcs'!$B$2="US Customary",1.4922*((VLOOKUP(B11,grains_table[#All],7)*C11)/('Brewhouse Setup &amp; Calcs'!$B$58/4))^0.6859,1.4922*((VLOOKUP(B11,grains_table[#All],7)*C11*2.204623)/('Brewhouse Setup &amp; Calcs'!$B$58*1.056688/4))^0.6859)))</f>
        <v/>
      </c>
    </row>
    <row r="12" spans="2:13" x14ac:dyDescent="0.25">
      <c r="B12" s="49"/>
      <c r="C12" s="43"/>
      <c r="D12" s="108" t="str">
        <f t="shared" si="0"/>
        <v/>
      </c>
      <c r="E12" s="109" t="str">
        <f>IF(ISBLANK(B12),"",VLOOKUP(B12,grains_table[#All],3))</f>
        <v/>
      </c>
      <c r="F12" s="106" t="str">
        <f>IF(ISBLANK(B12),"",VLOOKUP(B12,grains_table[#All],6))</f>
        <v/>
      </c>
      <c r="G12" s="110" t="str">
        <f t="shared" si="1"/>
        <v/>
      </c>
      <c r="H12" s="111" t="str">
        <f>IF(ISBLANK(B12),"",IF('Brewhouse Setup &amp; Calcs'!$B$2="Metric",2.20462262185*G12*C12,G12*C12))</f>
        <v/>
      </c>
      <c r="I12" s="112" t="str">
        <f>IF(ISBLANK(B12),"",IF(E12="Grain",'Brewhouse Setup &amp; Calcs'!$B$17,IF(E12="Sugar",1,)))</f>
        <v/>
      </c>
      <c r="J12" s="111" t="str">
        <f>IF(ISBLANK(B12),"",IF('Brewhouse Setup &amp; Calcs'!$B$2="Metric",H12*I12/(0.264172*'Brewhouse Setup &amp; Calcs'!$B$55),H12*I12/'Brewhouse Setup &amp; Calcs'!$B$55*4))</f>
        <v/>
      </c>
      <c r="K12" s="111" t="str">
        <f>IF(ISBLANK(B12),"",IF('Brewhouse Setup &amp; Calcs'!$B$2="Metric",H12*I12/(0.264172*'Brewhouse Setup &amp; Calcs'!$B$58),H12*I12/'Brewhouse Setup &amp; Calcs'!$B$58*4))</f>
        <v/>
      </c>
      <c r="L12" s="111" t="str">
        <f>IF(ISBLANK(C12),"",(IF('Brewhouse Setup &amp; Calcs'!$B$2="US Customary",1.4922*((VLOOKUP(B12,grains_table[#All],7)*C12)/('Brewhouse Setup &amp; Calcs'!$B$58/4))^0.6859,1.4922*((VLOOKUP(B12,grains_table[#All],7)*C12*2.204623)/('Brewhouse Setup &amp; Calcs'!$B$58*1.056688/4))^0.6859)))</f>
        <v/>
      </c>
    </row>
    <row r="13" spans="2:13" x14ac:dyDescent="0.25">
      <c r="B13" s="49"/>
      <c r="C13" s="43"/>
      <c r="D13" s="108" t="str">
        <f t="shared" si="0"/>
        <v/>
      </c>
      <c r="E13" s="109" t="str">
        <f>IF(ISBLANK(B13),"",VLOOKUP(B13,grains_table[#All],3))</f>
        <v/>
      </c>
      <c r="F13" s="106" t="str">
        <f>IF(ISBLANK(B13),"",VLOOKUP(B13,grains_table[#All],6))</f>
        <v/>
      </c>
      <c r="G13" s="110" t="str">
        <f t="shared" si="1"/>
        <v/>
      </c>
      <c r="H13" s="111" t="str">
        <f>IF(ISBLANK(B13),"",IF('Brewhouse Setup &amp; Calcs'!$B$2="Metric",2.20462262185*G13*C13,G13*C13))</f>
        <v/>
      </c>
      <c r="I13" s="112" t="str">
        <f>IF(ISBLANK(B13),"",IF(E13="Grain",'Brewhouse Setup &amp; Calcs'!$B$17,IF(E13="Sugar",1,)))</f>
        <v/>
      </c>
      <c r="J13" s="111" t="str">
        <f>IF(ISBLANK(B13),"",IF('Brewhouse Setup &amp; Calcs'!$B$2="Metric",H13*I13/(0.264172*'Brewhouse Setup &amp; Calcs'!$B$55),H13*I13/'Brewhouse Setup &amp; Calcs'!$B$55*4))</f>
        <v/>
      </c>
      <c r="K13" s="111" t="str">
        <f>IF(ISBLANK(B13),"",IF('Brewhouse Setup &amp; Calcs'!$B$2="Metric",H13*I13/(0.264172*'Brewhouse Setup &amp; Calcs'!$B$58),H13*I13/'Brewhouse Setup &amp; Calcs'!$B$58*4))</f>
        <v/>
      </c>
      <c r="L13" s="111" t="str">
        <f>IF(ISBLANK(C13),"",(IF('Brewhouse Setup &amp; Calcs'!$B$2="US Customary",1.4922*((VLOOKUP(B13,grains_table[#All],7)*C13)/('Brewhouse Setup &amp; Calcs'!$B$58/4))^0.6859,1.4922*((VLOOKUP(B13,grains_table[#All],7)*C13*2.204623)/('Brewhouse Setup &amp; Calcs'!$B$58*1.056688/4))^0.6859)))</f>
        <v/>
      </c>
    </row>
    <row r="14" spans="2:13" x14ac:dyDescent="0.25">
      <c r="B14" s="25" t="s">
        <v>101</v>
      </c>
      <c r="C14" s="63">
        <f>SUMIF($E$5:$E$13,"Grain",$C$5:$C$13)</f>
        <v>13.5</v>
      </c>
      <c r="D14" s="94">
        <f>SUMIF($E$5:$E$13,"Grain",$D$5:$D$13)</f>
        <v>1</v>
      </c>
      <c r="G14" s="54" t="s">
        <v>1220</v>
      </c>
      <c r="H14" s="92">
        <f>SUMIF($E$5:$E$13,"Grain",$H$5:$H$13)</f>
        <v>481.5498799999998</v>
      </c>
      <c r="I14" s="25"/>
      <c r="J14" s="92">
        <f>SUMIF($E$5:$E$13,"Grain",$J$5:$J$13)</f>
        <v>62.623078565022382</v>
      </c>
      <c r="K14" s="92">
        <f>SUMIF($E$5:$E$13,"Grain",$K$5:$K$13)</f>
        <v>69.824732599999962</v>
      </c>
    </row>
    <row r="15" spans="2:13" x14ac:dyDescent="0.25">
      <c r="B15" s="54" t="s">
        <v>952</v>
      </c>
      <c r="C15" s="63">
        <f>SUMIF($E$5:$E$13,"Sugar",$C$5:$C$13)</f>
        <v>0</v>
      </c>
      <c r="D15" s="94">
        <f>SUMIF($E$5:$E$13,"Sugar",$D$5:$D$13)</f>
        <v>0</v>
      </c>
      <c r="G15" s="54" t="s">
        <v>1221</v>
      </c>
      <c r="H15" s="92">
        <f>SUMIF($E$5:$E$13,"Sugar",$H$5:$H$13)</f>
        <v>0</v>
      </c>
      <c r="I15" s="25"/>
      <c r="J15" s="92">
        <f>SUMIF($E$5:$E$13,"Sugar",$J$5:$J$13)</f>
        <v>0</v>
      </c>
      <c r="K15" s="92">
        <f>SUMIF($E$5:$E$13,"Sugar",$K$5:$K$13)</f>
        <v>0</v>
      </c>
    </row>
    <row r="16" spans="2:13" x14ac:dyDescent="0.25">
      <c r="B16" s="48" t="s">
        <v>151</v>
      </c>
      <c r="C16" s="63">
        <f>C14+C15</f>
        <v>13.5</v>
      </c>
      <c r="D16" s="94">
        <f>D14+D15</f>
        <v>1</v>
      </c>
      <c r="G16" s="54" t="s">
        <v>151</v>
      </c>
      <c r="H16" s="92">
        <f>SUM(H5:H13)</f>
        <v>481.5498799999998</v>
      </c>
      <c r="J16" s="92">
        <f>SUM(J5:J13)</f>
        <v>62.623078565022382</v>
      </c>
      <c r="K16" s="92">
        <f>SUM(K5:K13)</f>
        <v>69.824732599999962</v>
      </c>
    </row>
    <row r="17" spans="5:12" x14ac:dyDescent="0.25">
      <c r="L17" s="55" t="s">
        <v>1401</v>
      </c>
    </row>
    <row r="18" spans="5:12" x14ac:dyDescent="0.25">
      <c r="I18" s="48" t="s">
        <v>152</v>
      </c>
      <c r="J18" s="35">
        <f>SUMIF($E$5:$E$13,"Grain",$J$5:$J$13)*(IF(H4="PKL",2.205,1))/1000+1</f>
        <v>1.0626230785650224</v>
      </c>
      <c r="L18" s="111">
        <f>SUM(L5:L13)</f>
        <v>4.9759346074518778</v>
      </c>
    </row>
    <row r="19" spans="5:12" x14ac:dyDescent="0.25">
      <c r="I19" s="48" t="s">
        <v>1222</v>
      </c>
      <c r="J19" s="93">
        <f>SUMIF($E$5:$E$13,"Sugar",$J$5:$J$13)/1000+1</f>
        <v>1</v>
      </c>
    </row>
    <row r="20" spans="5:12" x14ac:dyDescent="0.25">
      <c r="I20" s="48" t="s">
        <v>157</v>
      </c>
      <c r="J20" s="93">
        <f>SUM(J5:J13)/1000+1</f>
        <v>1.0626230785650224</v>
      </c>
      <c r="K20" s="35">
        <f>SUM(K5:K13)/1000+1</f>
        <v>1.0698247325999999</v>
      </c>
    </row>
    <row r="21" spans="5:12" x14ac:dyDescent="0.25">
      <c r="E21" s="24"/>
    </row>
  </sheetData>
  <sheetProtection sheet="1" objects="1" scenarios="1"/>
  <mergeCells count="9">
    <mergeCell ref="K3:K4"/>
    <mergeCell ref="H3:H4"/>
    <mergeCell ref="F3:F4"/>
    <mergeCell ref="B2:L2"/>
    <mergeCell ref="B3:B4"/>
    <mergeCell ref="D3:D4"/>
    <mergeCell ref="E3:E4"/>
    <mergeCell ref="I3:I4"/>
    <mergeCell ref="J3:J4"/>
  </mergeCells>
  <dataValidations count="1">
    <dataValidation type="list" showInputMessage="1" showErrorMessage="1" sqref="E5:E13">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'Grain &amp; Sugar List'!$A$5:$A$201</xm:f>
          </x14:formula1>
          <xm:sqref>B5:B13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H11" sqref="H11"/>
    </sheetView>
  </sheetViews>
  <sheetFormatPr defaultRowHeight="13.2" x14ac:dyDescent="0.25"/>
  <cols>
    <col min="1" max="1" width="29.77734375" bestFit="1" customWidth="1"/>
    <col min="2" max="2" width="9.6640625" customWidth="1"/>
    <col min="3" max="3" width="7.21875" customWidth="1"/>
    <col min="4" max="4" width="36.33203125" customWidth="1"/>
    <col min="5" max="5" width="6.5546875" style="30" customWidth="1"/>
    <col min="6" max="6" width="8.33203125" customWidth="1"/>
    <col min="7" max="7" width="7.21875" customWidth="1"/>
    <col min="8" max="8" width="7.88671875" customWidth="1"/>
    <col min="9" max="9" width="8" customWidth="1"/>
    <col min="10" max="10" width="8.77734375" customWidth="1"/>
  </cols>
  <sheetData>
    <row r="1" spans="1:11" x14ac:dyDescent="0.25">
      <c r="B1" s="360" t="s">
        <v>123</v>
      </c>
      <c r="C1" s="360"/>
      <c r="D1" s="360"/>
      <c r="E1" s="360"/>
      <c r="F1" s="360"/>
      <c r="G1" s="360"/>
      <c r="H1" s="360"/>
      <c r="I1" s="360"/>
      <c r="J1" s="360"/>
    </row>
    <row r="2" spans="1:11" x14ac:dyDescent="0.25">
      <c r="B2" s="34" t="s">
        <v>141</v>
      </c>
      <c r="C2" s="44">
        <v>0.1</v>
      </c>
      <c r="D2" s="25" t="s">
        <v>126</v>
      </c>
      <c r="E2" s="45">
        <v>0</v>
      </c>
      <c r="G2" s="17" t="s">
        <v>124</v>
      </c>
      <c r="H2" s="44">
        <v>0.1</v>
      </c>
      <c r="I2" s="17" t="s">
        <v>125</v>
      </c>
      <c r="J2" s="44">
        <v>0.05</v>
      </c>
    </row>
    <row r="4" spans="1:11" x14ac:dyDescent="0.25">
      <c r="B4" s="305" t="s">
        <v>96</v>
      </c>
      <c r="C4" s="305"/>
      <c r="D4" s="305"/>
      <c r="E4" s="305"/>
      <c r="F4" s="359"/>
      <c r="G4" s="305"/>
      <c r="H4" s="305"/>
      <c r="I4" s="305"/>
      <c r="J4" s="305"/>
    </row>
    <row r="5" spans="1:11" ht="30.6" customHeight="1" x14ac:dyDescent="0.25">
      <c r="B5" s="298" t="s">
        <v>95</v>
      </c>
      <c r="C5" s="298" t="s">
        <v>68</v>
      </c>
      <c r="D5" s="298" t="s">
        <v>93</v>
      </c>
      <c r="E5" s="357" t="s">
        <v>94</v>
      </c>
      <c r="F5" s="73" t="s">
        <v>166</v>
      </c>
      <c r="G5" s="298" t="s">
        <v>1228</v>
      </c>
      <c r="H5" s="298" t="s">
        <v>100</v>
      </c>
      <c r="I5" s="298" t="s">
        <v>90</v>
      </c>
      <c r="J5" s="298" t="s">
        <v>89</v>
      </c>
    </row>
    <row r="6" spans="1:11" x14ac:dyDescent="0.25">
      <c r="B6" s="277"/>
      <c r="C6" s="277"/>
      <c r="D6" s="277"/>
      <c r="E6" s="358"/>
      <c r="F6" s="72" t="str">
        <f>'Brewhouse Setup &amp; Calcs'!$B$7</f>
        <v>oz</v>
      </c>
      <c r="G6" s="277"/>
      <c r="H6" s="277"/>
      <c r="I6" s="277"/>
      <c r="J6" s="277"/>
    </row>
    <row r="7" spans="1:11" x14ac:dyDescent="0.25">
      <c r="A7" s="50" t="s">
        <v>158</v>
      </c>
      <c r="B7" s="74" t="s">
        <v>1807</v>
      </c>
      <c r="C7" s="49" t="s">
        <v>1398</v>
      </c>
      <c r="D7" s="64" t="s">
        <v>811</v>
      </c>
      <c r="E7" s="46">
        <v>13</v>
      </c>
      <c r="F7" s="43">
        <v>0.5</v>
      </c>
      <c r="G7" s="104">
        <f>IF(ISBLANK(F7),"",IF($F$6="grams",E7*F7/28.346,E7*F7))</f>
        <v>6.5</v>
      </c>
      <c r="H7" s="105">
        <f>1+IF(C7="Leaf",0,IF(C7="Pellet",$H$2,IF(C7="Plug",$J$2,)))+IF(B7="FWH",$C$2,)</f>
        <v>1.2000000000000002</v>
      </c>
      <c r="I7" s="106">
        <f>(1.65*0.000125^(('Grain &amp; Sugar Calcs'!$J$20+'Grain &amp; Sugar Calcs'!$K$20)/2-1))*((1-EXP(-0.04*IF(B7="Hop Stand",0,IF(B7="Dry Hop",0,IF(B7="FWH",'Brewhouse Setup &amp; Calcs'!$B$18,B7)))))/4.15)*H7</f>
        <v>0.23924223284792659</v>
      </c>
      <c r="J7" s="107">
        <f>(E7*IF('Brewhouse Setup &amp; Calcs'!$B$7="grams",F7/28.349523,F7)*I7*74.89/IF($F$6="grams",'Brewhouse Setup &amp; Calcs'!$B$58*1.056688/4,'Brewhouse Setup &amp; Calcs'!$B$58/4))</f>
        <v>19.409921719479659</v>
      </c>
    </row>
    <row r="8" spans="1:11" x14ac:dyDescent="0.25">
      <c r="B8" s="74" t="s">
        <v>1807</v>
      </c>
      <c r="C8" s="74" t="s">
        <v>1398</v>
      </c>
      <c r="D8" s="64" t="s">
        <v>948</v>
      </c>
      <c r="E8" s="46">
        <v>12.3</v>
      </c>
      <c r="F8" s="43">
        <v>0.5</v>
      </c>
      <c r="G8" s="104">
        <f t="shared" ref="G8:G15" si="0">IF(ISBLANK(F8),"",IF($F$6="grams",E8*F8/28.346,E8*F8))</f>
        <v>6.15</v>
      </c>
      <c r="H8" s="105">
        <f t="shared" ref="H8:H15" si="1">1+IF(C8="Leaf",0,IF(C8="Pellet",$H$2,IF(C8="Plug",$J$2,)))+IF(B8="FWH",$C$2,)</f>
        <v>1.2000000000000002</v>
      </c>
      <c r="I8" s="106">
        <f>(1.65*0.000125^(('Grain &amp; Sugar Calcs'!$J$20+'Grain &amp; Sugar Calcs'!$K$20)/2-1))*((1-EXP(-0.04*IF(B8="Hop Stand",0,IF(B8="Dry Hop",0,IF(B8="FWH",'Brewhouse Setup &amp; Calcs'!$B$18,B8)))))/4.15)*H8</f>
        <v>0.23924223284792659</v>
      </c>
      <c r="J8" s="107">
        <f>(E8*IF('Brewhouse Setup &amp; Calcs'!$B$7="grams",F8/28.349523,F8)*I8*74.89/IF($F$6="grams",'Brewhouse Setup &amp; Calcs'!$B$58*1.056688/4,'Brewhouse Setup &amp; Calcs'!$B$58/4))</f>
        <v>18.364772088430751</v>
      </c>
    </row>
    <row r="9" spans="1:11" x14ac:dyDescent="0.25">
      <c r="B9" s="74" t="s">
        <v>1808</v>
      </c>
      <c r="C9" s="74" t="s">
        <v>1398</v>
      </c>
      <c r="D9" s="74" t="s">
        <v>811</v>
      </c>
      <c r="E9" s="46">
        <v>13</v>
      </c>
      <c r="F9" s="43">
        <v>1.5</v>
      </c>
      <c r="G9" s="104">
        <f t="shared" si="0"/>
        <v>19.5</v>
      </c>
      <c r="H9" s="105">
        <f t="shared" si="1"/>
        <v>1.1000000000000001</v>
      </c>
      <c r="I9" s="106">
        <f>(1.65*0.000125^(('Grain &amp; Sugar Calcs'!$J$20+'Grain &amp; Sugar Calcs'!$K$20)/2-1))*((1-EXP(-0.04*IF(B9="Hop Stand",0,IF(B9="Dry Hop",0,IF(B9="FWH",'Brewhouse Setup &amp; Calcs'!$B$18,B9)))))/4.15)*H9</f>
        <v>0</v>
      </c>
      <c r="J9" s="107">
        <f>(E9*IF('Brewhouse Setup &amp; Calcs'!$B$7="grams",F9/28.349523,F9)*I9*74.89/IF($F$6="grams",'Brewhouse Setup &amp; Calcs'!$B$58*1.056688/4,'Brewhouse Setup &amp; Calcs'!$B$58/4))</f>
        <v>0</v>
      </c>
    </row>
    <row r="10" spans="1:11" x14ac:dyDescent="0.25">
      <c r="B10" s="74" t="s">
        <v>1808</v>
      </c>
      <c r="C10" s="74" t="s">
        <v>1398</v>
      </c>
      <c r="D10" s="74" t="s">
        <v>948</v>
      </c>
      <c r="E10" s="46">
        <v>12.3</v>
      </c>
      <c r="F10" s="43">
        <v>1.5</v>
      </c>
      <c r="G10" s="104">
        <f t="shared" si="0"/>
        <v>18.450000000000003</v>
      </c>
      <c r="H10" s="105">
        <f t="shared" ref="H10:H11" si="2">1+IF(C10="Leaf",0,IF(C10="Pellet",$H$2,IF(C10="Plug",$J$2,)))+IF(B10="FWH",$C$2,)</f>
        <v>1.1000000000000001</v>
      </c>
      <c r="I10" s="106">
        <f>(1.65*0.000125^(('Grain &amp; Sugar Calcs'!$J$20+'Grain &amp; Sugar Calcs'!$K$20)/2-1))*((1-EXP(-0.04*IF(B10="Hop Stand",0,IF(B10="Dry Hop",0,IF(B10="FWH",'Brewhouse Setup &amp; Calcs'!$B$18,B10)))))/4.15)*H10</f>
        <v>0</v>
      </c>
      <c r="J10" s="107">
        <f>(E10*IF('Brewhouse Setup &amp; Calcs'!$B$7="grams",F10/28.349523,F10)*I10*74.89/IF($F$6="grams",'Brewhouse Setup &amp; Calcs'!$B$58*1.056688/4,'Brewhouse Setup &amp; Calcs'!$B$58/4))</f>
        <v>0</v>
      </c>
    </row>
    <row r="11" spans="1:11" x14ac:dyDescent="0.25">
      <c r="B11" s="74" t="s">
        <v>1809</v>
      </c>
      <c r="C11" s="74" t="s">
        <v>1398</v>
      </c>
      <c r="D11" s="74" t="s">
        <v>811</v>
      </c>
      <c r="E11" s="46">
        <v>13</v>
      </c>
      <c r="F11" s="43">
        <v>1</v>
      </c>
      <c r="G11" s="104">
        <f t="shared" si="0"/>
        <v>13</v>
      </c>
      <c r="H11" s="105">
        <f t="shared" si="2"/>
        <v>1.1000000000000001</v>
      </c>
      <c r="I11" s="106">
        <f>(1.65*0.000125^(('Grain &amp; Sugar Calcs'!$J$20+'Grain &amp; Sugar Calcs'!$K$20)/2-1))*((1-EXP(-0.04*IF(B11="Hop Stand",0,IF(B11="Dry Hop",0,IF(B11="FWH",'Brewhouse Setup &amp; Calcs'!$B$18,B11)))))/4.15)*H11</f>
        <v>0</v>
      </c>
      <c r="J11" s="107">
        <f>(E11*IF('Brewhouse Setup &amp; Calcs'!$B$7="grams",F11/28.349523,F11)*I11*74.89/IF($F$6="grams",'Brewhouse Setup &amp; Calcs'!$B$58*1.056688/4,'Brewhouse Setup &amp; Calcs'!$B$58/4))</f>
        <v>0</v>
      </c>
    </row>
    <row r="12" spans="1:11" x14ac:dyDescent="0.25">
      <c r="B12" s="74" t="s">
        <v>1809</v>
      </c>
      <c r="C12" s="74" t="s">
        <v>1398</v>
      </c>
      <c r="D12" s="64" t="s">
        <v>948</v>
      </c>
      <c r="E12" s="46">
        <v>12.3</v>
      </c>
      <c r="F12" s="43">
        <v>1</v>
      </c>
      <c r="G12" s="104">
        <f t="shared" si="0"/>
        <v>12.3</v>
      </c>
      <c r="H12" s="105">
        <f t="shared" si="1"/>
        <v>1.1000000000000001</v>
      </c>
      <c r="I12" s="106">
        <f>(1.65*0.000125^(('Grain &amp; Sugar Calcs'!$J$20+'Grain &amp; Sugar Calcs'!$K$20)/2-1))*((1-EXP(-0.04*IF(B12="Hop Stand",0,IF(B12="Dry Hop",0,IF(B12="FWH",'Brewhouse Setup &amp; Calcs'!$B$18,B12)))))/4.15)*H12</f>
        <v>0</v>
      </c>
      <c r="J12" s="107">
        <f>(E12*IF('Brewhouse Setup &amp; Calcs'!$B$7="grams",F12/28.349523,F12)*I12*74.89/IF($F$6="grams",'Brewhouse Setup &amp; Calcs'!$B$58*1.056688/4,'Brewhouse Setup &amp; Calcs'!$B$58/4))</f>
        <v>0</v>
      </c>
    </row>
    <row r="13" spans="1:11" x14ac:dyDescent="0.25">
      <c r="B13" s="74"/>
      <c r="C13" s="74"/>
      <c r="D13" s="64"/>
      <c r="E13" s="46"/>
      <c r="F13" s="43"/>
      <c r="G13" s="104" t="str">
        <f t="shared" si="0"/>
        <v/>
      </c>
      <c r="H13" s="105">
        <f t="shared" si="1"/>
        <v>1</v>
      </c>
      <c r="I13" s="106">
        <f>(1.65*0.000125^(('Grain &amp; Sugar Calcs'!$J$20+'Grain &amp; Sugar Calcs'!$K$20)/2-1))*((1-EXP(-0.04*IF(B13="Hop Stand",0,IF(B13="Dry Hop",0,IF(B13="FWH",'Brewhouse Setup &amp; Calcs'!$B$18,B13)))))/4.15)*H13</f>
        <v>0</v>
      </c>
      <c r="J13" s="107">
        <f>(E13*IF('Brewhouse Setup &amp; Calcs'!$B$7="grams",F13/28.349523,F13)*I13*74.89/IF($F$6="grams",'Brewhouse Setup &amp; Calcs'!$B$58*1.056688/4,'Brewhouse Setup &amp; Calcs'!$B$58/4))</f>
        <v>0</v>
      </c>
    </row>
    <row r="14" spans="1:11" x14ac:dyDescent="0.25">
      <c r="B14" s="74"/>
      <c r="C14" s="74"/>
      <c r="D14" s="64"/>
      <c r="E14" s="46"/>
      <c r="F14" s="43"/>
      <c r="G14" s="104" t="str">
        <f t="shared" si="0"/>
        <v/>
      </c>
      <c r="H14" s="105">
        <f t="shared" si="1"/>
        <v>1</v>
      </c>
      <c r="I14" s="106">
        <f>(1.65*0.000125^(('Grain &amp; Sugar Calcs'!$J$20+'Grain &amp; Sugar Calcs'!$K$20)/2-1))*((1-EXP(-0.04*IF(B14="Hop Stand",0,IF(B14="Dry Hop",0,IF(B14="FWH",'Brewhouse Setup &amp; Calcs'!$B$18,B14)))))/4.15)*H14</f>
        <v>0</v>
      </c>
      <c r="J14" s="107">
        <f>(E14*IF('Brewhouse Setup &amp; Calcs'!$B$7="grams",F14/28.349523,F14)*I14*74.89/IF($F$6="grams",'Brewhouse Setup &amp; Calcs'!$B$58*1.056688/4,'Brewhouse Setup &amp; Calcs'!$B$58/4))</f>
        <v>0</v>
      </c>
    </row>
    <row r="15" spans="1:11" x14ac:dyDescent="0.25">
      <c r="A15" s="25"/>
      <c r="B15" s="74"/>
      <c r="C15" s="74"/>
      <c r="D15" s="64"/>
      <c r="E15" s="46"/>
      <c r="F15" s="43"/>
      <c r="G15" s="104" t="str">
        <f t="shared" si="0"/>
        <v/>
      </c>
      <c r="H15" s="105">
        <f t="shared" si="1"/>
        <v>1</v>
      </c>
      <c r="I15" s="106">
        <f>(1.65*0.000125^(('Grain &amp; Sugar Calcs'!$J$20+'Grain &amp; Sugar Calcs'!$K$20)/2-1))*((1-EXP(-0.04*IF(B15="Hop Stand",0,IF(B15="Dry Hop",0,IF(B15="FWH",'Brewhouse Setup &amp; Calcs'!$B$18,B15)))))/4.15)*H15</f>
        <v>0</v>
      </c>
      <c r="J15" s="107">
        <f>(E15*IF('Brewhouse Setup &amp; Calcs'!$B$7="grams",F15/28.349523,F15)*I15*74.89/IF($F$6="grams",'Brewhouse Setup &amp; Calcs'!$B$58*1.056688/4,'Brewhouse Setup &amp; Calcs'!$B$58/4))</f>
        <v>0</v>
      </c>
    </row>
    <row r="16" spans="1:11" x14ac:dyDescent="0.25">
      <c r="C16" s="36"/>
      <c r="J16" s="29">
        <f>SUM(J7:J15)</f>
        <v>37.77469380791041</v>
      </c>
      <c r="K16" s="26" t="s">
        <v>92</v>
      </c>
    </row>
    <row r="17" spans="3:3" x14ac:dyDescent="0.25">
      <c r="C17" s="36"/>
    </row>
    <row r="18" spans="3:3" x14ac:dyDescent="0.25">
      <c r="C18" s="36"/>
    </row>
    <row r="19" spans="3:3" x14ac:dyDescent="0.25">
      <c r="C19" s="36"/>
    </row>
    <row r="20" spans="3:3" x14ac:dyDescent="0.25">
      <c r="C20" s="36"/>
    </row>
    <row r="21" spans="3:3" x14ac:dyDescent="0.25">
      <c r="C21" s="36"/>
    </row>
  </sheetData>
  <sheetProtection sheet="1" objects="1" scenarios="1"/>
  <dataConsolidate/>
  <mergeCells count="10">
    <mergeCell ref="B4:J4"/>
    <mergeCell ref="B1:J1"/>
    <mergeCell ref="B5:B6"/>
    <mergeCell ref="C5:C6"/>
    <mergeCell ref="D5:D6"/>
    <mergeCell ref="E5:E6"/>
    <mergeCell ref="G5:G6"/>
    <mergeCell ref="H5:H6"/>
    <mergeCell ref="I5:I6"/>
    <mergeCell ref="J5:J6"/>
  </mergeCells>
  <dataValidations count="2">
    <dataValidation type="list" allowBlank="1" showInputMessage="1" showErrorMessage="1" sqref="C7:C15">
      <formula1>"Leaf,Pellet,Plug"</formula1>
    </dataValidation>
    <dataValidation type="list" allowBlank="1" showInputMessage="1" showErrorMessage="1" sqref="B7:B15">
      <formula1>"FWH,60,45,30,20,15,10,5,2,1,0,Hop Stand,Dry Hop"</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14:formula1>
            <xm:f>'Hops List'!$A$2:$A$140</xm:f>
          </x14:formula1>
          <xm:sqref>D7:D15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workbookViewId="0">
      <selection activeCell="C38" sqref="C38"/>
    </sheetView>
  </sheetViews>
  <sheetFormatPr defaultRowHeight="13.2" x14ac:dyDescent="0.25"/>
  <cols>
    <col min="1" max="1" width="21.109375" customWidth="1"/>
    <col min="2" max="2" width="6.6640625" customWidth="1"/>
    <col min="3" max="3" width="13.5546875" customWidth="1"/>
    <col min="4" max="4" width="2.88671875" customWidth="1"/>
    <col min="5" max="5" width="4.33203125" customWidth="1"/>
    <col min="6" max="7" width="5.88671875" customWidth="1"/>
    <col min="8" max="8" width="7.44140625" customWidth="1"/>
    <col min="9" max="9" width="2.6640625" customWidth="1"/>
    <col min="10" max="10" width="21" customWidth="1"/>
    <col min="12" max="12" width="8.5546875" customWidth="1"/>
    <col min="13" max="13" width="4" customWidth="1"/>
    <col min="14" max="14" width="6" customWidth="1"/>
    <col min="15" max="15" width="7.5546875" customWidth="1"/>
    <col min="16" max="16" width="2.6640625" customWidth="1"/>
    <col min="17" max="17" width="19.88671875" customWidth="1"/>
  </cols>
  <sheetData>
    <row r="1" spans="1:12" ht="15.6" x14ac:dyDescent="0.25">
      <c r="A1" s="371" t="s">
        <v>66</v>
      </c>
      <c r="B1" s="372"/>
      <c r="C1" s="372"/>
      <c r="E1" s="371" t="s">
        <v>38</v>
      </c>
      <c r="F1" s="372"/>
      <c r="G1" s="372"/>
      <c r="H1" s="373"/>
      <c r="J1" s="371" t="s">
        <v>29</v>
      </c>
      <c r="K1" s="372"/>
      <c r="L1" s="372"/>
    </row>
    <row r="2" spans="1:12" ht="15.6" x14ac:dyDescent="0.35">
      <c r="A2" s="5" t="s">
        <v>39</v>
      </c>
      <c r="B2" s="99">
        <v>0.88</v>
      </c>
      <c r="C2" s="2" t="s">
        <v>15</v>
      </c>
      <c r="E2" s="370" t="s">
        <v>20</v>
      </c>
      <c r="F2" s="370"/>
      <c r="G2" s="368" t="s">
        <v>47</v>
      </c>
      <c r="H2" s="374" t="s">
        <v>67</v>
      </c>
      <c r="J2" s="370" t="s">
        <v>22</v>
      </c>
      <c r="K2" s="362" t="s">
        <v>46</v>
      </c>
      <c r="L2" s="374" t="s">
        <v>36</v>
      </c>
    </row>
    <row r="3" spans="1:12" ht="15.6" x14ac:dyDescent="0.35">
      <c r="A3" s="5" t="s">
        <v>37</v>
      </c>
      <c r="B3" s="99">
        <v>3</v>
      </c>
      <c r="C3" s="2" t="s">
        <v>15</v>
      </c>
      <c r="E3" s="2" t="s">
        <v>19</v>
      </c>
      <c r="F3" s="2" t="s">
        <v>21</v>
      </c>
      <c r="G3" s="369"/>
      <c r="H3" s="374"/>
      <c r="J3" s="370"/>
      <c r="K3" s="364"/>
      <c r="L3" s="374"/>
    </row>
    <row r="4" spans="1:12" ht="15.6" x14ac:dyDescent="0.35">
      <c r="A4" s="362" t="s">
        <v>58</v>
      </c>
      <c r="B4" s="6">
        <f>(B3-B2)*'Common Variables'!C14/(2*('Common Variables'!D6*'Common Variables'!D7/'Common Variables'!D8))</f>
        <v>7.9386113166965684</v>
      </c>
      <c r="C4" s="2" t="s">
        <v>16</v>
      </c>
      <c r="E4" s="2">
        <v>0</v>
      </c>
      <c r="F4" s="8">
        <f t="shared" ref="F4:F15" si="0">E4*9/5+32</f>
        <v>32</v>
      </c>
      <c r="G4" s="7">
        <v>3.34</v>
      </c>
      <c r="H4" s="7">
        <v>1.7</v>
      </c>
      <c r="J4" s="1" t="s">
        <v>23</v>
      </c>
      <c r="K4" s="2" t="s">
        <v>48</v>
      </c>
      <c r="L4" s="18" t="s">
        <v>72</v>
      </c>
    </row>
    <row r="5" spans="1:12" x14ac:dyDescent="0.25">
      <c r="A5" s="363"/>
      <c r="B5" s="6">
        <f>B4*0.0352739658378695*3.785411784</f>
        <v>1.0600148724500058</v>
      </c>
      <c r="C5" s="2" t="s">
        <v>17</v>
      </c>
      <c r="E5" s="2">
        <v>2</v>
      </c>
      <c r="F5" s="8">
        <f t="shared" si="0"/>
        <v>35.6</v>
      </c>
      <c r="G5" s="7">
        <v>3.14</v>
      </c>
      <c r="H5" s="7">
        <v>1.6</v>
      </c>
      <c r="J5" s="1" t="s">
        <v>32</v>
      </c>
      <c r="K5" s="2" t="s">
        <v>28</v>
      </c>
      <c r="L5" s="2" t="s">
        <v>24</v>
      </c>
    </row>
    <row r="6" spans="1:12" x14ac:dyDescent="0.25">
      <c r="A6" s="363"/>
      <c r="B6" s="6">
        <f>B5*'Recipe Sheet'!J33/4</f>
        <v>5.5650780803625306</v>
      </c>
      <c r="C6" s="2" t="s">
        <v>18</v>
      </c>
      <c r="E6" s="2">
        <v>4</v>
      </c>
      <c r="F6" s="8">
        <f t="shared" si="0"/>
        <v>39.200000000000003</v>
      </c>
      <c r="G6" s="7">
        <v>2.95</v>
      </c>
      <c r="H6" s="7">
        <v>1.5</v>
      </c>
      <c r="J6" s="1" t="s">
        <v>31</v>
      </c>
      <c r="K6" s="2" t="s">
        <v>49</v>
      </c>
      <c r="L6" s="2" t="s">
        <v>25</v>
      </c>
    </row>
    <row r="7" spans="1:12" ht="18.75" customHeight="1" x14ac:dyDescent="0.35">
      <c r="A7" s="362" t="s">
        <v>59</v>
      </c>
      <c r="B7" s="6">
        <f>B4*1.15</f>
        <v>9.1294030142010527</v>
      </c>
      <c r="C7" s="2" t="s">
        <v>16</v>
      </c>
      <c r="E7" s="2">
        <v>6</v>
      </c>
      <c r="F7" s="8">
        <f t="shared" si="0"/>
        <v>42.8</v>
      </c>
      <c r="G7" s="7">
        <v>2.75</v>
      </c>
      <c r="H7" s="7">
        <v>1.4</v>
      </c>
      <c r="J7" s="1" t="s">
        <v>30</v>
      </c>
      <c r="K7" s="2" t="s">
        <v>50</v>
      </c>
      <c r="L7" s="18" t="s">
        <v>76</v>
      </c>
    </row>
    <row r="8" spans="1:12" x14ac:dyDescent="0.25">
      <c r="A8" s="363"/>
      <c r="B8" s="6">
        <f>B7*0.0352739658378695*3.785411784</f>
        <v>1.2190171033175066</v>
      </c>
      <c r="C8" s="2" t="s">
        <v>17</v>
      </c>
      <c r="E8" s="2">
        <v>8</v>
      </c>
      <c r="F8" s="8">
        <f t="shared" si="0"/>
        <v>46.4</v>
      </c>
      <c r="G8" s="7">
        <v>2.5499999999999998</v>
      </c>
      <c r="H8" s="7">
        <v>1.3</v>
      </c>
      <c r="J8" s="17" t="s">
        <v>70</v>
      </c>
      <c r="K8" s="2" t="s">
        <v>51</v>
      </c>
      <c r="L8" s="18" t="s">
        <v>74</v>
      </c>
    </row>
    <row r="9" spans="1:12" x14ac:dyDescent="0.25">
      <c r="A9" s="364"/>
      <c r="B9" s="6">
        <f>B8*5</f>
        <v>6.0950855165875328</v>
      </c>
      <c r="C9" s="2" t="s">
        <v>18</v>
      </c>
      <c r="E9" s="2">
        <v>10</v>
      </c>
      <c r="F9" s="8">
        <f t="shared" si="0"/>
        <v>50</v>
      </c>
      <c r="G9" s="7">
        <v>2.36</v>
      </c>
      <c r="H9" s="7">
        <v>1.2</v>
      </c>
      <c r="J9" s="17" t="s">
        <v>71</v>
      </c>
      <c r="K9" s="16"/>
      <c r="L9" s="18" t="s">
        <v>75</v>
      </c>
    </row>
    <row r="10" spans="1:12" ht="15" customHeight="1" x14ac:dyDescent="0.35">
      <c r="A10" s="365" t="s">
        <v>64</v>
      </c>
      <c r="B10" s="6">
        <f>B4*1.3</f>
        <v>10.32019471170554</v>
      </c>
      <c r="C10" s="2" t="s">
        <v>16</v>
      </c>
      <c r="E10" s="2">
        <v>12</v>
      </c>
      <c r="F10" s="8">
        <f t="shared" si="0"/>
        <v>53.6</v>
      </c>
      <c r="G10" s="7">
        <v>2.2000000000000002</v>
      </c>
      <c r="H10" s="7">
        <v>1.1200000000000001</v>
      </c>
      <c r="J10" s="1" t="s">
        <v>33</v>
      </c>
      <c r="K10" s="2" t="s">
        <v>51</v>
      </c>
      <c r="L10" s="2" t="s">
        <v>26</v>
      </c>
    </row>
    <row r="11" spans="1:12" x14ac:dyDescent="0.25">
      <c r="A11" s="366"/>
      <c r="B11" s="6">
        <f>B10*0.0352739658378695*3.785411784</f>
        <v>1.3780193341850078</v>
      </c>
      <c r="C11" s="2" t="s">
        <v>17</v>
      </c>
      <c r="E11" s="2">
        <v>14</v>
      </c>
      <c r="F11" s="8">
        <f t="shared" si="0"/>
        <v>57.2</v>
      </c>
      <c r="G11" s="7">
        <v>2.06</v>
      </c>
      <c r="H11" s="7">
        <v>1.05</v>
      </c>
      <c r="J11" s="1" t="s">
        <v>34</v>
      </c>
      <c r="K11" s="2" t="s">
        <v>53</v>
      </c>
      <c r="L11" s="2" t="s">
        <v>27</v>
      </c>
    </row>
    <row r="12" spans="1:12" x14ac:dyDescent="0.25">
      <c r="A12" s="367"/>
      <c r="B12" s="6">
        <f>B11*5</f>
        <v>6.8900966709250389</v>
      </c>
      <c r="C12" s="2" t="s">
        <v>18</v>
      </c>
      <c r="E12" s="2">
        <v>16</v>
      </c>
      <c r="F12" s="8">
        <f t="shared" si="0"/>
        <v>60.8</v>
      </c>
      <c r="G12" s="7">
        <v>1.94</v>
      </c>
      <c r="H12" s="7">
        <v>0.99</v>
      </c>
      <c r="J12" s="1" t="s">
        <v>35</v>
      </c>
      <c r="K12" s="2" t="s">
        <v>52</v>
      </c>
      <c r="L12" s="18" t="s">
        <v>73</v>
      </c>
    </row>
    <row r="13" spans="1:12" ht="15.6" x14ac:dyDescent="0.35">
      <c r="A13" s="361" t="s">
        <v>65</v>
      </c>
      <c r="B13" s="6">
        <f>B4*1.4</f>
        <v>11.114055843375196</v>
      </c>
      <c r="C13" s="2" t="s">
        <v>16</v>
      </c>
      <c r="E13" s="2">
        <v>18</v>
      </c>
      <c r="F13" s="8">
        <f t="shared" si="0"/>
        <v>64.400000000000006</v>
      </c>
      <c r="G13" s="7">
        <v>1.83</v>
      </c>
      <c r="H13" s="7">
        <v>0.93</v>
      </c>
      <c r="L13" s="4"/>
    </row>
    <row r="14" spans="1:12" x14ac:dyDescent="0.25">
      <c r="A14" s="361"/>
      <c r="B14" s="6">
        <f>B13*0.0352739658378695*3.785411784</f>
        <v>1.4840208214300081</v>
      </c>
      <c r="C14" s="2" t="s">
        <v>17</v>
      </c>
      <c r="E14" s="2">
        <v>20</v>
      </c>
      <c r="F14" s="8">
        <f t="shared" si="0"/>
        <v>68</v>
      </c>
      <c r="G14" s="7">
        <v>1.73</v>
      </c>
      <c r="H14" s="7">
        <v>0.88</v>
      </c>
    </row>
    <row r="15" spans="1:12" x14ac:dyDescent="0.25">
      <c r="A15" s="361"/>
      <c r="B15" s="6">
        <f>B14*5</f>
        <v>7.4201041071500402</v>
      </c>
      <c r="C15" s="2" t="s">
        <v>18</v>
      </c>
      <c r="E15" s="2">
        <v>22</v>
      </c>
      <c r="F15" s="8">
        <f t="shared" si="0"/>
        <v>71.599999999999994</v>
      </c>
      <c r="G15" s="7">
        <v>1.63</v>
      </c>
      <c r="H15" s="7">
        <v>0.83</v>
      </c>
    </row>
    <row r="17" spans="1:12" ht="15.6" x14ac:dyDescent="0.25">
      <c r="A17" s="371" t="s">
        <v>63</v>
      </c>
      <c r="B17" s="372"/>
      <c r="C17" s="372"/>
    </row>
    <row r="18" spans="1:12" ht="15.6" x14ac:dyDescent="0.35">
      <c r="A18" s="5" t="s">
        <v>54</v>
      </c>
      <c r="B18" s="99">
        <v>1.73</v>
      </c>
      <c r="C18" s="2" t="s">
        <v>56</v>
      </c>
      <c r="J18" s="305" t="s">
        <v>1686</v>
      </c>
      <c r="K18" s="305"/>
      <c r="L18" s="305"/>
    </row>
    <row r="19" spans="1:12" ht="15.6" x14ac:dyDescent="0.35">
      <c r="A19" s="5" t="s">
        <v>55</v>
      </c>
      <c r="B19" s="99">
        <v>4.7</v>
      </c>
      <c r="C19" s="2" t="s">
        <v>56</v>
      </c>
      <c r="J19" s="360" t="s">
        <v>1687</v>
      </c>
      <c r="K19" s="360"/>
      <c r="L19" s="199">
        <v>2</v>
      </c>
    </row>
    <row r="20" spans="1:12" ht="15.6" x14ac:dyDescent="0.35">
      <c r="A20" s="362" t="s">
        <v>58</v>
      </c>
      <c r="B20" s="6">
        <f>(B19-B18)*2.16</f>
        <v>6.4152000000000005</v>
      </c>
      <c r="C20" s="2" t="s">
        <v>16</v>
      </c>
      <c r="J20" s="360" t="s">
        <v>1688</v>
      </c>
      <c r="K20" s="360"/>
      <c r="L20" s="200">
        <v>50</v>
      </c>
    </row>
    <row r="21" spans="1:12" x14ac:dyDescent="0.25">
      <c r="A21" s="363"/>
      <c r="B21" s="6">
        <f>B20*0.0352739658378695*3.785411784</f>
        <v>0.85659911267339828</v>
      </c>
      <c r="C21" s="2" t="s">
        <v>17</v>
      </c>
      <c r="J21" s="360" t="s">
        <v>1689</v>
      </c>
      <c r="K21" s="360"/>
      <c r="L21" s="201">
        <f xml:space="preserve"> -16.6999 - 0.0101059*L20 + 0.00116512*L20^2 + 0.173354*L20*L19 + 4.24267*L19 - 0.0684226*L19^2</f>
        <v>11.254654600000002</v>
      </c>
    </row>
    <row r="22" spans="1:12" x14ac:dyDescent="0.25">
      <c r="A22" s="364"/>
      <c r="B22" s="6">
        <f>B21*5</f>
        <v>4.2829955633669918</v>
      </c>
      <c r="C22" s="2" t="s">
        <v>18</v>
      </c>
      <c r="J22" s="185" t="s">
        <v>1690</v>
      </c>
    </row>
    <row r="23" spans="1:12" ht="15.6" x14ac:dyDescent="0.35">
      <c r="A23" s="362" t="s">
        <v>57</v>
      </c>
      <c r="B23" s="6">
        <f>B20*1.15</f>
        <v>7.3774800000000003</v>
      </c>
      <c r="C23" s="2" t="s">
        <v>16</v>
      </c>
    </row>
    <row r="24" spans="1:12" x14ac:dyDescent="0.25">
      <c r="A24" s="363"/>
      <c r="B24" s="6">
        <f>B23*0.0352739658378695*3.785411784</f>
        <v>0.98508897957440789</v>
      </c>
      <c r="C24" s="2" t="s">
        <v>17</v>
      </c>
    </row>
    <row r="25" spans="1:12" x14ac:dyDescent="0.25">
      <c r="A25" s="364"/>
      <c r="B25" s="6">
        <f>B24*5</f>
        <v>4.9254448978720395</v>
      </c>
      <c r="C25" s="2" t="s">
        <v>18</v>
      </c>
    </row>
    <row r="26" spans="1:12" ht="15.6" x14ac:dyDescent="0.35">
      <c r="A26" s="365" t="s">
        <v>64</v>
      </c>
      <c r="B26" s="6">
        <f>B20*1.3</f>
        <v>8.3397600000000001</v>
      </c>
      <c r="C26" s="2" t="s">
        <v>16</v>
      </c>
    </row>
    <row r="27" spans="1:12" x14ac:dyDescent="0.25">
      <c r="A27" s="366"/>
      <c r="B27" s="6">
        <f>B26*0.0352739658378695*3.785411784</f>
        <v>1.1135788464754177</v>
      </c>
      <c r="C27" s="2" t="s">
        <v>17</v>
      </c>
    </row>
    <row r="28" spans="1:12" x14ac:dyDescent="0.25">
      <c r="A28" s="367"/>
      <c r="B28" s="6">
        <f>B27*5</f>
        <v>5.567894232377089</v>
      </c>
      <c r="C28" s="2" t="s">
        <v>18</v>
      </c>
    </row>
    <row r="29" spans="1:12" ht="15.6" x14ac:dyDescent="0.35">
      <c r="A29" s="361" t="s">
        <v>65</v>
      </c>
      <c r="B29" s="6">
        <f>B20*1.4</f>
        <v>8.9812799999999999</v>
      </c>
      <c r="C29" s="2" t="s">
        <v>16</v>
      </c>
    </row>
    <row r="30" spans="1:12" x14ac:dyDescent="0.25">
      <c r="A30" s="361"/>
      <c r="B30" s="6">
        <f>B29*0.0352739658378695*3.785411784</f>
        <v>1.1992387577427575</v>
      </c>
      <c r="C30" s="2" t="s">
        <v>17</v>
      </c>
    </row>
    <row r="31" spans="1:12" x14ac:dyDescent="0.25">
      <c r="A31" s="361"/>
      <c r="B31" s="6">
        <f>B30*5</f>
        <v>5.9961937887137875</v>
      </c>
      <c r="C31" s="2" t="s">
        <v>18</v>
      </c>
    </row>
    <row r="37" spans="1:1" ht="15.6" x14ac:dyDescent="0.25">
      <c r="A37" s="15" t="s">
        <v>60</v>
      </c>
    </row>
    <row r="38" spans="1:1" ht="15.6" x14ac:dyDescent="0.25">
      <c r="A38" s="15" t="s">
        <v>61</v>
      </c>
    </row>
    <row r="39" spans="1:1" ht="15.6" x14ac:dyDescent="0.25">
      <c r="A39" s="15" t="s">
        <v>62</v>
      </c>
    </row>
  </sheetData>
  <sheetProtection sheet="1" objects="1" scenarios="1"/>
  <mergeCells count="22">
    <mergeCell ref="J18:L18"/>
    <mergeCell ref="J19:K19"/>
    <mergeCell ref="J20:K20"/>
    <mergeCell ref="J21:K21"/>
    <mergeCell ref="J1:L1"/>
    <mergeCell ref="L2:L3"/>
    <mergeCell ref="J2:J3"/>
    <mergeCell ref="K2:K3"/>
    <mergeCell ref="A1:C1"/>
    <mergeCell ref="E1:H1"/>
    <mergeCell ref="A17:C17"/>
    <mergeCell ref="A10:A12"/>
    <mergeCell ref="A13:A15"/>
    <mergeCell ref="A4:A6"/>
    <mergeCell ref="A7:A9"/>
    <mergeCell ref="H2:H3"/>
    <mergeCell ref="A29:A31"/>
    <mergeCell ref="A20:A22"/>
    <mergeCell ref="A23:A25"/>
    <mergeCell ref="A26:A28"/>
    <mergeCell ref="G2:G3"/>
    <mergeCell ref="E2:F2"/>
  </mergeCells>
  <phoneticPr fontId="0" type="noConversion"/>
  <hyperlinks>
    <hyperlink ref="J22" r:id="rId1"/>
  </hyperlinks>
  <pageMargins left="0.75" right="0.75" top="1" bottom="1" header="0.5" footer="0.5"/>
  <pageSetup scale="96"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7"/>
  <sheetViews>
    <sheetView zoomScale="120" zoomScaleNormal="120" workbookViewId="0">
      <pane ySplit="1" topLeftCell="A119" activePane="bottomLeft" state="frozen"/>
      <selection pane="bottomLeft" activeCell="G135" sqref="G135"/>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53" customWidth="1"/>
    <col min="7" max="7" width="7.88671875" style="53" bestFit="1" customWidth="1"/>
    <col min="8" max="8" width="52.88671875" customWidth="1"/>
    <col min="9" max="9" width="68.109375" customWidth="1"/>
    <col min="10" max="28" width="4.88671875" customWidth="1"/>
    <col min="33" max="33" width="10.109375" customWidth="1"/>
  </cols>
  <sheetData>
    <row r="1" spans="1:8" s="139" customFormat="1" ht="40.799999999999997" customHeight="1" x14ac:dyDescent="0.25">
      <c r="A1" s="146" t="s">
        <v>1465</v>
      </c>
      <c r="B1" s="146" t="s">
        <v>1414</v>
      </c>
      <c r="C1" s="146" t="s">
        <v>1464</v>
      </c>
      <c r="D1" s="146" t="s">
        <v>1710</v>
      </c>
      <c r="E1" s="146" t="s">
        <v>1705</v>
      </c>
      <c r="F1" s="146" t="s">
        <v>1700</v>
      </c>
      <c r="G1" s="146" t="s">
        <v>1660</v>
      </c>
      <c r="H1" s="146" t="s">
        <v>1413</v>
      </c>
    </row>
    <row r="2" spans="1:8" s="139" customFormat="1" x14ac:dyDescent="0.25">
      <c r="A2" s="24" t="s">
        <v>1507</v>
      </c>
      <c r="B2" s="24" t="s">
        <v>1415</v>
      </c>
      <c r="C2" s="55" t="s">
        <v>91</v>
      </c>
      <c r="D2" s="216"/>
      <c r="E2" s="216">
        <v>0.1</v>
      </c>
      <c r="F2" s="214">
        <f>(grains_table[[#This Row],[Extract %]]*46.214)/1000+1</f>
        <v>1</v>
      </c>
      <c r="G2" s="192">
        <v>3.3</v>
      </c>
      <c r="H2" s="185" t="s">
        <v>1456</v>
      </c>
    </row>
    <row r="3" spans="1:8" ht="13.2" customHeight="1" x14ac:dyDescent="0.25">
      <c r="A3" s="24" t="s">
        <v>1508</v>
      </c>
      <c r="B3" s="24" t="s">
        <v>1460</v>
      </c>
      <c r="C3" s="55" t="s">
        <v>91</v>
      </c>
      <c r="D3" s="216">
        <v>0.76</v>
      </c>
      <c r="E3" s="216">
        <v>0.08</v>
      </c>
      <c r="F3" s="214">
        <f>(grains_table[[#This Row],[Extract %]]*46.214)/1000+1</f>
        <v>1.03512264</v>
      </c>
      <c r="G3" s="182">
        <v>4</v>
      </c>
      <c r="H3" s="186" t="s">
        <v>1495</v>
      </c>
    </row>
    <row r="4" spans="1:8" ht="13.2" customHeight="1" x14ac:dyDescent="0.25">
      <c r="A4" s="24" t="s">
        <v>1711</v>
      </c>
      <c r="B4" s="24" t="s">
        <v>1418</v>
      </c>
      <c r="C4" s="55" t="s">
        <v>91</v>
      </c>
      <c r="D4" s="216">
        <v>0.79</v>
      </c>
      <c r="E4" s="216">
        <v>4.4999999999999998E-2</v>
      </c>
      <c r="F4" s="214">
        <f>(grains_table[[#This Row],[Extract %]]*46.214)/1000+1</f>
        <v>1.03650906</v>
      </c>
      <c r="G4" s="182">
        <v>19</v>
      </c>
      <c r="H4" s="185" t="s">
        <v>1453</v>
      </c>
    </row>
    <row r="5" spans="1:8" ht="13.2" customHeight="1" x14ac:dyDescent="0.25">
      <c r="A5" s="24" t="s">
        <v>1657</v>
      </c>
      <c r="B5" s="24" t="s">
        <v>1416</v>
      </c>
      <c r="C5" s="55" t="s">
        <v>91</v>
      </c>
      <c r="D5" s="216">
        <v>0.7</v>
      </c>
      <c r="E5" s="216">
        <v>0.05</v>
      </c>
      <c r="F5" s="214">
        <f>(grains_table[[#This Row],[Extract %]]*46.214)/1000+1</f>
        <v>1.0323498</v>
      </c>
      <c r="G5" s="183">
        <v>22.8</v>
      </c>
      <c r="H5" s="185" t="s">
        <v>1431</v>
      </c>
    </row>
    <row r="6" spans="1:8" ht="13.2" customHeight="1" x14ac:dyDescent="0.25">
      <c r="A6" s="24" t="s">
        <v>1509</v>
      </c>
      <c r="B6" s="24" t="s">
        <v>1418</v>
      </c>
      <c r="C6" s="55" t="s">
        <v>91</v>
      </c>
      <c r="D6" s="216">
        <v>0.77</v>
      </c>
      <c r="E6" s="216">
        <v>4.4999999999999998E-2</v>
      </c>
      <c r="F6" s="214">
        <f>(grains_table[[#This Row],[Extract %]]*46.214)/1000+1</f>
        <v>1.03558478</v>
      </c>
      <c r="G6" s="183">
        <v>38</v>
      </c>
      <c r="H6" s="185" t="s">
        <v>1453</v>
      </c>
    </row>
    <row r="7" spans="1:8" ht="13.2" customHeight="1" x14ac:dyDescent="0.25">
      <c r="A7" s="24" t="s">
        <v>1683</v>
      </c>
      <c r="B7" s="24" t="s">
        <v>1418</v>
      </c>
      <c r="C7" s="55" t="s">
        <v>91</v>
      </c>
      <c r="D7" s="216">
        <v>0.77</v>
      </c>
      <c r="E7" s="216">
        <v>4.4999999999999998E-2</v>
      </c>
      <c r="F7" s="214">
        <f>(grains_table[[#This Row],[Extract %]]*46.214)/1000+1</f>
        <v>1.03558478</v>
      </c>
      <c r="G7" s="183">
        <v>57</v>
      </c>
      <c r="H7" s="185" t="s">
        <v>1453</v>
      </c>
    </row>
    <row r="8" spans="1:8" ht="13.2" customHeight="1" x14ac:dyDescent="0.25">
      <c r="A8" s="24" t="s">
        <v>1684</v>
      </c>
      <c r="B8" s="24" t="s">
        <v>1415</v>
      </c>
      <c r="C8" s="55" t="s">
        <v>91</v>
      </c>
      <c r="D8" s="216">
        <v>0.78</v>
      </c>
      <c r="E8" s="216">
        <v>7.0000000000000007E-2</v>
      </c>
      <c r="F8" s="214">
        <f>(grains_table[[#This Row],[Extract %]]*46.214)/1000+1</f>
        <v>1.03604692</v>
      </c>
      <c r="G8" s="182">
        <v>1.8</v>
      </c>
      <c r="H8" s="185" t="s">
        <v>1456</v>
      </c>
    </row>
    <row r="9" spans="1:8" ht="13.2" customHeight="1" x14ac:dyDescent="0.25">
      <c r="A9" s="24" t="s">
        <v>1712</v>
      </c>
      <c r="B9" s="24" t="s">
        <v>1418</v>
      </c>
      <c r="C9" s="55" t="s">
        <v>91</v>
      </c>
      <c r="D9" s="216">
        <v>0.75</v>
      </c>
      <c r="E9" s="216">
        <v>4.4999999999999998E-2</v>
      </c>
      <c r="F9" s="214">
        <f>(grains_table[[#This Row],[Extract %]]*46.214)/1000+1</f>
        <v>1.0346605</v>
      </c>
      <c r="G9" s="53">
        <v>23</v>
      </c>
      <c r="H9" s="185" t="s">
        <v>1455</v>
      </c>
    </row>
    <row r="10" spans="1:8" ht="13.2" customHeight="1" x14ac:dyDescent="0.25">
      <c r="A10" s="24" t="s">
        <v>1706</v>
      </c>
      <c r="B10" s="24" t="s">
        <v>1417</v>
      </c>
      <c r="C10" s="55" t="s">
        <v>91</v>
      </c>
      <c r="D10" s="216">
        <v>0.72</v>
      </c>
      <c r="E10" s="216">
        <v>2.5000000000000001E-2</v>
      </c>
      <c r="F10" s="214">
        <f>(grains_table[[#This Row],[Extract %]]*46.214)/1000+1</f>
        <v>1.03327408</v>
      </c>
      <c r="G10" s="182">
        <v>40</v>
      </c>
      <c r="H10" s="185" t="s">
        <v>1664</v>
      </c>
    </row>
    <row r="11" spans="1:8" ht="13.2" customHeight="1" x14ac:dyDescent="0.25">
      <c r="A11" s="24" t="s">
        <v>1707</v>
      </c>
      <c r="B11" s="24" t="s">
        <v>1417</v>
      </c>
      <c r="C11" s="55" t="s">
        <v>91</v>
      </c>
      <c r="D11" s="216">
        <v>0.75</v>
      </c>
      <c r="E11" s="216">
        <v>2.5000000000000001E-2</v>
      </c>
      <c r="F11" s="214">
        <f>(grains_table[[#This Row],[Extract %]]*46.214)/1000+1</f>
        <v>1.0346605</v>
      </c>
      <c r="G11" s="53">
        <v>28</v>
      </c>
      <c r="H11" s="185" t="s">
        <v>1470</v>
      </c>
    </row>
    <row r="12" spans="1:8" ht="13.2" customHeight="1" x14ac:dyDescent="0.25">
      <c r="A12" s="24" t="s">
        <v>1714</v>
      </c>
      <c r="B12" s="24" t="s">
        <v>1418</v>
      </c>
      <c r="C12" s="55" t="s">
        <v>91</v>
      </c>
      <c r="D12" s="216">
        <v>0.7</v>
      </c>
      <c r="E12" s="216">
        <v>4.4999999999999998E-2</v>
      </c>
      <c r="F12" s="214">
        <f>(grains_table[[#This Row],[Extract %]]*46.214)/1000+1</f>
        <v>1.0323498</v>
      </c>
      <c r="G12" s="182">
        <v>530</v>
      </c>
      <c r="H12" s="186" t="s">
        <v>1455</v>
      </c>
    </row>
    <row r="13" spans="1:8" ht="13.2" customHeight="1" x14ac:dyDescent="0.25">
      <c r="A13" s="24" t="s">
        <v>1682</v>
      </c>
      <c r="B13" s="24" t="s">
        <v>1460</v>
      </c>
      <c r="C13" s="55" t="s">
        <v>91</v>
      </c>
      <c r="D13" s="216">
        <v>0.75</v>
      </c>
      <c r="E13" s="216">
        <v>4.4999999999999998E-2</v>
      </c>
      <c r="F13" s="214">
        <f>(grains_table[[#This Row],[Extract %]]*46.214)/1000+1</f>
        <v>1.0346605</v>
      </c>
      <c r="G13" s="187">
        <v>27</v>
      </c>
      <c r="H13" s="185" t="s">
        <v>1487</v>
      </c>
    </row>
    <row r="14" spans="1:8" ht="13.2" customHeight="1" x14ac:dyDescent="0.25">
      <c r="A14" s="24" t="s">
        <v>1681</v>
      </c>
      <c r="B14" s="24" t="s">
        <v>1460</v>
      </c>
      <c r="C14" s="55" t="s">
        <v>91</v>
      </c>
      <c r="D14" s="216">
        <v>0.75</v>
      </c>
      <c r="E14" s="216">
        <v>4.4999999999999998E-2</v>
      </c>
      <c r="F14" s="214">
        <f>(grains_table[[#This Row],[Extract %]]*46.214)/1000+1</f>
        <v>1.0346605</v>
      </c>
      <c r="G14" s="187">
        <v>19.5</v>
      </c>
      <c r="H14" s="185" t="s">
        <v>1486</v>
      </c>
    </row>
    <row r="15" spans="1:8" ht="13.2" customHeight="1" x14ac:dyDescent="0.25">
      <c r="A15" s="24" t="s">
        <v>1680</v>
      </c>
      <c r="B15" s="24" t="s">
        <v>1460</v>
      </c>
      <c r="C15" s="55" t="s">
        <v>91</v>
      </c>
      <c r="D15" s="216">
        <v>0.75</v>
      </c>
      <c r="E15" s="216">
        <v>4.4999999999999998E-2</v>
      </c>
      <c r="F15" s="214">
        <f>(grains_table[[#This Row],[Extract %]]*46.214)/1000+1</f>
        <v>1.0346605</v>
      </c>
      <c r="G15" s="187">
        <v>12</v>
      </c>
      <c r="H15" s="185" t="s">
        <v>1485</v>
      </c>
    </row>
    <row r="16" spans="1:8" ht="13.2" customHeight="1" x14ac:dyDescent="0.25">
      <c r="A16" s="24" t="s">
        <v>1679</v>
      </c>
      <c r="B16" s="24" t="s">
        <v>1460</v>
      </c>
      <c r="C16" s="55" t="s">
        <v>91</v>
      </c>
      <c r="D16" s="216">
        <v>0.75</v>
      </c>
      <c r="E16" s="216">
        <v>4.4999999999999998E-2</v>
      </c>
      <c r="F16" s="214">
        <f>(grains_table[[#This Row],[Extract %]]*46.214)/1000+1</f>
        <v>1.0346605</v>
      </c>
      <c r="G16" s="187">
        <v>5.4</v>
      </c>
      <c r="H16" s="185" t="s">
        <v>1489</v>
      </c>
    </row>
    <row r="17" spans="1:8" ht="13.2" customHeight="1" x14ac:dyDescent="0.25">
      <c r="A17" s="24" t="s">
        <v>1678</v>
      </c>
      <c r="B17" s="24" t="s">
        <v>1460</v>
      </c>
      <c r="C17" s="55" t="s">
        <v>91</v>
      </c>
      <c r="D17" s="216">
        <v>0.75</v>
      </c>
      <c r="E17" s="216">
        <v>4.4999999999999998E-2</v>
      </c>
      <c r="F17" s="214">
        <f>(grains_table[[#This Row],[Extract %]]*46.214)/1000+1</f>
        <v>1.0346605</v>
      </c>
      <c r="G17" s="187">
        <v>45.5</v>
      </c>
      <c r="H17" s="185" t="s">
        <v>1490</v>
      </c>
    </row>
    <row r="18" spans="1:8" ht="13.2" customHeight="1" x14ac:dyDescent="0.25">
      <c r="A18" s="24" t="s">
        <v>1677</v>
      </c>
      <c r="B18" s="24" t="s">
        <v>1460</v>
      </c>
      <c r="C18" s="55" t="s">
        <v>91</v>
      </c>
      <c r="D18" s="216">
        <v>0.75</v>
      </c>
      <c r="E18" s="216">
        <v>4.4999999999999998E-2</v>
      </c>
      <c r="F18" s="214">
        <f>(grains_table[[#This Row],[Extract %]]*46.214)/1000+1</f>
        <v>1.0346605</v>
      </c>
      <c r="G18" s="187">
        <v>63</v>
      </c>
      <c r="H18" s="185" t="s">
        <v>1491</v>
      </c>
    </row>
    <row r="19" spans="1:8" ht="13.2" customHeight="1" x14ac:dyDescent="0.25">
      <c r="A19" s="24" t="s">
        <v>1676</v>
      </c>
      <c r="B19" s="24" t="s">
        <v>1460</v>
      </c>
      <c r="C19" s="55" t="s">
        <v>91</v>
      </c>
      <c r="D19" s="216">
        <v>0.75</v>
      </c>
      <c r="E19" s="216">
        <v>4.4999999999999998E-2</v>
      </c>
      <c r="F19" s="214">
        <f>(grains_table[[#This Row],[Extract %]]*46.214)/1000+1</f>
        <v>1.0346605</v>
      </c>
      <c r="G19" s="187">
        <v>2.35</v>
      </c>
      <c r="H19" s="185" t="s">
        <v>1488</v>
      </c>
    </row>
    <row r="20" spans="1:8" ht="13.2" customHeight="1" x14ac:dyDescent="0.25">
      <c r="A20" s="24" t="s">
        <v>1510</v>
      </c>
      <c r="B20" s="24" t="s">
        <v>1418</v>
      </c>
      <c r="C20" s="55" t="s">
        <v>91</v>
      </c>
      <c r="D20" s="216">
        <v>0.74</v>
      </c>
      <c r="E20" s="216">
        <v>0.06</v>
      </c>
      <c r="F20" s="214">
        <f>(grains_table[[#This Row],[Extract %]]*46.214)/1000+1</f>
        <v>1.03419836</v>
      </c>
      <c r="G20" s="182">
        <v>45</v>
      </c>
      <c r="H20" s="185" t="s">
        <v>1454</v>
      </c>
    </row>
    <row r="21" spans="1:8" ht="13.2" customHeight="1" x14ac:dyDescent="0.25">
      <c r="A21" s="24" t="s">
        <v>1511</v>
      </c>
      <c r="B21" s="24" t="s">
        <v>1418</v>
      </c>
      <c r="C21" s="55" t="s">
        <v>91</v>
      </c>
      <c r="D21" s="216">
        <v>0.75</v>
      </c>
      <c r="E21" s="216">
        <v>9.5000000000000001E-2</v>
      </c>
      <c r="F21" s="214">
        <f>(grains_table[[#This Row],[Extract %]]*46.214)/1000+1</f>
        <v>1.0346605</v>
      </c>
      <c r="G21" s="182">
        <v>8</v>
      </c>
      <c r="H21" s="185" t="s">
        <v>1454</v>
      </c>
    </row>
    <row r="22" spans="1:8" ht="13.2" customHeight="1" x14ac:dyDescent="0.25">
      <c r="A22" s="24" t="s">
        <v>1512</v>
      </c>
      <c r="B22" s="24" t="s">
        <v>1418</v>
      </c>
      <c r="C22" s="55" t="s">
        <v>91</v>
      </c>
      <c r="D22" s="216">
        <v>0.75</v>
      </c>
      <c r="E22" s="216">
        <v>7.4999999999999997E-2</v>
      </c>
      <c r="F22" s="214">
        <f>(grains_table[[#This Row],[Extract %]]*46.214)/1000+1</f>
        <v>1.0346605</v>
      </c>
      <c r="G22" s="182">
        <v>20</v>
      </c>
      <c r="H22" s="185" t="s">
        <v>1454</v>
      </c>
    </row>
    <row r="23" spans="1:8" ht="13.2" customHeight="1" x14ac:dyDescent="0.25">
      <c r="A23" s="24" t="s">
        <v>1606</v>
      </c>
      <c r="B23" s="24" t="s">
        <v>1415</v>
      </c>
      <c r="C23" s="55" t="s">
        <v>91</v>
      </c>
      <c r="D23" s="216">
        <v>0.74</v>
      </c>
      <c r="E23" s="216">
        <v>7.0000000000000007E-2</v>
      </c>
      <c r="F23" s="214">
        <f>(grains_table[[#This Row],[Extract %]]*46.214)/1000+1</f>
        <v>1.03419836</v>
      </c>
      <c r="G23" s="182">
        <v>150</v>
      </c>
      <c r="H23" s="185" t="s">
        <v>1456</v>
      </c>
    </row>
    <row r="24" spans="1:8" ht="13.2" customHeight="1" x14ac:dyDescent="0.25">
      <c r="A24" s="24" t="s">
        <v>1607</v>
      </c>
      <c r="B24" s="24" t="s">
        <v>1415</v>
      </c>
      <c r="C24" s="55" t="s">
        <v>91</v>
      </c>
      <c r="D24" s="216">
        <v>0.74</v>
      </c>
      <c r="E24" s="216">
        <v>0.09</v>
      </c>
      <c r="F24" s="214">
        <f>(grains_table[[#This Row],[Extract %]]*46.214)/1000+1</f>
        <v>1.03419836</v>
      </c>
      <c r="G24" s="187">
        <v>12.75</v>
      </c>
      <c r="H24" s="185" t="s">
        <v>1456</v>
      </c>
    </row>
    <row r="25" spans="1:8" ht="13.2" customHeight="1" x14ac:dyDescent="0.25">
      <c r="A25" s="24" t="s">
        <v>1513</v>
      </c>
      <c r="B25" s="24" t="s">
        <v>1417</v>
      </c>
      <c r="C25" s="55" t="s">
        <v>91</v>
      </c>
      <c r="D25" s="216">
        <v>0.78</v>
      </c>
      <c r="E25" s="216">
        <v>0.04</v>
      </c>
      <c r="F25" s="214">
        <f>(grains_table[[#This Row],[Extract %]]*46.214)/1000+1</f>
        <v>1.03604692</v>
      </c>
      <c r="G25" s="53">
        <v>55</v>
      </c>
      <c r="H25" s="185" t="s">
        <v>1459</v>
      </c>
    </row>
    <row r="26" spans="1:8" ht="13.2" customHeight="1" x14ac:dyDescent="0.25">
      <c r="A26" s="24" t="s">
        <v>1638</v>
      </c>
      <c r="B26" s="24" t="s">
        <v>1415</v>
      </c>
      <c r="C26" s="55" t="s">
        <v>91</v>
      </c>
      <c r="D26" s="216">
        <v>0.65</v>
      </c>
      <c r="E26" s="216">
        <v>3.7999999999999999E-2</v>
      </c>
      <c r="F26" s="214">
        <f>(grains_table[[#This Row],[Extract %]]*46.214)/1000+1</f>
        <v>1.0300391</v>
      </c>
      <c r="G26" s="53">
        <v>337.5</v>
      </c>
      <c r="H26" s="185" t="s">
        <v>1456</v>
      </c>
    </row>
    <row r="27" spans="1:8" ht="13.2" customHeight="1" x14ac:dyDescent="0.25">
      <c r="A27" s="24" t="s">
        <v>1637</v>
      </c>
      <c r="B27" s="24" t="s">
        <v>1415</v>
      </c>
      <c r="C27" s="55" t="s">
        <v>91</v>
      </c>
      <c r="D27" s="216">
        <v>0.65</v>
      </c>
      <c r="E27" s="216">
        <v>3.7999999999999999E-2</v>
      </c>
      <c r="F27" s="214">
        <f>(grains_table[[#This Row],[Extract %]]*46.214)/1000+1</f>
        <v>1.0300391</v>
      </c>
      <c r="G27" s="182">
        <v>431.5</v>
      </c>
      <c r="H27" s="185" t="s">
        <v>1456</v>
      </c>
    </row>
    <row r="28" spans="1:8" ht="13.2" customHeight="1" x14ac:dyDescent="0.25">
      <c r="A28" s="24" t="s">
        <v>1636</v>
      </c>
      <c r="B28" s="24" t="s">
        <v>1415</v>
      </c>
      <c r="C28" s="55" t="s">
        <v>91</v>
      </c>
      <c r="D28" s="216">
        <v>0.65</v>
      </c>
      <c r="E28" s="216">
        <v>3.7999999999999999E-2</v>
      </c>
      <c r="F28" s="214">
        <f>(grains_table[[#This Row],[Extract %]]*46.214)/1000+1</f>
        <v>1.0300391</v>
      </c>
      <c r="G28" s="182">
        <v>525.5</v>
      </c>
      <c r="H28" s="185" t="s">
        <v>1456</v>
      </c>
    </row>
    <row r="29" spans="1:8" ht="13.2" customHeight="1" x14ac:dyDescent="0.25">
      <c r="A29" s="24" t="s">
        <v>1639</v>
      </c>
      <c r="B29" s="24" t="s">
        <v>1415</v>
      </c>
      <c r="C29" s="55" t="s">
        <v>91</v>
      </c>
      <c r="D29" s="216">
        <v>0.65</v>
      </c>
      <c r="E29" s="216">
        <v>3.7999999999999999E-2</v>
      </c>
      <c r="F29" s="214">
        <f>(grains_table[[#This Row],[Extract %]]*46.214)/1000+1</f>
        <v>1.0300391</v>
      </c>
      <c r="G29" s="182">
        <v>337.5</v>
      </c>
      <c r="H29" s="185" t="s">
        <v>1456</v>
      </c>
    </row>
    <row r="30" spans="1:8" ht="13.2" customHeight="1" x14ac:dyDescent="0.25">
      <c r="A30" s="24" t="s">
        <v>1640</v>
      </c>
      <c r="B30" s="24" t="s">
        <v>1415</v>
      </c>
      <c r="C30" s="55" t="s">
        <v>91</v>
      </c>
      <c r="D30" s="216">
        <v>0.65</v>
      </c>
      <c r="E30" s="216">
        <v>3.7999999999999999E-2</v>
      </c>
      <c r="F30" s="214">
        <f>(grains_table[[#This Row],[Extract %]]*46.214)/1000+1</f>
        <v>1.0300391</v>
      </c>
      <c r="G30" s="187">
        <v>431.5</v>
      </c>
      <c r="H30" s="185" t="s">
        <v>1456</v>
      </c>
    </row>
    <row r="31" spans="1:8" ht="13.2" customHeight="1" x14ac:dyDescent="0.25">
      <c r="A31" s="24" t="s">
        <v>1641</v>
      </c>
      <c r="B31" s="24" t="s">
        <v>1415</v>
      </c>
      <c r="C31" s="55" t="s">
        <v>91</v>
      </c>
      <c r="D31" s="216">
        <v>0.65</v>
      </c>
      <c r="E31" s="216">
        <v>3.7999999999999999E-2</v>
      </c>
      <c r="F31" s="214">
        <f>(grains_table[[#This Row],[Extract %]]*46.214)/1000+1</f>
        <v>1.0300391</v>
      </c>
      <c r="G31" s="182">
        <v>525.5</v>
      </c>
      <c r="H31" s="185" t="s">
        <v>1456</v>
      </c>
    </row>
    <row r="32" spans="1:8" ht="13.2" customHeight="1" x14ac:dyDescent="0.25">
      <c r="A32" s="24" t="s">
        <v>1608</v>
      </c>
      <c r="B32" s="24" t="s">
        <v>1415</v>
      </c>
      <c r="C32" s="55" t="s">
        <v>91</v>
      </c>
      <c r="D32" s="216"/>
      <c r="E32" s="216"/>
      <c r="F32" s="214">
        <f>(grains_table[[#This Row],[Extract %]]*46.214)/1000+1</f>
        <v>1</v>
      </c>
      <c r="G32" s="53">
        <v>2.2000000000000002</v>
      </c>
      <c r="H32" s="185" t="s">
        <v>1456</v>
      </c>
    </row>
    <row r="33" spans="1:8" ht="13.2" customHeight="1" x14ac:dyDescent="0.25">
      <c r="A33" s="24" t="s">
        <v>1609</v>
      </c>
      <c r="B33" s="24" t="s">
        <v>1415</v>
      </c>
      <c r="C33" s="55" t="s">
        <v>91</v>
      </c>
      <c r="D33" s="216">
        <v>0.74</v>
      </c>
      <c r="E33" s="216">
        <v>0.09</v>
      </c>
      <c r="F33" s="214">
        <f>(grains_table[[#This Row],[Extract %]]*46.214)/1000+1</f>
        <v>1.03419836</v>
      </c>
      <c r="G33" s="53">
        <v>9.9499999999999993</v>
      </c>
      <c r="H33" s="185" t="s">
        <v>1456</v>
      </c>
    </row>
    <row r="34" spans="1:8" ht="13.2" customHeight="1" x14ac:dyDescent="0.25">
      <c r="A34" s="24" t="s">
        <v>1514</v>
      </c>
      <c r="B34" s="24" t="s">
        <v>1416</v>
      </c>
      <c r="C34" s="55" t="s">
        <v>91</v>
      </c>
      <c r="D34" s="216">
        <v>0.71</v>
      </c>
      <c r="E34" s="216">
        <v>7.4999999999999997E-2</v>
      </c>
      <c r="F34" s="214">
        <f>(grains_table[[#This Row],[Extract %]]*46.214)/1000+1</f>
        <v>1.03281194</v>
      </c>
      <c r="G34" s="182">
        <v>14.05</v>
      </c>
      <c r="H34" s="185" t="s">
        <v>1433</v>
      </c>
    </row>
    <row r="35" spans="1:8" ht="13.2" customHeight="1" x14ac:dyDescent="0.25">
      <c r="A35" s="24" t="s">
        <v>1610</v>
      </c>
      <c r="B35" s="24" t="s">
        <v>1415</v>
      </c>
      <c r="C35" s="55" t="s">
        <v>91</v>
      </c>
      <c r="D35" s="216">
        <v>0.75</v>
      </c>
      <c r="E35" s="216">
        <v>4.4999999999999998E-2</v>
      </c>
      <c r="F35" s="214">
        <f>(grains_table[[#This Row],[Extract %]]*46.214)/1000+1</f>
        <v>1.0346605</v>
      </c>
      <c r="G35" s="53">
        <v>27</v>
      </c>
      <c r="H35" s="185" t="s">
        <v>1456</v>
      </c>
    </row>
    <row r="36" spans="1:8" ht="13.2" customHeight="1" x14ac:dyDescent="0.25">
      <c r="A36" s="24" t="s">
        <v>1515</v>
      </c>
      <c r="B36" s="24" t="s">
        <v>1417</v>
      </c>
      <c r="C36" s="55" t="s">
        <v>91</v>
      </c>
      <c r="D36" s="216">
        <v>0.77</v>
      </c>
      <c r="E36" s="216">
        <v>7.0000000000000007E-2</v>
      </c>
      <c r="F36" s="214">
        <f>(grains_table[[#This Row],[Extract %]]*46.214)/1000+1</f>
        <v>1.03558478</v>
      </c>
      <c r="G36" s="53">
        <v>10</v>
      </c>
      <c r="H36" s="186" t="s">
        <v>1459</v>
      </c>
    </row>
    <row r="37" spans="1:8" ht="13.2" customHeight="1" x14ac:dyDescent="0.25">
      <c r="A37" s="24" t="s">
        <v>1516</v>
      </c>
      <c r="B37" s="24" t="s">
        <v>1417</v>
      </c>
      <c r="C37" s="55" t="s">
        <v>91</v>
      </c>
      <c r="D37" s="216">
        <v>0.75</v>
      </c>
      <c r="E37" s="216">
        <v>0.03</v>
      </c>
      <c r="F37" s="214">
        <f>(grains_table[[#This Row],[Extract %]]*46.214)/1000+1</f>
        <v>1.0346605</v>
      </c>
      <c r="G37" s="182">
        <v>120</v>
      </c>
      <c r="H37" s="185" t="s">
        <v>1459</v>
      </c>
    </row>
    <row r="38" spans="1:8" ht="13.2" customHeight="1" x14ac:dyDescent="0.25">
      <c r="A38" s="24" t="s">
        <v>1517</v>
      </c>
      <c r="B38" s="24" t="s">
        <v>1417</v>
      </c>
      <c r="C38" s="55" t="s">
        <v>91</v>
      </c>
      <c r="D38" s="216">
        <v>0.76</v>
      </c>
      <c r="E38" s="216">
        <v>0.06</v>
      </c>
      <c r="F38" s="214">
        <f>(grains_table[[#This Row],[Extract %]]*46.214)/1000+1</f>
        <v>1.03512264</v>
      </c>
      <c r="G38" s="53">
        <v>20</v>
      </c>
      <c r="H38" s="185" t="s">
        <v>1459</v>
      </c>
    </row>
    <row r="39" spans="1:8" ht="13.2" customHeight="1" x14ac:dyDescent="0.25">
      <c r="A39" s="24" t="s">
        <v>1518</v>
      </c>
      <c r="B39" s="24" t="s">
        <v>1417</v>
      </c>
      <c r="C39" s="55" t="s">
        <v>91</v>
      </c>
      <c r="D39" s="216">
        <v>0.77</v>
      </c>
      <c r="E39" s="216">
        <v>5.5E-2</v>
      </c>
      <c r="F39" s="214">
        <f>(grains_table[[#This Row],[Extract %]]*46.214)/1000+1</f>
        <v>1.03558478</v>
      </c>
      <c r="G39" s="183">
        <v>30</v>
      </c>
      <c r="H39" s="186" t="s">
        <v>1459</v>
      </c>
    </row>
    <row r="40" spans="1:8" ht="13.2" customHeight="1" x14ac:dyDescent="0.25">
      <c r="A40" s="24" t="s">
        <v>1519</v>
      </c>
      <c r="B40" s="24" t="s">
        <v>1417</v>
      </c>
      <c r="C40" s="55" t="s">
        <v>91</v>
      </c>
      <c r="D40" s="216">
        <v>0.77</v>
      </c>
      <c r="E40" s="216">
        <v>5.5E-2</v>
      </c>
      <c r="F40" s="214">
        <f>(grains_table[[#This Row],[Extract %]]*46.214)/1000+1</f>
        <v>1.03558478</v>
      </c>
      <c r="G40" s="183">
        <v>40</v>
      </c>
      <c r="H40" s="186" t="s">
        <v>1459</v>
      </c>
    </row>
    <row r="41" spans="1:8" ht="13.2" customHeight="1" x14ac:dyDescent="0.25">
      <c r="A41" s="24" t="s">
        <v>1520</v>
      </c>
      <c r="B41" s="24" t="s">
        <v>1417</v>
      </c>
      <c r="C41" s="55" t="s">
        <v>91</v>
      </c>
      <c r="D41" s="216">
        <v>0.77</v>
      </c>
      <c r="E41" s="216">
        <v>0.05</v>
      </c>
      <c r="F41" s="214">
        <f>(grains_table[[#This Row],[Extract %]]*46.214)/1000+1</f>
        <v>1.03558478</v>
      </c>
      <c r="G41" s="183">
        <v>60</v>
      </c>
      <c r="H41" s="186" t="s">
        <v>1459</v>
      </c>
    </row>
    <row r="42" spans="1:8" ht="13.2" customHeight="1" x14ac:dyDescent="0.25">
      <c r="A42" s="24" t="s">
        <v>1521</v>
      </c>
      <c r="B42" s="24" t="s">
        <v>1417</v>
      </c>
      <c r="C42" s="55" t="s">
        <v>91</v>
      </c>
      <c r="D42" s="216">
        <v>0.76</v>
      </c>
      <c r="E42" s="216">
        <v>4.4999999999999998E-2</v>
      </c>
      <c r="F42" s="214">
        <f>(grains_table[[#This Row],[Extract %]]*46.214)/1000+1</f>
        <v>1.03512264</v>
      </c>
      <c r="G42" s="53">
        <v>80</v>
      </c>
      <c r="H42" s="186" t="s">
        <v>1459</v>
      </c>
    </row>
    <row r="43" spans="1:8" ht="13.2" customHeight="1" x14ac:dyDescent="0.25">
      <c r="A43" s="24" t="s">
        <v>1522</v>
      </c>
      <c r="B43" s="24" t="s">
        <v>1417</v>
      </c>
      <c r="C43" s="55" t="s">
        <v>91</v>
      </c>
      <c r="D43" s="216">
        <v>0.75</v>
      </c>
      <c r="E43" s="216">
        <v>0.04</v>
      </c>
      <c r="F43" s="214">
        <f>(grains_table[[#This Row],[Extract %]]*46.214)/1000+1</f>
        <v>1.0346605</v>
      </c>
      <c r="G43" s="182">
        <v>90</v>
      </c>
      <c r="H43" s="185" t="s">
        <v>1459</v>
      </c>
    </row>
    <row r="44" spans="1:8" ht="13.2" customHeight="1" x14ac:dyDescent="0.25">
      <c r="A44" s="24" t="s">
        <v>1523</v>
      </c>
      <c r="B44" s="24" t="s">
        <v>1417</v>
      </c>
      <c r="C44" s="55" t="s">
        <v>91</v>
      </c>
      <c r="D44" s="216">
        <v>0.77</v>
      </c>
      <c r="E44" s="216">
        <v>3.5000000000000003E-2</v>
      </c>
      <c r="F44" s="214">
        <f>(grains_table[[#This Row],[Extract %]]*46.214)/1000+1</f>
        <v>1.03558478</v>
      </c>
      <c r="G44" s="182">
        <v>60</v>
      </c>
      <c r="H44" s="185" t="s">
        <v>1459</v>
      </c>
    </row>
    <row r="45" spans="1:8" ht="13.2" customHeight="1" x14ac:dyDescent="0.25">
      <c r="A45" s="24" t="s">
        <v>1524</v>
      </c>
      <c r="B45" s="24" t="s">
        <v>1417</v>
      </c>
      <c r="C45" s="55" t="s">
        <v>91</v>
      </c>
      <c r="D45" s="216">
        <v>0.8</v>
      </c>
      <c r="E45" s="216">
        <v>0.05</v>
      </c>
      <c r="F45" s="214">
        <f>(grains_table[[#This Row],[Extract %]]*46.214)/1000+1</f>
        <v>1.0369712</v>
      </c>
      <c r="G45" s="182">
        <v>60</v>
      </c>
      <c r="H45" s="186" t="s">
        <v>1459</v>
      </c>
    </row>
    <row r="46" spans="1:8" ht="13.2" customHeight="1" x14ac:dyDescent="0.25">
      <c r="A46" s="24" t="s">
        <v>1525</v>
      </c>
      <c r="B46" s="24" t="s">
        <v>1417</v>
      </c>
      <c r="C46" s="55" t="s">
        <v>91</v>
      </c>
      <c r="D46" s="216">
        <v>0.78</v>
      </c>
      <c r="E46" s="216">
        <v>4.4999999999999998E-2</v>
      </c>
      <c r="F46" s="214">
        <f>(grains_table[[#This Row],[Extract %]]*46.214)/1000+1</f>
        <v>1.03604692</v>
      </c>
      <c r="G46" s="182">
        <v>20</v>
      </c>
      <c r="H46" s="185" t="s">
        <v>1459</v>
      </c>
    </row>
    <row r="47" spans="1:8" ht="13.2" customHeight="1" x14ac:dyDescent="0.25">
      <c r="A47" s="24" t="s">
        <v>1628</v>
      </c>
      <c r="B47" s="24" t="s">
        <v>1415</v>
      </c>
      <c r="C47" s="55" t="s">
        <v>91</v>
      </c>
      <c r="D47" s="216">
        <v>0.73</v>
      </c>
      <c r="E47" s="216">
        <v>6.5000000000000002E-2</v>
      </c>
      <c r="F47" s="214">
        <f>(grains_table[[#This Row],[Extract %]]*46.214)/1000+1</f>
        <v>1.03373622</v>
      </c>
      <c r="G47" s="182">
        <v>34.5</v>
      </c>
      <c r="H47" s="185" t="s">
        <v>1456</v>
      </c>
    </row>
    <row r="48" spans="1:8" ht="13.2" customHeight="1" x14ac:dyDescent="0.25">
      <c r="A48" s="24" t="s">
        <v>1629</v>
      </c>
      <c r="B48" s="24" t="s">
        <v>1415</v>
      </c>
      <c r="C48" s="55" t="s">
        <v>91</v>
      </c>
      <c r="D48" s="216">
        <v>0.73</v>
      </c>
      <c r="E48" s="216">
        <v>6.5000000000000002E-2</v>
      </c>
      <c r="F48" s="214">
        <f>(grains_table[[#This Row],[Extract %]]*46.214)/1000+1</f>
        <v>1.03373622</v>
      </c>
      <c r="G48" s="182">
        <v>45.5</v>
      </c>
      <c r="H48" s="185" t="s">
        <v>1456</v>
      </c>
    </row>
    <row r="49" spans="1:8" ht="13.2" customHeight="1" x14ac:dyDescent="0.25">
      <c r="A49" s="24" t="s">
        <v>1630</v>
      </c>
      <c r="B49" s="24" t="s">
        <v>1415</v>
      </c>
      <c r="C49" s="55" t="s">
        <v>91</v>
      </c>
      <c r="D49" s="216">
        <v>0.73</v>
      </c>
      <c r="E49" s="216">
        <v>6.5000000000000002E-2</v>
      </c>
      <c r="F49" s="214">
        <f>(grains_table[[#This Row],[Extract %]]*46.214)/1000+1</f>
        <v>1.03373622</v>
      </c>
      <c r="G49" s="182">
        <v>56.75</v>
      </c>
      <c r="H49" s="185" t="s">
        <v>1456</v>
      </c>
    </row>
    <row r="50" spans="1:8" ht="13.2" customHeight="1" x14ac:dyDescent="0.25">
      <c r="A50" s="24" t="s">
        <v>1631</v>
      </c>
      <c r="B50" s="24" t="s">
        <v>1415</v>
      </c>
      <c r="C50" s="55" t="s">
        <v>91</v>
      </c>
      <c r="D50" s="216">
        <v>0.75</v>
      </c>
      <c r="E50" s="216">
        <v>7.0000000000000007E-2</v>
      </c>
      <c r="F50" s="214">
        <f>(grains_table[[#This Row],[Extract %]]*46.214)/1000+1</f>
        <v>1.0346605</v>
      </c>
      <c r="G50" s="182">
        <v>2.2000000000000002</v>
      </c>
      <c r="H50" s="185" t="s">
        <v>1456</v>
      </c>
    </row>
    <row r="51" spans="1:8" ht="13.2" customHeight="1" x14ac:dyDescent="0.25">
      <c r="A51" s="24" t="s">
        <v>1632</v>
      </c>
      <c r="B51" s="24" t="s">
        <v>1415</v>
      </c>
      <c r="C51" s="55" t="s">
        <v>91</v>
      </c>
      <c r="D51" s="216">
        <v>0.74</v>
      </c>
      <c r="E51" s="216">
        <v>7.4999999999999997E-2</v>
      </c>
      <c r="F51" s="214">
        <f>(grains_table[[#This Row],[Extract %]]*46.214)/1000+1</f>
        <v>1.03419836</v>
      </c>
      <c r="G51" s="182">
        <v>19.5</v>
      </c>
      <c r="H51" s="185" t="s">
        <v>1456</v>
      </c>
    </row>
    <row r="52" spans="1:8" ht="13.2" customHeight="1" x14ac:dyDescent="0.25">
      <c r="A52" s="24" t="s">
        <v>1633</v>
      </c>
      <c r="B52" s="24" t="s">
        <v>1415</v>
      </c>
      <c r="C52" s="55" t="s">
        <v>91</v>
      </c>
      <c r="D52" s="216">
        <v>0.74</v>
      </c>
      <c r="E52" s="216">
        <v>6.5000000000000002E-2</v>
      </c>
      <c r="F52" s="214">
        <f>(grains_table[[#This Row],[Extract %]]*46.214)/1000+1</f>
        <v>1.03419836</v>
      </c>
      <c r="G52" s="53">
        <v>66.5</v>
      </c>
      <c r="H52" s="185" t="s">
        <v>1456</v>
      </c>
    </row>
    <row r="53" spans="1:8" ht="13.2" customHeight="1" x14ac:dyDescent="0.25">
      <c r="A53" s="24" t="s">
        <v>1634</v>
      </c>
      <c r="B53" s="24" t="s">
        <v>1415</v>
      </c>
      <c r="C53" s="55" t="s">
        <v>91</v>
      </c>
      <c r="D53" s="216">
        <v>0.68</v>
      </c>
      <c r="E53" s="216">
        <v>6.5000000000000002E-2</v>
      </c>
      <c r="F53" s="214">
        <f>(grains_table[[#This Row],[Extract %]]*46.214)/1000+1</f>
        <v>1.03142552</v>
      </c>
      <c r="G53" s="182">
        <v>47.5</v>
      </c>
      <c r="H53" s="185" t="s">
        <v>1456</v>
      </c>
    </row>
    <row r="54" spans="1:8" ht="13.2" customHeight="1" x14ac:dyDescent="0.25">
      <c r="A54" s="24" t="s">
        <v>1526</v>
      </c>
      <c r="B54" s="24" t="s">
        <v>1416</v>
      </c>
      <c r="C54" s="55" t="s">
        <v>91</v>
      </c>
      <c r="D54" s="216">
        <v>0.69</v>
      </c>
      <c r="E54" s="216">
        <v>0.05</v>
      </c>
      <c r="F54" s="214">
        <f>(grains_table[[#This Row],[Extract %]]*46.214)/1000+1</f>
        <v>1.03188766</v>
      </c>
      <c r="G54" s="53">
        <v>100.9</v>
      </c>
      <c r="H54" s="186" t="s">
        <v>1438</v>
      </c>
    </row>
    <row r="55" spans="1:8" ht="13.2" customHeight="1" x14ac:dyDescent="0.25">
      <c r="A55" s="24" t="s">
        <v>1527</v>
      </c>
      <c r="B55" s="24" t="s">
        <v>1416</v>
      </c>
      <c r="C55" s="55" t="s">
        <v>91</v>
      </c>
      <c r="D55" s="216">
        <v>0.69</v>
      </c>
      <c r="E55" s="216">
        <v>0.05</v>
      </c>
      <c r="F55" s="214">
        <f>(grains_table[[#This Row],[Extract %]]*46.214)/1000+1</f>
        <v>1.03188766</v>
      </c>
      <c r="G55" s="53">
        <v>178.7</v>
      </c>
      <c r="H55" s="185" t="s">
        <v>1439</v>
      </c>
    </row>
    <row r="56" spans="1:8" ht="13.2" customHeight="1" x14ac:dyDescent="0.25">
      <c r="A56" s="24" t="s">
        <v>1528</v>
      </c>
      <c r="B56" s="24" t="s">
        <v>1416</v>
      </c>
      <c r="C56" s="55" t="s">
        <v>91</v>
      </c>
      <c r="D56" s="216">
        <v>0.69</v>
      </c>
      <c r="E56" s="216">
        <v>0.06</v>
      </c>
      <c r="F56" s="214">
        <f>(grains_table[[#This Row],[Extract %]]*46.214)/1000+1</f>
        <v>1.03188766</v>
      </c>
      <c r="G56" s="53">
        <v>39.549999999999997</v>
      </c>
      <c r="H56" s="185" t="s">
        <v>1435</v>
      </c>
    </row>
    <row r="57" spans="1:8" ht="13.2" customHeight="1" x14ac:dyDescent="0.25">
      <c r="A57" s="24" t="s">
        <v>1529</v>
      </c>
      <c r="B57" s="24" t="s">
        <v>1416</v>
      </c>
      <c r="C57" s="55" t="s">
        <v>91</v>
      </c>
      <c r="D57" s="216">
        <v>0.69</v>
      </c>
      <c r="E57" s="216">
        <v>0.05</v>
      </c>
      <c r="F57" s="214">
        <f>(grains_table[[#This Row],[Extract %]]*46.214)/1000+1</f>
        <v>1.03188766</v>
      </c>
      <c r="G57" s="53">
        <v>67.5</v>
      </c>
      <c r="H57" s="186" t="s">
        <v>1437</v>
      </c>
    </row>
    <row r="58" spans="1:8" ht="13.2" customHeight="1" x14ac:dyDescent="0.25">
      <c r="A58" s="24" t="s">
        <v>1530</v>
      </c>
      <c r="B58" s="24" t="s">
        <v>1416</v>
      </c>
      <c r="C58" s="55" t="s">
        <v>91</v>
      </c>
      <c r="D58" s="216">
        <v>0.69</v>
      </c>
      <c r="E58" s="216">
        <v>0.05</v>
      </c>
      <c r="F58" s="214">
        <f>(grains_table[[#This Row],[Extract %]]*46.214)/1000+1</f>
        <v>1.03188766</v>
      </c>
      <c r="G58" s="53">
        <v>50.5</v>
      </c>
      <c r="H58" s="186" t="s">
        <v>1436</v>
      </c>
    </row>
    <row r="59" spans="1:8" ht="13.2" customHeight="1" x14ac:dyDescent="0.25">
      <c r="A59" s="24" t="s">
        <v>1531</v>
      </c>
      <c r="B59" s="24" t="s">
        <v>1416</v>
      </c>
      <c r="C59" s="55" t="s">
        <v>91</v>
      </c>
      <c r="D59" s="216">
        <v>0.69</v>
      </c>
      <c r="E59" s="216">
        <v>0.05</v>
      </c>
      <c r="F59" s="214">
        <f>(grains_table[[#This Row],[Extract %]]*46.214)/1000+1</f>
        <v>1.03188766</v>
      </c>
      <c r="G59" s="182">
        <v>67.5</v>
      </c>
      <c r="H59" s="185" t="s">
        <v>1441</v>
      </c>
    </row>
    <row r="60" spans="1:8" ht="13.2" customHeight="1" x14ac:dyDescent="0.25">
      <c r="A60" s="24" t="s">
        <v>1532</v>
      </c>
      <c r="B60" s="24" t="s">
        <v>1416</v>
      </c>
      <c r="C60" s="55" t="s">
        <v>91</v>
      </c>
      <c r="D60" s="216">
        <v>0.71</v>
      </c>
      <c r="E60" s="216">
        <v>3.5000000000000003E-2</v>
      </c>
      <c r="F60" s="214">
        <f>(grains_table[[#This Row],[Extract %]]*46.214)/1000+1</f>
        <v>1.03281194</v>
      </c>
      <c r="G60" s="53">
        <v>23.05</v>
      </c>
      <c r="H60" s="185" t="s">
        <v>1434</v>
      </c>
    </row>
    <row r="61" spans="1:8" ht="13.2" customHeight="1" x14ac:dyDescent="0.25">
      <c r="A61" s="24" t="s">
        <v>1604</v>
      </c>
      <c r="B61" s="24" t="s">
        <v>1416</v>
      </c>
      <c r="C61" s="55" t="s">
        <v>91</v>
      </c>
      <c r="D61" s="216">
        <v>0.65</v>
      </c>
      <c r="E61" s="216">
        <v>0.02</v>
      </c>
      <c r="F61" s="214">
        <f>(grains_table[[#This Row],[Extract %]]*46.214)/1000+1</f>
        <v>1.0300391</v>
      </c>
      <c r="G61" s="182">
        <v>103.1</v>
      </c>
      <c r="H61" s="185" t="s">
        <v>1450</v>
      </c>
    </row>
    <row r="62" spans="1:8" ht="13.2" customHeight="1" x14ac:dyDescent="0.25">
      <c r="A62" s="24" t="s">
        <v>1533</v>
      </c>
      <c r="B62" s="24" t="s">
        <v>1416</v>
      </c>
      <c r="C62" s="55" t="s">
        <v>91</v>
      </c>
      <c r="D62" s="216">
        <v>0.69</v>
      </c>
      <c r="E62" s="216">
        <v>0.05</v>
      </c>
      <c r="F62" s="214">
        <f>(grains_table[[#This Row],[Extract %]]*46.214)/1000+1</f>
        <v>1.03188766</v>
      </c>
      <c r="G62" s="53">
        <v>113.1</v>
      </c>
      <c r="H62" s="185" t="s">
        <v>1440</v>
      </c>
    </row>
    <row r="63" spans="1:8" ht="13.2" customHeight="1" x14ac:dyDescent="0.25">
      <c r="A63" s="24" t="s">
        <v>1534</v>
      </c>
      <c r="B63" s="24" t="s">
        <v>1418</v>
      </c>
      <c r="C63" s="55" t="s">
        <v>91</v>
      </c>
      <c r="D63" s="216">
        <v>0.72</v>
      </c>
      <c r="E63" s="216">
        <v>0.05</v>
      </c>
      <c r="F63" s="214">
        <f>(grains_table[[#This Row],[Extract %]]*46.214)/1000+1</f>
        <v>1.03327408</v>
      </c>
      <c r="G63" s="53">
        <v>125</v>
      </c>
      <c r="H63" s="185" t="s">
        <v>1454</v>
      </c>
    </row>
    <row r="64" spans="1:8" ht="13.2" customHeight="1" x14ac:dyDescent="0.25">
      <c r="A64" s="24" t="s">
        <v>1622</v>
      </c>
      <c r="B64" s="24" t="s">
        <v>1460</v>
      </c>
      <c r="C64" s="55" t="s">
        <v>91</v>
      </c>
      <c r="D64" s="216">
        <v>0.5</v>
      </c>
      <c r="E64" s="216">
        <v>4.9000000000000002E-2</v>
      </c>
      <c r="F64" s="214">
        <f>(grains_table[[#This Row],[Extract %]]*46.214)/1000+1</f>
        <v>1.023107</v>
      </c>
      <c r="G64" s="53">
        <v>1.4</v>
      </c>
      <c r="H64" s="186" t="s">
        <v>1494</v>
      </c>
    </row>
    <row r="65" spans="1:8" ht="13.2" customHeight="1" x14ac:dyDescent="0.25">
      <c r="A65" s="24" t="s">
        <v>1713</v>
      </c>
      <c r="B65" s="24" t="s">
        <v>1418</v>
      </c>
      <c r="C65" s="55" t="s">
        <v>91</v>
      </c>
      <c r="D65" s="216">
        <v>0.7</v>
      </c>
      <c r="E65" s="216">
        <v>4.4999999999999998E-2</v>
      </c>
      <c r="F65" s="214">
        <f>(grains_table[[#This Row],[Extract %]]*46.214)/1000+1</f>
        <v>1.0323498</v>
      </c>
      <c r="G65" s="53">
        <v>340</v>
      </c>
      <c r="H65" s="186" t="s">
        <v>1455</v>
      </c>
    </row>
    <row r="66" spans="1:8" ht="13.2" customHeight="1" x14ac:dyDescent="0.25">
      <c r="A66" s="24" t="s">
        <v>1535</v>
      </c>
      <c r="B66" s="24" t="s">
        <v>1417</v>
      </c>
      <c r="C66" s="55" t="s">
        <v>91</v>
      </c>
      <c r="D66" s="216">
        <v>0.75</v>
      </c>
      <c r="E66" s="216">
        <v>6.5000000000000002E-2</v>
      </c>
      <c r="F66" s="214">
        <f>(grains_table[[#This Row],[Extract %]]*46.214)/1000+1</f>
        <v>1.0346605</v>
      </c>
      <c r="G66" s="53">
        <v>1.5</v>
      </c>
      <c r="H66" s="185" t="s">
        <v>1461</v>
      </c>
    </row>
    <row r="67" spans="1:8" ht="13.2" customHeight="1" x14ac:dyDescent="0.25">
      <c r="A67" s="24" t="s">
        <v>1536</v>
      </c>
      <c r="B67" s="24" t="s">
        <v>1417</v>
      </c>
      <c r="C67" s="55" t="s">
        <v>91</v>
      </c>
      <c r="D67" s="216">
        <v>0.75</v>
      </c>
      <c r="E67" s="216">
        <v>5.5E-2</v>
      </c>
      <c r="F67" s="214">
        <f>(grains_table[[#This Row],[Extract %]]*46.214)/1000+1</f>
        <v>1.0346605</v>
      </c>
      <c r="G67" s="53">
        <v>30</v>
      </c>
      <c r="H67" s="185" t="s">
        <v>1461</v>
      </c>
    </row>
    <row r="68" spans="1:8" ht="13.2" customHeight="1" x14ac:dyDescent="0.25">
      <c r="A68" s="24" t="s">
        <v>1537</v>
      </c>
      <c r="B68" s="24" t="s">
        <v>1416</v>
      </c>
      <c r="C68" s="55" t="s">
        <v>91</v>
      </c>
      <c r="D68" s="216">
        <v>0.67500000000000004</v>
      </c>
      <c r="E68" s="216">
        <v>7.0000000000000007E-2</v>
      </c>
      <c r="F68" s="214">
        <f>(grains_table[[#This Row],[Extract %]]*46.214)/1000+1</f>
        <v>1.0311944500000001</v>
      </c>
      <c r="G68" s="53">
        <v>1.1000000000000001</v>
      </c>
      <c r="H68" s="185" t="s">
        <v>1452</v>
      </c>
    </row>
    <row r="69" spans="1:8" ht="13.2" customHeight="1" x14ac:dyDescent="0.25">
      <c r="A69" s="24" t="s">
        <v>1715</v>
      </c>
      <c r="B69" s="24" t="s">
        <v>1417</v>
      </c>
      <c r="C69" s="55" t="s">
        <v>797</v>
      </c>
      <c r="D69" s="213"/>
      <c r="E69" s="213"/>
      <c r="F69" s="214">
        <v>1.0449999999999999</v>
      </c>
      <c r="G69" s="53">
        <v>6</v>
      </c>
      <c r="H69" s="185" t="s">
        <v>1659</v>
      </c>
    </row>
    <row r="70" spans="1:8" x14ac:dyDescent="0.25">
      <c r="A70" s="24" t="s">
        <v>1716</v>
      </c>
      <c r="B70" s="24" t="s">
        <v>1417</v>
      </c>
      <c r="C70" s="55" t="s">
        <v>797</v>
      </c>
      <c r="D70" s="213"/>
      <c r="E70" s="213"/>
      <c r="F70" s="214">
        <v>1.0449999999999999</v>
      </c>
      <c r="G70" s="182">
        <v>2</v>
      </c>
      <c r="H70" s="185" t="s">
        <v>1659</v>
      </c>
    </row>
    <row r="71" spans="1:8" ht="13.2" customHeight="1" x14ac:dyDescent="0.25">
      <c r="A71" s="24" t="s">
        <v>1643</v>
      </c>
      <c r="B71" s="24" t="s">
        <v>608</v>
      </c>
      <c r="C71" s="55" t="s">
        <v>797</v>
      </c>
      <c r="D71" s="216"/>
      <c r="E71" s="216"/>
      <c r="F71" s="214">
        <v>1.0383439999999999</v>
      </c>
      <c r="G71" s="53">
        <v>6.7</v>
      </c>
      <c r="H71" s="185" t="s">
        <v>1635</v>
      </c>
    </row>
    <row r="72" spans="1:8" ht="13.2" customHeight="1" x14ac:dyDescent="0.25">
      <c r="A72" s="24" t="s">
        <v>1644</v>
      </c>
      <c r="B72" s="24" t="s">
        <v>608</v>
      </c>
      <c r="C72" s="55" t="s">
        <v>797</v>
      </c>
      <c r="D72" s="216"/>
      <c r="E72" s="216"/>
      <c r="F72" s="214">
        <v>1.0377449999999999</v>
      </c>
      <c r="G72" s="53">
        <v>22</v>
      </c>
      <c r="H72" s="185" t="s">
        <v>1635</v>
      </c>
    </row>
    <row r="73" spans="1:8" ht="13.2" customHeight="1" x14ac:dyDescent="0.25">
      <c r="A73" s="24" t="s">
        <v>1645</v>
      </c>
      <c r="B73" s="24" t="s">
        <v>608</v>
      </c>
      <c r="C73" s="55" t="s">
        <v>797</v>
      </c>
      <c r="D73" s="216"/>
      <c r="E73" s="216"/>
      <c r="F73" s="214">
        <v>1.0377449999999999</v>
      </c>
      <c r="G73" s="53">
        <v>36</v>
      </c>
      <c r="H73" s="185" t="s">
        <v>1635</v>
      </c>
    </row>
    <row r="74" spans="1:8" ht="13.2" customHeight="1" x14ac:dyDescent="0.25">
      <c r="A74" s="24" t="s">
        <v>1646</v>
      </c>
      <c r="B74" s="24" t="s">
        <v>608</v>
      </c>
      <c r="C74" s="55" t="s">
        <v>797</v>
      </c>
      <c r="D74" s="216"/>
      <c r="E74" s="216"/>
      <c r="F74" s="214">
        <v>1.0383439999999999</v>
      </c>
      <c r="G74" s="187">
        <v>5.0999999999999996</v>
      </c>
      <c r="H74" s="185" t="s">
        <v>1635</v>
      </c>
    </row>
    <row r="75" spans="1:8" ht="13.2" customHeight="1" x14ac:dyDescent="0.25">
      <c r="A75" s="24" t="s">
        <v>1647</v>
      </c>
      <c r="B75" s="24" t="s">
        <v>608</v>
      </c>
      <c r="C75" s="55" t="s">
        <v>797</v>
      </c>
      <c r="D75" s="216"/>
      <c r="E75" s="216"/>
      <c r="F75" s="214">
        <v>1.0383439999999999</v>
      </c>
      <c r="G75" s="187">
        <v>3.8</v>
      </c>
      <c r="H75" s="185" t="s">
        <v>1635</v>
      </c>
    </row>
    <row r="76" spans="1:8" ht="13.2" customHeight="1" x14ac:dyDescent="0.25">
      <c r="A76" s="24" t="s">
        <v>1648</v>
      </c>
      <c r="B76" s="24" t="s">
        <v>608</v>
      </c>
      <c r="C76" s="55" t="s">
        <v>797</v>
      </c>
      <c r="D76" s="216"/>
      <c r="E76" s="216"/>
      <c r="F76" s="214">
        <v>1.0377449999999999</v>
      </c>
      <c r="G76" s="187">
        <v>12.75</v>
      </c>
      <c r="H76" s="185" t="s">
        <v>1635</v>
      </c>
    </row>
    <row r="77" spans="1:8" ht="13.2" customHeight="1" x14ac:dyDescent="0.25">
      <c r="A77" s="24" t="s">
        <v>1649</v>
      </c>
      <c r="B77" s="24" t="s">
        <v>608</v>
      </c>
      <c r="C77" s="55" t="s">
        <v>797</v>
      </c>
      <c r="D77" s="216"/>
      <c r="E77" s="216"/>
      <c r="F77" s="214">
        <v>1.0377449999999999</v>
      </c>
      <c r="G77" s="187">
        <v>533.5</v>
      </c>
      <c r="H77" s="185" t="s">
        <v>1635</v>
      </c>
    </row>
    <row r="78" spans="1:8" ht="13.2" customHeight="1" x14ac:dyDescent="0.25">
      <c r="A78" s="24" t="s">
        <v>1406</v>
      </c>
      <c r="B78" s="24" t="s">
        <v>1417</v>
      </c>
      <c r="C78" s="55" t="s">
        <v>91</v>
      </c>
      <c r="D78" s="216">
        <v>0.7</v>
      </c>
      <c r="E78" s="216">
        <v>0.09</v>
      </c>
      <c r="F78" s="214">
        <f>(grains_table[[#This Row],[Extract %]]*46.214)/1000+1</f>
        <v>1.0323498</v>
      </c>
      <c r="G78" s="187">
        <v>1.4</v>
      </c>
      <c r="H78" s="185" t="s">
        <v>1658</v>
      </c>
    </row>
    <row r="79" spans="1:8" ht="13.2" customHeight="1" x14ac:dyDescent="0.25">
      <c r="A79" s="24" t="s">
        <v>1409</v>
      </c>
      <c r="B79" s="24" t="s">
        <v>1417</v>
      </c>
      <c r="C79" s="55" t="s">
        <v>91</v>
      </c>
      <c r="D79" s="216">
        <v>0.6</v>
      </c>
      <c r="E79" s="216">
        <v>7.0000000000000007E-2</v>
      </c>
      <c r="F79" s="214">
        <f>(grains_table[[#This Row],[Extract %]]*46.214)/1000+1</f>
        <v>1.0277284</v>
      </c>
      <c r="G79" s="187">
        <v>1</v>
      </c>
      <c r="H79" s="185" t="s">
        <v>1658</v>
      </c>
    </row>
    <row r="80" spans="1:8" ht="13.2" customHeight="1" x14ac:dyDescent="0.25">
      <c r="A80" s="24" t="s">
        <v>1408</v>
      </c>
      <c r="B80" s="24" t="s">
        <v>1417</v>
      </c>
      <c r="C80" s="55" t="s">
        <v>91</v>
      </c>
      <c r="D80" s="216">
        <v>0.7</v>
      </c>
      <c r="E80" s="216">
        <v>7.4999999999999997E-2</v>
      </c>
      <c r="F80" s="214">
        <f>(grains_table[[#This Row],[Extract %]]*46.214)/1000+1</f>
        <v>1.0323498</v>
      </c>
      <c r="G80" s="206">
        <v>2.5</v>
      </c>
      <c r="H80" s="185" t="s">
        <v>1658</v>
      </c>
    </row>
    <row r="81" spans="1:8" ht="13.2" customHeight="1" x14ac:dyDescent="0.25">
      <c r="A81" s="24" t="s">
        <v>1410</v>
      </c>
      <c r="B81" s="24" t="s">
        <v>1417</v>
      </c>
      <c r="C81" s="55" t="s">
        <v>91</v>
      </c>
      <c r="D81" s="216">
        <v>0.7</v>
      </c>
      <c r="E81" s="216">
        <v>7.0000000000000007E-2</v>
      </c>
      <c r="F81" s="214">
        <f>(grains_table[[#This Row],[Extract %]]*46.214)/1000+1</f>
        <v>1.0323498</v>
      </c>
      <c r="G81" s="206">
        <v>2</v>
      </c>
      <c r="H81" s="185" t="s">
        <v>1658</v>
      </c>
    </row>
    <row r="82" spans="1:8" ht="13.2" customHeight="1" x14ac:dyDescent="0.25">
      <c r="A82" s="24" t="s">
        <v>1411</v>
      </c>
      <c r="B82" s="24" t="s">
        <v>1417</v>
      </c>
      <c r="C82" s="55" t="s">
        <v>91</v>
      </c>
      <c r="D82" s="216">
        <v>0.71</v>
      </c>
      <c r="E82" s="216">
        <v>0.09</v>
      </c>
      <c r="F82" s="214">
        <f>(grains_table[[#This Row],[Extract %]]*46.214)/1000+1</f>
        <v>1.03281194</v>
      </c>
      <c r="G82" s="206">
        <v>3</v>
      </c>
      <c r="H82" s="185" t="s">
        <v>1658</v>
      </c>
    </row>
    <row r="83" spans="1:8" ht="13.2" customHeight="1" x14ac:dyDescent="0.25">
      <c r="A83" s="24" t="s">
        <v>1412</v>
      </c>
      <c r="B83" s="24" t="s">
        <v>1417</v>
      </c>
      <c r="C83" s="55" t="s">
        <v>91</v>
      </c>
      <c r="D83" s="216">
        <v>0.71</v>
      </c>
      <c r="E83" s="216">
        <v>7.0000000000000007E-2</v>
      </c>
      <c r="F83" s="214">
        <f>(grains_table[[#This Row],[Extract %]]*46.214)/1000+1</f>
        <v>1.03281194</v>
      </c>
      <c r="G83" s="187">
        <v>2.5</v>
      </c>
      <c r="H83" s="185" t="s">
        <v>1658</v>
      </c>
    </row>
    <row r="84" spans="1:8" ht="13.2" customHeight="1" x14ac:dyDescent="0.25">
      <c r="A84" s="24" t="s">
        <v>1407</v>
      </c>
      <c r="B84" s="24" t="s">
        <v>1417</v>
      </c>
      <c r="C84" s="55" t="s">
        <v>91</v>
      </c>
      <c r="D84" s="216">
        <v>0.75</v>
      </c>
      <c r="E84" s="216">
        <v>0.08</v>
      </c>
      <c r="F84" s="214">
        <f>(grains_table[[#This Row],[Extract %]]*46.214)/1000+1</f>
        <v>1.0346605</v>
      </c>
      <c r="G84" s="187">
        <v>0.8</v>
      </c>
      <c r="H84" s="185" t="s">
        <v>1658</v>
      </c>
    </row>
    <row r="85" spans="1:8" ht="13.2" customHeight="1" x14ac:dyDescent="0.25">
      <c r="A85" s="24" t="s">
        <v>1708</v>
      </c>
      <c r="B85" s="24" t="s">
        <v>1415</v>
      </c>
      <c r="C85" s="55" t="s">
        <v>91</v>
      </c>
      <c r="D85" s="216">
        <v>0.78</v>
      </c>
      <c r="E85" s="216">
        <v>4.4999999999999998E-2</v>
      </c>
      <c r="F85" s="214">
        <f>(grains_table[[#This Row],[Extract %]]*46.214)/1000+1</f>
        <v>1.03604692</v>
      </c>
      <c r="G85" s="187">
        <v>6.6</v>
      </c>
      <c r="H85" s="185" t="s">
        <v>1456</v>
      </c>
    </row>
    <row r="86" spans="1:8" ht="13.2" customHeight="1" x14ac:dyDescent="0.25">
      <c r="A86" s="24" t="s">
        <v>1718</v>
      </c>
      <c r="B86" s="24" t="s">
        <v>1417</v>
      </c>
      <c r="C86" s="55" t="s">
        <v>797</v>
      </c>
      <c r="D86" s="213"/>
      <c r="E86" s="213"/>
      <c r="F86" s="214">
        <v>1.036</v>
      </c>
      <c r="G86" s="187">
        <v>6</v>
      </c>
      <c r="H86" s="185" t="s">
        <v>1659</v>
      </c>
    </row>
    <row r="87" spans="1:8" ht="13.2" customHeight="1" x14ac:dyDescent="0.25">
      <c r="A87" s="24" t="s">
        <v>1717</v>
      </c>
      <c r="B87" s="24" t="s">
        <v>1417</v>
      </c>
      <c r="C87" s="55" t="s">
        <v>797</v>
      </c>
      <c r="D87" s="216"/>
      <c r="E87" s="216"/>
      <c r="F87" s="214">
        <v>1.036</v>
      </c>
      <c r="G87" s="187">
        <v>2</v>
      </c>
      <c r="H87" s="185" t="s">
        <v>1659</v>
      </c>
    </row>
    <row r="88" spans="1:8" ht="13.2" customHeight="1" x14ac:dyDescent="0.25">
      <c r="A88" s="24" t="s">
        <v>1650</v>
      </c>
      <c r="B88" s="24" t="s">
        <v>608</v>
      </c>
      <c r="C88" s="55" t="s">
        <v>797</v>
      </c>
      <c r="D88" s="216"/>
      <c r="E88" s="216"/>
      <c r="F88" s="214">
        <v>1.036</v>
      </c>
      <c r="G88" s="187">
        <v>7.2</v>
      </c>
      <c r="H88" s="185" t="s">
        <v>1635</v>
      </c>
    </row>
    <row r="89" spans="1:8" ht="13.2" customHeight="1" x14ac:dyDescent="0.25">
      <c r="A89" s="24" t="s">
        <v>1651</v>
      </c>
      <c r="B89" s="24" t="s">
        <v>608</v>
      </c>
      <c r="C89" s="55" t="s">
        <v>797</v>
      </c>
      <c r="D89" s="216"/>
      <c r="E89" s="216"/>
      <c r="F89" s="214">
        <v>1.036</v>
      </c>
      <c r="G89" s="187">
        <v>3.8</v>
      </c>
      <c r="H89" s="185" t="s">
        <v>1635</v>
      </c>
    </row>
    <row r="90" spans="1:8" ht="13.2" customHeight="1" x14ac:dyDescent="0.25">
      <c r="A90" s="24" t="s">
        <v>1652</v>
      </c>
      <c r="B90" s="24" t="s">
        <v>608</v>
      </c>
      <c r="C90" s="55" t="s">
        <v>797</v>
      </c>
      <c r="D90" s="216"/>
      <c r="E90" s="216"/>
      <c r="F90" s="214">
        <v>1.036</v>
      </c>
      <c r="G90" s="53">
        <v>10.25</v>
      </c>
      <c r="H90" s="185" t="s">
        <v>1635</v>
      </c>
    </row>
    <row r="91" spans="1:8" ht="13.2" customHeight="1" x14ac:dyDescent="0.25">
      <c r="A91" s="24" t="s">
        <v>1653</v>
      </c>
      <c r="B91" s="24" t="s">
        <v>608</v>
      </c>
      <c r="C91" s="55" t="s">
        <v>797</v>
      </c>
      <c r="D91" s="216"/>
      <c r="E91" s="216"/>
      <c r="F91" s="214">
        <v>1.036</v>
      </c>
      <c r="G91" s="53">
        <v>5.3</v>
      </c>
      <c r="H91" s="185" t="s">
        <v>1635</v>
      </c>
    </row>
    <row r="92" spans="1:8" ht="13.2" customHeight="1" x14ac:dyDescent="0.25">
      <c r="A92" s="24" t="s">
        <v>1556</v>
      </c>
      <c r="B92" s="24" t="s">
        <v>1460</v>
      </c>
      <c r="C92" s="55" t="s">
        <v>91</v>
      </c>
      <c r="D92" s="216">
        <v>0.75</v>
      </c>
      <c r="E92" s="216">
        <v>4.9000000000000002E-2</v>
      </c>
      <c r="F92" s="214">
        <f>(grains_table[[#This Row],[Extract %]]*46.214)/1000+1</f>
        <v>1.0346605</v>
      </c>
      <c r="G92" s="182">
        <v>28</v>
      </c>
      <c r="H92" s="185" t="s">
        <v>1476</v>
      </c>
    </row>
    <row r="93" spans="1:8" ht="13.2" customHeight="1" x14ac:dyDescent="0.25">
      <c r="A93" s="24" t="s">
        <v>1557</v>
      </c>
      <c r="B93" s="24" t="s">
        <v>1460</v>
      </c>
      <c r="C93" s="55" t="s">
        <v>91</v>
      </c>
      <c r="D93" s="216">
        <v>0.75</v>
      </c>
      <c r="E93" s="216">
        <v>4.9000000000000002E-2</v>
      </c>
      <c r="F93" s="214">
        <f>(grains_table[[#This Row],[Extract %]]*46.214)/1000+1</f>
        <v>1.0346605</v>
      </c>
      <c r="G93" s="53">
        <v>19.5</v>
      </c>
      <c r="H93" s="185" t="s">
        <v>1477</v>
      </c>
    </row>
    <row r="94" spans="1:8" ht="13.2" customHeight="1" x14ac:dyDescent="0.25">
      <c r="A94" s="24" t="s">
        <v>1558</v>
      </c>
      <c r="B94" s="24" t="s">
        <v>1415</v>
      </c>
      <c r="C94" s="55" t="s">
        <v>91</v>
      </c>
      <c r="D94" s="216">
        <v>0.75</v>
      </c>
      <c r="E94" s="216">
        <v>4.4999999999999998E-2</v>
      </c>
      <c r="F94" s="214">
        <f>(grains_table[[#This Row],[Extract %]]*46.214)/1000+1</f>
        <v>1.0346605</v>
      </c>
      <c r="G94" s="53">
        <v>27</v>
      </c>
      <c r="H94" s="185" t="s">
        <v>1456</v>
      </c>
    </row>
    <row r="95" spans="1:8" ht="13.2" customHeight="1" x14ac:dyDescent="0.25">
      <c r="A95" s="24" t="s">
        <v>1550</v>
      </c>
      <c r="B95" s="24" t="s">
        <v>1417</v>
      </c>
      <c r="C95" s="55" t="s">
        <v>91</v>
      </c>
      <c r="D95" s="216">
        <v>0.77</v>
      </c>
      <c r="E95" s="216">
        <v>2.5000000000000001E-2</v>
      </c>
      <c r="F95" s="214">
        <f>(grains_table[[#This Row],[Extract %]]*46.214)/1000+1</f>
        <v>1.03558478</v>
      </c>
      <c r="G95" s="182">
        <v>20</v>
      </c>
      <c r="H95" s="185" t="s">
        <v>1457</v>
      </c>
    </row>
    <row r="96" spans="1:8" ht="13.2" customHeight="1" x14ac:dyDescent="0.25">
      <c r="A96" s="24" t="s">
        <v>1551</v>
      </c>
      <c r="B96" s="24" t="s">
        <v>1460</v>
      </c>
      <c r="C96" s="55" t="s">
        <v>91</v>
      </c>
      <c r="D96" s="216">
        <v>0.80500000000000005</v>
      </c>
      <c r="E96" s="216">
        <v>4.9000000000000002E-2</v>
      </c>
      <c r="F96" s="214">
        <f>(grains_table[[#This Row],[Extract %]]*46.214)/1000+1</f>
        <v>1.0372022700000001</v>
      </c>
      <c r="G96" s="53">
        <v>6.3</v>
      </c>
      <c r="H96" s="185" t="s">
        <v>1478</v>
      </c>
    </row>
    <row r="97" spans="1:8" ht="13.2" customHeight="1" x14ac:dyDescent="0.25">
      <c r="A97" s="24" t="s">
        <v>1552</v>
      </c>
      <c r="B97" s="24" t="s">
        <v>1460</v>
      </c>
      <c r="C97" s="55" t="s">
        <v>91</v>
      </c>
      <c r="D97" s="216">
        <v>0.8</v>
      </c>
      <c r="E97" s="216">
        <v>4.9000000000000002E-2</v>
      </c>
      <c r="F97" s="214">
        <f>(grains_table[[#This Row],[Extract %]]*46.214)/1000+1</f>
        <v>1.0369712</v>
      </c>
      <c r="G97" s="183">
        <v>11.05</v>
      </c>
      <c r="H97" s="185" t="s">
        <v>1475</v>
      </c>
    </row>
    <row r="98" spans="1:8" ht="13.2" customHeight="1" x14ac:dyDescent="0.25">
      <c r="A98" s="24" t="s">
        <v>1553</v>
      </c>
      <c r="B98" s="24" t="s">
        <v>1417</v>
      </c>
      <c r="C98" s="55" t="s">
        <v>91</v>
      </c>
      <c r="D98" s="216">
        <v>0.78</v>
      </c>
      <c r="E98" s="216">
        <v>3.3000000000000002E-2</v>
      </c>
      <c r="F98" s="214">
        <f>(grains_table[[#This Row],[Extract %]]*46.214)/1000+1</f>
        <v>1.03604692</v>
      </c>
      <c r="G98" s="53">
        <v>10</v>
      </c>
      <c r="H98" s="185" t="s">
        <v>1466</v>
      </c>
    </row>
    <row r="99" spans="1:8" ht="13.2" customHeight="1" x14ac:dyDescent="0.25">
      <c r="A99" s="24" t="s">
        <v>1555</v>
      </c>
      <c r="B99" s="24" t="s">
        <v>1416</v>
      </c>
      <c r="C99" s="55" t="s">
        <v>91</v>
      </c>
      <c r="D99" s="216">
        <v>0.8</v>
      </c>
      <c r="E99" s="216">
        <v>0.04</v>
      </c>
      <c r="F99" s="214">
        <f>(grains_table[[#This Row],[Extract %]]*46.214)/1000+1</f>
        <v>1.0369712</v>
      </c>
      <c r="G99" s="183">
        <v>8.6</v>
      </c>
      <c r="H99" s="185" t="s">
        <v>1429</v>
      </c>
    </row>
    <row r="100" spans="1:8" ht="13.2" customHeight="1" x14ac:dyDescent="0.25">
      <c r="A100" s="24" t="s">
        <v>1554</v>
      </c>
      <c r="B100" s="24" t="s">
        <v>1418</v>
      </c>
      <c r="C100" s="55" t="s">
        <v>91</v>
      </c>
      <c r="D100" s="216">
        <v>0.79500000000000004</v>
      </c>
      <c r="E100" s="216">
        <v>4.4999999999999998E-2</v>
      </c>
      <c r="F100" s="214">
        <f>(grains_table[[#This Row],[Extract %]]*46.214)/1000+1</f>
        <v>1.0367401300000001</v>
      </c>
      <c r="G100" s="182">
        <v>6</v>
      </c>
      <c r="H100" s="185" t="s">
        <v>1453</v>
      </c>
    </row>
    <row r="101" spans="1:8" ht="13.2" customHeight="1" x14ac:dyDescent="0.25">
      <c r="A101" s="24" t="s">
        <v>1625</v>
      </c>
      <c r="B101" s="24" t="s">
        <v>1416</v>
      </c>
      <c r="C101" s="55" t="s">
        <v>91</v>
      </c>
      <c r="D101" s="216">
        <v>0.69</v>
      </c>
      <c r="E101" s="216">
        <v>7.0000000000000007E-2</v>
      </c>
      <c r="F101" s="214">
        <f>(grains_table[[#This Row],[Extract %]]*46.214)/1000+1</f>
        <v>1.03188766</v>
      </c>
      <c r="G101" s="53">
        <v>7.35</v>
      </c>
      <c r="H101" s="185" t="s">
        <v>1449</v>
      </c>
    </row>
    <row r="102" spans="1:8" ht="13.2" customHeight="1" x14ac:dyDescent="0.25">
      <c r="A102" s="24" t="s">
        <v>1623</v>
      </c>
      <c r="B102" s="24" t="s">
        <v>1416</v>
      </c>
      <c r="C102" s="55" t="s">
        <v>91</v>
      </c>
      <c r="D102" s="216">
        <v>0.74</v>
      </c>
      <c r="E102" s="216">
        <v>7.0000000000000007E-2</v>
      </c>
      <c r="F102" s="214">
        <f>(grains_table[[#This Row],[Extract %]]*46.214)/1000+1</f>
        <v>1.03419836</v>
      </c>
      <c r="G102" s="53">
        <v>1.7</v>
      </c>
      <c r="H102" s="185" t="s">
        <v>1447</v>
      </c>
    </row>
    <row r="103" spans="1:8" ht="13.2" customHeight="1" x14ac:dyDescent="0.25">
      <c r="A103" s="24" t="s">
        <v>1621</v>
      </c>
      <c r="B103" s="24" t="s">
        <v>1460</v>
      </c>
      <c r="C103" s="136" t="s">
        <v>91</v>
      </c>
      <c r="D103" s="216">
        <v>0.79</v>
      </c>
      <c r="E103" s="216">
        <v>4.9000000000000002E-2</v>
      </c>
      <c r="F103" s="214">
        <f>(grains_table[[#This Row],[Extract %]]*46.214)/1000+1</f>
        <v>1.03650906</v>
      </c>
      <c r="G103" s="53">
        <v>12</v>
      </c>
      <c r="H103" s="185" t="s">
        <v>1483</v>
      </c>
    </row>
    <row r="104" spans="1:8" ht="13.2" customHeight="1" x14ac:dyDescent="0.25">
      <c r="A104" s="24" t="s">
        <v>1619</v>
      </c>
      <c r="B104" s="24" t="s">
        <v>1460</v>
      </c>
      <c r="C104" s="55" t="s">
        <v>91</v>
      </c>
      <c r="D104" s="216">
        <v>0.75</v>
      </c>
      <c r="E104" s="216">
        <v>4.4999999999999998E-2</v>
      </c>
      <c r="F104" s="214">
        <f>(grains_table[[#This Row],[Extract %]]*46.214)/1000+1</f>
        <v>1.0346605</v>
      </c>
      <c r="G104" s="53">
        <v>132.5</v>
      </c>
      <c r="H104" s="185" t="s">
        <v>1484</v>
      </c>
    </row>
    <row r="105" spans="1:8" ht="13.2" customHeight="1" x14ac:dyDescent="0.25">
      <c r="A105" s="24" t="s">
        <v>1685</v>
      </c>
      <c r="B105" s="24" t="s">
        <v>1415</v>
      </c>
      <c r="C105" s="55" t="s">
        <v>91</v>
      </c>
      <c r="D105" s="216">
        <v>0.75</v>
      </c>
      <c r="E105" s="216">
        <v>4.4999999999999998E-2</v>
      </c>
      <c r="F105" s="214">
        <f>(grains_table[[#This Row],[Extract %]]*46.214)/1000+1</f>
        <v>1.0346605</v>
      </c>
      <c r="G105" s="182">
        <v>17.5</v>
      </c>
      <c r="H105" s="185" t="s">
        <v>1456</v>
      </c>
    </row>
    <row r="106" spans="1:8" ht="13.2" customHeight="1" x14ac:dyDescent="0.25">
      <c r="A106" s="24" t="s">
        <v>1540</v>
      </c>
      <c r="B106" s="24" t="s">
        <v>1460</v>
      </c>
      <c r="C106" s="55" t="s">
        <v>91</v>
      </c>
      <c r="D106" s="216">
        <v>0.80500000000000005</v>
      </c>
      <c r="E106" s="216">
        <v>4.9000000000000002E-2</v>
      </c>
      <c r="F106" s="214">
        <f>(grains_table[[#This Row],[Extract %]]*46.214)/1000+1</f>
        <v>1.0372022700000001</v>
      </c>
      <c r="G106" s="53">
        <v>2.7</v>
      </c>
      <c r="H106" s="185" t="s">
        <v>1473</v>
      </c>
    </row>
    <row r="107" spans="1:8" ht="13.2" customHeight="1" x14ac:dyDescent="0.25">
      <c r="A107" s="24" t="s">
        <v>1541</v>
      </c>
      <c r="B107" s="24" t="s">
        <v>1416</v>
      </c>
      <c r="C107" s="55" t="s">
        <v>91</v>
      </c>
      <c r="D107" s="216">
        <v>0.80500000000000005</v>
      </c>
      <c r="E107" s="216">
        <v>3.6999999999999998E-2</v>
      </c>
      <c r="F107" s="214">
        <f>(grains_table[[#This Row],[Extract %]]*46.214)/1000+1</f>
        <v>1.0372022700000001</v>
      </c>
      <c r="G107" s="182">
        <v>2.6</v>
      </c>
      <c r="H107" s="185" t="s">
        <v>1425</v>
      </c>
    </row>
    <row r="108" spans="1:8" ht="13.2" customHeight="1" x14ac:dyDescent="0.25">
      <c r="A108" s="24" t="s">
        <v>1538</v>
      </c>
      <c r="B108" s="24" t="s">
        <v>1416</v>
      </c>
      <c r="C108" s="55" t="s">
        <v>91</v>
      </c>
      <c r="D108" s="216">
        <v>0.8</v>
      </c>
      <c r="E108" s="216">
        <v>0.04</v>
      </c>
      <c r="F108" s="214">
        <f>(grains_table[[#This Row],[Extract %]]*46.214)/1000+1</f>
        <v>1.0369712</v>
      </c>
      <c r="G108" s="53">
        <v>8.6</v>
      </c>
      <c r="H108" s="185" t="s">
        <v>1432</v>
      </c>
    </row>
    <row r="109" spans="1:8" ht="13.2" customHeight="1" x14ac:dyDescent="0.25">
      <c r="A109" s="24" t="s">
        <v>1542</v>
      </c>
      <c r="B109" s="24" t="s">
        <v>1416</v>
      </c>
      <c r="C109" s="55" t="s">
        <v>91</v>
      </c>
      <c r="D109" s="216">
        <v>0.80500000000000005</v>
      </c>
      <c r="E109" s="216">
        <v>3.6999999999999998E-2</v>
      </c>
      <c r="F109" s="214">
        <f>(grains_table[[#This Row],[Extract %]]*46.214)/1000+1</f>
        <v>1.0372022700000001</v>
      </c>
      <c r="G109" s="182">
        <v>1.85</v>
      </c>
      <c r="H109" s="185" t="s">
        <v>1426</v>
      </c>
    </row>
    <row r="110" spans="1:8" ht="13.2" customHeight="1" x14ac:dyDescent="0.25">
      <c r="A110" s="24" t="s">
        <v>1654</v>
      </c>
      <c r="B110" s="24" t="s">
        <v>1416</v>
      </c>
      <c r="C110" s="55" t="s">
        <v>91</v>
      </c>
      <c r="D110" s="216">
        <v>0.81</v>
      </c>
      <c r="E110" s="216">
        <v>3.6999999999999998E-2</v>
      </c>
      <c r="F110" s="214">
        <f>(grains_table[[#This Row],[Extract %]]*46.214)/1000+1</f>
        <v>1.03743334</v>
      </c>
      <c r="G110" s="182">
        <v>2.6</v>
      </c>
      <c r="H110" s="185" t="s">
        <v>1422</v>
      </c>
    </row>
    <row r="111" spans="1:8" ht="13.2" customHeight="1" x14ac:dyDescent="0.25">
      <c r="A111" s="24" t="s">
        <v>1655</v>
      </c>
      <c r="B111" s="24" t="s">
        <v>1416</v>
      </c>
      <c r="C111" s="55" t="s">
        <v>91</v>
      </c>
      <c r="D111" s="216">
        <v>0.81</v>
      </c>
      <c r="E111" s="216">
        <v>3.6999999999999998E-2</v>
      </c>
      <c r="F111" s="214">
        <f>(grains_table[[#This Row],[Extract %]]*46.214)/1000+1</f>
        <v>1.03743334</v>
      </c>
      <c r="G111" s="53">
        <v>2.6</v>
      </c>
      <c r="H111" s="185" t="s">
        <v>1423</v>
      </c>
    </row>
    <row r="112" spans="1:8" ht="13.2" customHeight="1" x14ac:dyDescent="0.25">
      <c r="A112" s="24" t="s">
        <v>1600</v>
      </c>
      <c r="B112" s="24" t="s">
        <v>1601</v>
      </c>
      <c r="C112" s="55" t="s">
        <v>91</v>
      </c>
      <c r="D112" s="216">
        <v>0.8</v>
      </c>
      <c r="E112" s="216">
        <v>0.04</v>
      </c>
      <c r="F112" s="214">
        <f>(grains_table[[#This Row],[Extract %]]*46.214)/1000+1</f>
        <v>1.0369712</v>
      </c>
      <c r="G112" s="53">
        <v>2.65</v>
      </c>
      <c r="H112" s="185" t="s">
        <v>1661</v>
      </c>
    </row>
    <row r="113" spans="1:8" ht="13.2" customHeight="1" x14ac:dyDescent="0.25">
      <c r="A113" s="24" t="s">
        <v>1539</v>
      </c>
      <c r="B113" s="24" t="s">
        <v>1416</v>
      </c>
      <c r="C113" s="55" t="s">
        <v>91</v>
      </c>
      <c r="D113" s="216">
        <v>0.75</v>
      </c>
      <c r="E113" s="216">
        <v>3.5000000000000003E-2</v>
      </c>
      <c r="F113" s="214">
        <f>(grains_table[[#This Row],[Extract %]]*46.214)/1000+1</f>
        <v>1.0346605</v>
      </c>
      <c r="G113" s="182">
        <v>17.45</v>
      </c>
      <c r="H113" s="185" t="s">
        <v>1430</v>
      </c>
    </row>
    <row r="114" spans="1:8" ht="13.2" customHeight="1" x14ac:dyDescent="0.25">
      <c r="A114" s="24" t="s">
        <v>1543</v>
      </c>
      <c r="B114" s="24" t="s">
        <v>1417</v>
      </c>
      <c r="C114" s="55" t="s">
        <v>91</v>
      </c>
      <c r="D114" s="216">
        <v>0.78500000000000003</v>
      </c>
      <c r="E114" s="216">
        <v>1.4999999999999999E-2</v>
      </c>
      <c r="F114" s="214">
        <f>(grains_table[[#This Row],[Extract %]]*46.214)/1000+1</f>
        <v>1.0362779900000001</v>
      </c>
      <c r="G114" s="53">
        <v>3.5</v>
      </c>
      <c r="H114" s="185" t="s">
        <v>1698</v>
      </c>
    </row>
    <row r="115" spans="1:8" ht="13.2" customHeight="1" x14ac:dyDescent="0.25">
      <c r="A115" s="24" t="s">
        <v>1545</v>
      </c>
      <c r="B115" s="24" t="s">
        <v>1415</v>
      </c>
      <c r="C115" s="55" t="s">
        <v>91</v>
      </c>
      <c r="D115" s="216">
        <v>0.79</v>
      </c>
      <c r="E115" s="216">
        <v>4.4999999999999998E-2</v>
      </c>
      <c r="F115" s="214">
        <f>(grains_table[[#This Row],[Extract %]]*46.214)/1000+1</f>
        <v>1.03650906</v>
      </c>
      <c r="G115" s="182">
        <v>3</v>
      </c>
      <c r="H115" s="185" t="s">
        <v>1456</v>
      </c>
    </row>
    <row r="116" spans="1:8" ht="13.2" customHeight="1" x14ac:dyDescent="0.25">
      <c r="A116" s="24" t="s">
        <v>1544</v>
      </c>
      <c r="B116" s="24" t="s">
        <v>1418</v>
      </c>
      <c r="C116" s="55" t="s">
        <v>91</v>
      </c>
      <c r="D116" s="216">
        <v>0.8</v>
      </c>
      <c r="E116" s="216">
        <v>4.4999999999999998E-2</v>
      </c>
      <c r="F116" s="214">
        <f>(grains_table[[#This Row],[Extract %]]*46.214)/1000+1</f>
        <v>1.0369712</v>
      </c>
      <c r="G116" s="182">
        <v>3.8</v>
      </c>
      <c r="H116" s="185" t="s">
        <v>1453</v>
      </c>
    </row>
    <row r="117" spans="1:8" ht="13.2" customHeight="1" x14ac:dyDescent="0.25">
      <c r="A117" s="24" t="s">
        <v>1546</v>
      </c>
      <c r="B117" s="24" t="s">
        <v>1417</v>
      </c>
      <c r="C117" s="55" t="s">
        <v>91</v>
      </c>
      <c r="D117" s="216">
        <v>0.79</v>
      </c>
      <c r="E117" s="216">
        <v>3.5000000000000003E-2</v>
      </c>
      <c r="F117" s="214">
        <f>(grains_table[[#This Row],[Extract %]]*46.214)/1000+1</f>
        <v>1.03650906</v>
      </c>
      <c r="G117" s="182">
        <v>5.3</v>
      </c>
      <c r="H117" s="185" t="s">
        <v>1698</v>
      </c>
    </row>
    <row r="118" spans="1:8" ht="13.2" customHeight="1" x14ac:dyDescent="0.25">
      <c r="A118" s="24" t="s">
        <v>1547</v>
      </c>
      <c r="B118" s="24" t="s">
        <v>1417</v>
      </c>
      <c r="C118" s="55" t="s">
        <v>91</v>
      </c>
      <c r="D118" s="216">
        <v>0.81</v>
      </c>
      <c r="E118" s="216">
        <v>4.2000000000000003E-2</v>
      </c>
      <c r="F118" s="214">
        <f>(grains_table[[#This Row],[Extract %]]*46.214)/1000+1</f>
        <v>1.03743334</v>
      </c>
      <c r="G118" s="53">
        <v>1.8</v>
      </c>
      <c r="H118" s="185" t="s">
        <v>1698</v>
      </c>
    </row>
    <row r="119" spans="1:8" ht="13.2" customHeight="1" x14ac:dyDescent="0.25">
      <c r="A119" s="24" t="s">
        <v>1728</v>
      </c>
      <c r="B119" s="24" t="s">
        <v>1729</v>
      </c>
      <c r="C119" s="136" t="s">
        <v>91</v>
      </c>
      <c r="D119" s="213">
        <v>0.8</v>
      </c>
      <c r="E119" s="213">
        <v>0.04</v>
      </c>
      <c r="F119" s="214">
        <v>1.0369999999999999</v>
      </c>
      <c r="G119" s="220">
        <v>1.8</v>
      </c>
      <c r="H119" s="185" t="s">
        <v>1730</v>
      </c>
    </row>
    <row r="120" spans="1:8" ht="13.2" customHeight="1" x14ac:dyDescent="0.25">
      <c r="A120" s="24" t="s">
        <v>1804</v>
      </c>
      <c r="B120" s="24" t="s">
        <v>1729</v>
      </c>
      <c r="C120" s="55" t="s">
        <v>91</v>
      </c>
      <c r="D120" s="216">
        <v>0.79</v>
      </c>
      <c r="E120" s="216">
        <v>4.2000000000000003E-2</v>
      </c>
      <c r="F120" s="214">
        <f>(grains_table[[#This Row],[Extract %]]*46.214)/1000+1</f>
        <v>1.03650906</v>
      </c>
      <c r="G120" s="220">
        <v>2.2999999999999998</v>
      </c>
      <c r="H120" s="185" t="s">
        <v>1805</v>
      </c>
    </row>
    <row r="121" spans="1:8" ht="13.2" customHeight="1" x14ac:dyDescent="0.25">
      <c r="A121" s="24" t="s">
        <v>1548</v>
      </c>
      <c r="B121" s="24" t="s">
        <v>1417</v>
      </c>
      <c r="C121" s="55" t="s">
        <v>91</v>
      </c>
      <c r="D121" s="216">
        <v>0.8</v>
      </c>
      <c r="E121" s="216">
        <v>4.5999999999999999E-2</v>
      </c>
      <c r="F121" s="214">
        <f>(grains_table[[#This Row],[Extract %]]*46.214)/1000+1</f>
        <v>1.0369712</v>
      </c>
      <c r="G121" s="182">
        <v>1.7</v>
      </c>
      <c r="H121" s="185" t="s">
        <v>1467</v>
      </c>
    </row>
    <row r="122" spans="1:8" ht="13.2" customHeight="1" x14ac:dyDescent="0.25">
      <c r="A122" s="24" t="s">
        <v>1549</v>
      </c>
      <c r="B122" s="24" t="s">
        <v>1416</v>
      </c>
      <c r="C122" s="55" t="s">
        <v>91</v>
      </c>
      <c r="D122" s="216">
        <v>0.80500000000000005</v>
      </c>
      <c r="E122" s="216">
        <v>3.6999999999999998E-2</v>
      </c>
      <c r="F122" s="214">
        <f>(grains_table[[#This Row],[Extract %]]*46.214)/1000+1</f>
        <v>1.0372022700000001</v>
      </c>
      <c r="G122" s="182">
        <v>1.7</v>
      </c>
      <c r="H122" s="185" t="s">
        <v>1424</v>
      </c>
    </row>
    <row r="123" spans="1:8" ht="13.2" customHeight="1" x14ac:dyDescent="0.25">
      <c r="A123" s="24" t="s">
        <v>1499</v>
      </c>
      <c r="B123" s="24" t="s">
        <v>1460</v>
      </c>
      <c r="C123" s="55" t="s">
        <v>91</v>
      </c>
      <c r="D123" s="216">
        <v>0.80500000000000005</v>
      </c>
      <c r="E123" s="216">
        <v>4.9000000000000002E-2</v>
      </c>
      <c r="F123" s="214">
        <f>(grains_table[[#This Row],[Extract %]]*46.214)/1000+1</f>
        <v>1.0372022700000001</v>
      </c>
      <c r="G123" s="182">
        <v>1.5</v>
      </c>
      <c r="H123" s="185" t="s">
        <v>1471</v>
      </c>
    </row>
    <row r="124" spans="1:8" ht="13.2" customHeight="1" x14ac:dyDescent="0.25">
      <c r="A124" s="24" t="s">
        <v>1500</v>
      </c>
      <c r="B124" s="24" t="s">
        <v>1460</v>
      </c>
      <c r="C124" s="55" t="s">
        <v>91</v>
      </c>
      <c r="D124" s="216">
        <v>0.80500000000000005</v>
      </c>
      <c r="E124" s="216">
        <v>4.9000000000000002E-2</v>
      </c>
      <c r="F124" s="214">
        <f>(grains_table[[#This Row],[Extract %]]*46.214)/1000+1</f>
        <v>1.0372022700000001</v>
      </c>
      <c r="G124" s="182">
        <v>1.95</v>
      </c>
      <c r="H124" s="185" t="s">
        <v>1472</v>
      </c>
    </row>
    <row r="125" spans="1:8" ht="13.2" customHeight="1" x14ac:dyDescent="0.25">
      <c r="A125" s="24" t="s">
        <v>1501</v>
      </c>
      <c r="B125" s="24" t="s">
        <v>1415</v>
      </c>
      <c r="C125" s="55" t="s">
        <v>91</v>
      </c>
      <c r="D125" s="216">
        <v>0.8</v>
      </c>
      <c r="E125" s="216">
        <v>0.05</v>
      </c>
      <c r="F125" s="214">
        <f>(grains_table[[#This Row],[Extract %]]*46.214)/1000+1</f>
        <v>1.0369712</v>
      </c>
      <c r="G125" s="53">
        <v>2.0499999999999998</v>
      </c>
      <c r="H125" s="185" t="s">
        <v>1456</v>
      </c>
    </row>
    <row r="126" spans="1:8" ht="13.2" customHeight="1" x14ac:dyDescent="0.25">
      <c r="A126" s="24" t="s">
        <v>1656</v>
      </c>
      <c r="B126" s="24" t="s">
        <v>1415</v>
      </c>
      <c r="C126" s="55" t="s">
        <v>91</v>
      </c>
      <c r="D126" s="216">
        <v>0.80500000000000005</v>
      </c>
      <c r="E126" s="216">
        <v>4.4999999999999998E-2</v>
      </c>
      <c r="F126" s="214">
        <f>(grains_table[[#This Row],[Extract %]]*46.214)/1000+1</f>
        <v>1.0372022700000001</v>
      </c>
      <c r="G126" s="53">
        <v>1.3</v>
      </c>
      <c r="H126" s="185" t="s">
        <v>1456</v>
      </c>
    </row>
    <row r="127" spans="1:8" ht="13.2" customHeight="1" x14ac:dyDescent="0.25">
      <c r="A127" s="24" t="s">
        <v>1502</v>
      </c>
      <c r="B127" s="24" t="s">
        <v>1416</v>
      </c>
      <c r="C127" s="55" t="s">
        <v>91</v>
      </c>
      <c r="D127" s="216">
        <v>0.81</v>
      </c>
      <c r="E127" s="216">
        <v>4.4999999999999998E-2</v>
      </c>
      <c r="F127" s="214">
        <f>(grains_table[[#This Row],[Extract %]]*46.214)/1000+1</f>
        <v>1.03743334</v>
      </c>
      <c r="G127" s="53">
        <v>1.7</v>
      </c>
      <c r="H127" s="185" t="s">
        <v>1427</v>
      </c>
    </row>
    <row r="128" spans="1:8" ht="13.2" customHeight="1" x14ac:dyDescent="0.25">
      <c r="A128" s="24" t="s">
        <v>1709</v>
      </c>
      <c r="B128" s="24" t="s">
        <v>1415</v>
      </c>
      <c r="C128" s="55" t="s">
        <v>91</v>
      </c>
      <c r="D128" s="216">
        <v>0.79</v>
      </c>
      <c r="E128" s="216">
        <v>5.5E-2</v>
      </c>
      <c r="F128" s="214">
        <f>(grains_table[[#This Row],[Extract %]]*46.214)/1000+1</f>
        <v>1.03650906</v>
      </c>
      <c r="G128" s="182">
        <v>1.95</v>
      </c>
      <c r="H128" s="185" t="s">
        <v>1456</v>
      </c>
    </row>
    <row r="129" spans="1:8" ht="13.2" customHeight="1" x14ac:dyDescent="0.25">
      <c r="A129" s="24" t="s">
        <v>1599</v>
      </c>
      <c r="B129" s="24" t="s">
        <v>1601</v>
      </c>
      <c r="C129" s="55" t="s">
        <v>91</v>
      </c>
      <c r="D129" s="216">
        <v>0.8</v>
      </c>
      <c r="E129" s="216">
        <v>0.04</v>
      </c>
      <c r="F129" s="214">
        <f>(grains_table[[#This Row],[Extract %]]*46.214)/1000+1</f>
        <v>1.0369712</v>
      </c>
      <c r="G129" s="53">
        <v>1.6</v>
      </c>
      <c r="H129" s="185" t="s">
        <v>1661</v>
      </c>
    </row>
    <row r="130" spans="1:8" ht="13.2" customHeight="1" x14ac:dyDescent="0.25">
      <c r="A130" s="24" t="s">
        <v>1503</v>
      </c>
      <c r="B130" s="24" t="s">
        <v>1417</v>
      </c>
      <c r="C130" s="55" t="s">
        <v>91</v>
      </c>
      <c r="D130" s="216">
        <v>0.80500000000000005</v>
      </c>
      <c r="E130" s="216">
        <v>4.4999999999999998E-2</v>
      </c>
      <c r="F130" s="214">
        <f>(grains_table[[#This Row],[Extract %]]*46.214)/1000+1</f>
        <v>1.0372022700000001</v>
      </c>
      <c r="G130" s="53">
        <v>1.2</v>
      </c>
      <c r="H130" s="185" t="s">
        <v>1467</v>
      </c>
    </row>
    <row r="131" spans="1:8" ht="13.2" customHeight="1" x14ac:dyDescent="0.25">
      <c r="A131" s="24" t="s">
        <v>1504</v>
      </c>
      <c r="B131" s="24" t="s">
        <v>1418</v>
      </c>
      <c r="C131" s="55" t="s">
        <v>91</v>
      </c>
      <c r="D131" s="216">
        <v>0.8</v>
      </c>
      <c r="E131" s="216">
        <v>4.4999999999999998E-2</v>
      </c>
      <c r="F131" s="214">
        <f>(grains_table[[#This Row],[Extract %]]*46.214)/1000+1</f>
        <v>1.0369712</v>
      </c>
      <c r="G131" s="53">
        <v>1.6</v>
      </c>
      <c r="H131" s="185" t="s">
        <v>1453</v>
      </c>
    </row>
    <row r="132" spans="1:8" ht="13.2" customHeight="1" x14ac:dyDescent="0.25">
      <c r="A132" s="24" t="s">
        <v>1505</v>
      </c>
      <c r="B132" s="24" t="s">
        <v>1415</v>
      </c>
      <c r="C132" s="55" t="s">
        <v>91</v>
      </c>
      <c r="D132" s="216">
        <v>0.80500000000000005</v>
      </c>
      <c r="E132" s="216">
        <v>0.05</v>
      </c>
      <c r="F132" s="214">
        <f>(grains_table[[#This Row],[Extract %]]*46.214)/1000+1</f>
        <v>1.0372022700000001</v>
      </c>
      <c r="G132" s="53">
        <v>1.85</v>
      </c>
      <c r="H132" s="185" t="s">
        <v>1456</v>
      </c>
    </row>
    <row r="133" spans="1:8" ht="13.2" customHeight="1" x14ac:dyDescent="0.25">
      <c r="A133" s="24" t="s">
        <v>1506</v>
      </c>
      <c r="B133" s="24" t="s">
        <v>1417</v>
      </c>
      <c r="C133" s="55" t="s">
        <v>91</v>
      </c>
      <c r="D133" s="216">
        <v>0.83299999999999996</v>
      </c>
      <c r="E133" s="216">
        <v>4.3999999999999997E-2</v>
      </c>
      <c r="F133" s="214">
        <f>(grains_table[[#This Row],[Extract %]]*46.214)/1000+1</f>
        <v>1.038496262</v>
      </c>
      <c r="G133" s="53">
        <v>1.8</v>
      </c>
      <c r="H133" s="185" t="s">
        <v>1467</v>
      </c>
    </row>
    <row r="134" spans="1:8" ht="13.2" customHeight="1" x14ac:dyDescent="0.25">
      <c r="A134" s="24" t="s">
        <v>1806</v>
      </c>
      <c r="B134" s="229"/>
      <c r="C134" s="136" t="s">
        <v>91</v>
      </c>
      <c r="D134" s="213">
        <v>0</v>
      </c>
      <c r="E134" s="213">
        <v>0</v>
      </c>
      <c r="F134" s="214">
        <v>1</v>
      </c>
      <c r="G134" s="221">
        <v>0</v>
      </c>
      <c r="H134" s="185"/>
    </row>
    <row r="135" spans="1:8" ht="13.2" customHeight="1" x14ac:dyDescent="0.25">
      <c r="A135" s="24" t="s">
        <v>1403</v>
      </c>
      <c r="B135" s="24" t="s">
        <v>1417</v>
      </c>
      <c r="C135" s="55" t="s">
        <v>91</v>
      </c>
      <c r="D135" s="216"/>
      <c r="E135" s="216">
        <v>0.05</v>
      </c>
      <c r="F135" s="214">
        <v>1.0249999999999999</v>
      </c>
      <c r="G135" s="53">
        <v>300</v>
      </c>
      <c r="H135" s="185" t="s">
        <v>1727</v>
      </c>
    </row>
    <row r="136" spans="1:8" ht="13.2" customHeight="1" x14ac:dyDescent="0.25">
      <c r="A136" s="24" t="s">
        <v>1419</v>
      </c>
      <c r="B136" s="24" t="s">
        <v>1416</v>
      </c>
      <c r="C136" s="55" t="s">
        <v>91</v>
      </c>
      <c r="D136" s="216">
        <v>0.62</v>
      </c>
      <c r="E136" s="216">
        <v>0.03</v>
      </c>
      <c r="F136" s="214">
        <f>(grains_table[[#This Row],[Extract %]]*46.214)/1000+1</f>
        <v>1.02865268</v>
      </c>
      <c r="G136" s="182">
        <v>600.6</v>
      </c>
      <c r="H136" s="185" t="s">
        <v>1446</v>
      </c>
    </row>
    <row r="137" spans="1:8" ht="13.2" customHeight="1" x14ac:dyDescent="0.25">
      <c r="A137" s="24" t="s">
        <v>1420</v>
      </c>
      <c r="B137" s="24" t="s">
        <v>1415</v>
      </c>
      <c r="C137" s="55" t="s">
        <v>91</v>
      </c>
      <c r="D137" s="216">
        <v>0.65</v>
      </c>
      <c r="E137" s="216">
        <v>3.7999999999999999E-2</v>
      </c>
      <c r="F137" s="214">
        <f>(grains_table[[#This Row],[Extract %]]*46.214)/1000+1</f>
        <v>1.0300391</v>
      </c>
      <c r="G137" s="53">
        <v>431.5</v>
      </c>
      <c r="H137" s="185" t="s">
        <v>1456</v>
      </c>
    </row>
    <row r="138" spans="1:8" ht="13.2" customHeight="1" x14ac:dyDescent="0.25">
      <c r="A138" s="24" t="s">
        <v>1618</v>
      </c>
      <c r="B138" s="24" t="s">
        <v>1460</v>
      </c>
      <c r="C138" s="55" t="s">
        <v>91</v>
      </c>
      <c r="D138" s="216"/>
      <c r="E138" s="216">
        <v>5.5E-2</v>
      </c>
      <c r="F138" s="214">
        <f>(grains_table[[#This Row],[Extract %]]*46.214)/1000+1</f>
        <v>1</v>
      </c>
      <c r="G138" s="183">
        <v>490</v>
      </c>
      <c r="H138" s="186" t="s">
        <v>1498</v>
      </c>
    </row>
    <row r="139" spans="1:8" ht="13.2" customHeight="1" x14ac:dyDescent="0.25">
      <c r="A139" s="24" t="s">
        <v>1627</v>
      </c>
      <c r="B139" s="24" t="s">
        <v>1417</v>
      </c>
      <c r="C139" s="55" t="s">
        <v>91</v>
      </c>
      <c r="D139" s="216"/>
      <c r="E139" s="216">
        <v>0.06</v>
      </c>
      <c r="F139" s="214">
        <f>(grains_table[[#This Row],[Extract %]]*46.214)/1000+1</f>
        <v>1</v>
      </c>
      <c r="G139" s="182">
        <v>500</v>
      </c>
      <c r="H139" s="185" t="s">
        <v>1662</v>
      </c>
    </row>
    <row r="140" spans="1:8" ht="13.2" customHeight="1" x14ac:dyDescent="0.25">
      <c r="A140" s="24" t="s">
        <v>1603</v>
      </c>
      <c r="B140" s="24" t="s">
        <v>1418</v>
      </c>
      <c r="C140" s="55" t="s">
        <v>91</v>
      </c>
      <c r="D140" s="216">
        <v>0.7</v>
      </c>
      <c r="E140" s="216">
        <v>4.4999999999999998E-2</v>
      </c>
      <c r="F140" s="214">
        <f>(grains_table[[#This Row],[Extract %]]*46.214)/1000+1</f>
        <v>1.0323498</v>
      </c>
      <c r="G140" s="53">
        <v>453</v>
      </c>
      <c r="H140" s="186" t="s">
        <v>1455</v>
      </c>
    </row>
    <row r="141" spans="1:8" ht="13.2" customHeight="1" x14ac:dyDescent="0.25">
      <c r="A141" s="24" t="s">
        <v>1559</v>
      </c>
      <c r="B141" s="24" t="s">
        <v>1416</v>
      </c>
      <c r="C141" s="55" t="s">
        <v>91</v>
      </c>
      <c r="D141" s="216">
        <v>0.69</v>
      </c>
      <c r="E141" s="216">
        <v>0.05</v>
      </c>
      <c r="F141" s="214">
        <f>(grains_table[[#This Row],[Extract %]]*46.214)/1000+1</f>
        <v>1.03188766</v>
      </c>
      <c r="G141" s="53">
        <v>24</v>
      </c>
      <c r="H141" s="185" t="s">
        <v>1442</v>
      </c>
    </row>
    <row r="142" spans="1:8" ht="13.2" customHeight="1" x14ac:dyDescent="0.25">
      <c r="A142" s="24" t="s">
        <v>1560</v>
      </c>
      <c r="B142" s="24" t="s">
        <v>1460</v>
      </c>
      <c r="C142" s="55" t="s">
        <v>91</v>
      </c>
      <c r="D142" s="216">
        <v>0.65</v>
      </c>
      <c r="E142" s="216">
        <v>4.4999999999999998E-2</v>
      </c>
      <c r="F142" s="214">
        <f>(grains_table[[#This Row],[Extract %]]*46.214)/1000+1</f>
        <v>1.0300391</v>
      </c>
      <c r="G142" s="182">
        <v>432.5</v>
      </c>
      <c r="H142" s="186" t="s">
        <v>1492</v>
      </c>
    </row>
    <row r="143" spans="1:8" ht="13.2" customHeight="1" x14ac:dyDescent="0.25">
      <c r="A143" s="24" t="s">
        <v>1561</v>
      </c>
      <c r="B143" s="24" t="s">
        <v>1460</v>
      </c>
      <c r="C143" s="55" t="s">
        <v>91</v>
      </c>
      <c r="D143" s="216">
        <v>0.65</v>
      </c>
      <c r="E143" s="216">
        <v>4.4999999999999998E-2</v>
      </c>
      <c r="F143" s="214">
        <f>(grains_table[[#This Row],[Extract %]]*46.214)/1000+1</f>
        <v>1.0300391</v>
      </c>
      <c r="G143" s="183">
        <v>509.5</v>
      </c>
      <c r="H143" s="186" t="s">
        <v>1493</v>
      </c>
    </row>
    <row r="144" spans="1:8" ht="13.2" customHeight="1" x14ac:dyDescent="0.25">
      <c r="A144" s="24" t="s">
        <v>1562</v>
      </c>
      <c r="B144" s="24" t="s">
        <v>1460</v>
      </c>
      <c r="C144" s="55" t="s">
        <v>91</v>
      </c>
      <c r="D144" s="216">
        <v>0.75</v>
      </c>
      <c r="E144" s="216">
        <v>4.4999999999999998E-2</v>
      </c>
      <c r="F144" s="214">
        <f>(grains_table[[#This Row],[Extract %]]*46.214)/1000+1</f>
        <v>1.0346605</v>
      </c>
      <c r="G144" s="182">
        <v>340</v>
      </c>
      <c r="H144" s="185" t="s">
        <v>1675</v>
      </c>
    </row>
    <row r="145" spans="1:8" ht="13.2" customHeight="1" x14ac:dyDescent="0.25">
      <c r="A145" s="24" t="s">
        <v>1563</v>
      </c>
      <c r="B145" s="24" t="s">
        <v>1417</v>
      </c>
      <c r="C145" s="55" t="s">
        <v>91</v>
      </c>
      <c r="D145" s="216"/>
      <c r="E145" s="216">
        <v>0.06</v>
      </c>
      <c r="F145" s="214">
        <f>(grains_table[[#This Row],[Extract %]]*46.214)/1000+1</f>
        <v>1</v>
      </c>
      <c r="G145" s="53">
        <v>500</v>
      </c>
      <c r="H145" s="185" t="s">
        <v>1674</v>
      </c>
    </row>
    <row r="146" spans="1:8" ht="13.2" customHeight="1" x14ac:dyDescent="0.25">
      <c r="A146" s="24" t="s">
        <v>1564</v>
      </c>
      <c r="B146" s="24" t="s">
        <v>1416</v>
      </c>
      <c r="C146" s="55" t="s">
        <v>91</v>
      </c>
      <c r="D146" s="216">
        <v>0.69</v>
      </c>
      <c r="E146" s="216">
        <v>0.03</v>
      </c>
      <c r="F146" s="214">
        <f>(grains_table[[#This Row],[Extract %]]*46.214)/1000+1</f>
        <v>1.03188766</v>
      </c>
      <c r="G146" s="53">
        <v>625.54999999999995</v>
      </c>
      <c r="H146" s="185" t="s">
        <v>1445</v>
      </c>
    </row>
    <row r="147" spans="1:8" ht="13.2" customHeight="1" x14ac:dyDescent="0.25">
      <c r="A147" s="24" t="s">
        <v>1565</v>
      </c>
      <c r="B147" s="24" t="s">
        <v>1417</v>
      </c>
      <c r="C147" s="55" t="s">
        <v>91</v>
      </c>
      <c r="D147" s="216"/>
      <c r="E147" s="216">
        <v>0.06</v>
      </c>
      <c r="F147" s="214">
        <f>(grains_table[[#This Row],[Extract %]]*46.214)/1000+1</f>
        <v>1</v>
      </c>
      <c r="G147" s="53">
        <v>500</v>
      </c>
      <c r="H147" s="185" t="s">
        <v>1674</v>
      </c>
    </row>
    <row r="148" spans="1:8" ht="13.2" customHeight="1" x14ac:dyDescent="0.25">
      <c r="A148" s="24" t="s">
        <v>1566</v>
      </c>
      <c r="B148" s="24" t="s">
        <v>1417</v>
      </c>
      <c r="C148" s="55" t="s">
        <v>91</v>
      </c>
      <c r="D148" s="216"/>
      <c r="E148" s="216">
        <v>0.06</v>
      </c>
      <c r="F148" s="214">
        <f>(grains_table[[#This Row],[Extract %]]*46.214)/1000+1</f>
        <v>1</v>
      </c>
      <c r="G148" s="182">
        <v>500</v>
      </c>
      <c r="H148" s="185" t="s">
        <v>1674</v>
      </c>
    </row>
    <row r="149" spans="1:8" ht="13.2" customHeight="1" x14ac:dyDescent="0.25">
      <c r="A149" s="24" t="s">
        <v>1567</v>
      </c>
      <c r="B149" s="24" t="s">
        <v>1416</v>
      </c>
      <c r="C149" s="55" t="s">
        <v>91</v>
      </c>
      <c r="D149" s="216">
        <v>0.68700000000000006</v>
      </c>
      <c r="E149" s="216">
        <v>0.04</v>
      </c>
      <c r="F149" s="214">
        <f>(grains_table[[#This Row],[Extract %]]*46.214)/1000+1</f>
        <v>1.031749018</v>
      </c>
      <c r="G149" s="183">
        <v>193.7</v>
      </c>
      <c r="H149" s="185" t="s">
        <v>1443</v>
      </c>
    </row>
    <row r="150" spans="1:8" ht="13.2" customHeight="1" x14ac:dyDescent="0.25">
      <c r="A150" s="24" t="s">
        <v>1568</v>
      </c>
      <c r="B150" s="24" t="s">
        <v>1417</v>
      </c>
      <c r="C150" s="55" t="s">
        <v>91</v>
      </c>
      <c r="D150" s="216">
        <v>0.79</v>
      </c>
      <c r="E150" s="216">
        <v>2.1999999999999999E-2</v>
      </c>
      <c r="F150" s="214">
        <f>(grains_table[[#This Row],[Extract %]]*46.214)/1000+1</f>
        <v>1.03650906</v>
      </c>
      <c r="G150" s="53">
        <v>55</v>
      </c>
      <c r="H150" s="185" t="s">
        <v>1458</v>
      </c>
    </row>
    <row r="151" spans="1:8" ht="13.2" customHeight="1" x14ac:dyDescent="0.25">
      <c r="A151" s="24" t="s">
        <v>1569</v>
      </c>
      <c r="B151" s="24" t="s">
        <v>1417</v>
      </c>
      <c r="C151" s="55" t="s">
        <v>91</v>
      </c>
      <c r="D151" s="216">
        <v>0.6</v>
      </c>
      <c r="E151" s="216">
        <v>0</v>
      </c>
      <c r="F151" s="214">
        <f>(grains_table[[#This Row],[Extract %]]*46.214)/1000+1</f>
        <v>1.0277284</v>
      </c>
      <c r="G151" s="182">
        <v>350</v>
      </c>
      <c r="H151" s="185" t="s">
        <v>1462</v>
      </c>
    </row>
    <row r="152" spans="1:8" ht="13.2" customHeight="1" x14ac:dyDescent="0.25">
      <c r="A152" s="24" t="s">
        <v>1570</v>
      </c>
      <c r="B152" s="24" t="s">
        <v>1416</v>
      </c>
      <c r="C152" s="55" t="s">
        <v>91</v>
      </c>
      <c r="D152" s="216">
        <v>0.69</v>
      </c>
      <c r="E152" s="216">
        <v>0.03</v>
      </c>
      <c r="F152" s="214">
        <f>(grains_table[[#This Row],[Extract %]]*46.214)/1000+1</f>
        <v>1.03188766</v>
      </c>
      <c r="G152" s="53">
        <v>444.4</v>
      </c>
      <c r="H152" s="185" t="s">
        <v>1444</v>
      </c>
    </row>
    <row r="153" spans="1:8" ht="13.2" customHeight="1" x14ac:dyDescent="0.25">
      <c r="A153" s="24" t="s">
        <v>1596</v>
      </c>
      <c r="B153" s="24" t="s">
        <v>1415</v>
      </c>
      <c r="C153" s="55" t="s">
        <v>91</v>
      </c>
      <c r="D153" s="216">
        <v>0.65</v>
      </c>
      <c r="E153" s="216">
        <v>0.04</v>
      </c>
      <c r="F153" s="214">
        <f>(grains_table[[#This Row],[Extract %]]*46.214)/1000+1</f>
        <v>1.0300391</v>
      </c>
      <c r="G153" s="182">
        <v>244</v>
      </c>
      <c r="H153" s="185" t="s">
        <v>1456</v>
      </c>
    </row>
    <row r="154" spans="1:8" ht="13.2" customHeight="1" x14ac:dyDescent="0.25">
      <c r="A154" s="24" t="s">
        <v>1597</v>
      </c>
      <c r="B154" s="24" t="s">
        <v>1415</v>
      </c>
      <c r="C154" s="55" t="s">
        <v>91</v>
      </c>
      <c r="D154" s="216">
        <v>0.65</v>
      </c>
      <c r="E154" s="216">
        <v>0.04</v>
      </c>
      <c r="F154" s="214">
        <f>(grains_table[[#This Row],[Extract %]]*46.214)/1000+1</f>
        <v>1.0300391</v>
      </c>
      <c r="G154" s="53">
        <v>273</v>
      </c>
      <c r="H154" s="185" t="s">
        <v>1456</v>
      </c>
    </row>
    <row r="155" spans="1:8" ht="13.2" customHeight="1" x14ac:dyDescent="0.25">
      <c r="A155" s="24" t="s">
        <v>1598</v>
      </c>
      <c r="B155" s="24" t="s">
        <v>1415</v>
      </c>
      <c r="C155" s="55" t="s">
        <v>91</v>
      </c>
      <c r="D155" s="216">
        <v>0.65</v>
      </c>
      <c r="E155" s="216">
        <v>0.04</v>
      </c>
      <c r="F155" s="214">
        <f>(grains_table[[#This Row],[Extract %]]*46.214)/1000+1</f>
        <v>1.0300391</v>
      </c>
      <c r="G155" s="182">
        <v>394.5</v>
      </c>
      <c r="H155" s="185" t="s">
        <v>1456</v>
      </c>
    </row>
    <row r="156" spans="1:8" ht="13.2" customHeight="1" x14ac:dyDescent="0.25">
      <c r="A156" s="24" t="s">
        <v>1571</v>
      </c>
      <c r="B156" s="24" t="s">
        <v>1417</v>
      </c>
      <c r="C156" s="55" t="s">
        <v>91</v>
      </c>
      <c r="D156" s="216"/>
      <c r="E156" s="216">
        <v>5.5E-2</v>
      </c>
      <c r="F156" s="214">
        <f>(grains_table[[#This Row],[Extract %]]*46.214)/1000+1</f>
        <v>1</v>
      </c>
      <c r="G156" s="53">
        <v>420</v>
      </c>
      <c r="H156" s="185" t="s">
        <v>1663</v>
      </c>
    </row>
    <row r="157" spans="1:8" ht="13.2" customHeight="1" x14ac:dyDescent="0.25">
      <c r="A157" s="24" t="s">
        <v>1572</v>
      </c>
      <c r="B157" s="24" t="s">
        <v>1417</v>
      </c>
      <c r="C157" s="55" t="s">
        <v>91</v>
      </c>
      <c r="D157" s="216">
        <v>0.72</v>
      </c>
      <c r="E157" s="216">
        <v>2.5000000000000001E-2</v>
      </c>
      <c r="F157" s="214">
        <f>(grains_table[[#This Row],[Extract %]]*46.214)/1000+1</f>
        <v>1.03327408</v>
      </c>
      <c r="G157" s="182">
        <v>130</v>
      </c>
      <c r="H157" s="185" t="s">
        <v>1463</v>
      </c>
    </row>
    <row r="158" spans="1:8" ht="13.2" customHeight="1" x14ac:dyDescent="0.25">
      <c r="A158" s="24" t="s">
        <v>1573</v>
      </c>
      <c r="B158" s="24" t="s">
        <v>1417</v>
      </c>
      <c r="C158" s="55" t="s">
        <v>91</v>
      </c>
      <c r="D158" s="216"/>
      <c r="E158" s="216">
        <v>6.5000000000000002E-2</v>
      </c>
      <c r="F158" s="214">
        <f>(grains_table[[#This Row],[Extract %]]*46.214)/1000+1</f>
        <v>1</v>
      </c>
      <c r="G158" s="53">
        <v>550</v>
      </c>
      <c r="H158" s="186" t="s">
        <v>1663</v>
      </c>
    </row>
    <row r="159" spans="1:8" ht="13.2" customHeight="1" x14ac:dyDescent="0.25">
      <c r="A159" s="24" t="s">
        <v>1605</v>
      </c>
      <c r="B159" s="24" t="s">
        <v>1415</v>
      </c>
      <c r="C159" s="55" t="s">
        <v>91</v>
      </c>
      <c r="D159" s="216">
        <v>0.65</v>
      </c>
      <c r="E159" s="216">
        <v>0.04</v>
      </c>
      <c r="F159" s="214">
        <f>(grains_table[[#This Row],[Extract %]]*46.214)/1000+1</f>
        <v>1.0300391</v>
      </c>
      <c r="G159" s="187">
        <v>244</v>
      </c>
      <c r="H159" s="185" t="s">
        <v>1456</v>
      </c>
    </row>
    <row r="160" spans="1:8" ht="13.2" customHeight="1" x14ac:dyDescent="0.25">
      <c r="A160" s="24" t="s">
        <v>1574</v>
      </c>
      <c r="B160" s="24" t="s">
        <v>1418</v>
      </c>
      <c r="C160" s="55" t="s">
        <v>91</v>
      </c>
      <c r="D160" s="216">
        <v>0.83</v>
      </c>
      <c r="E160" s="216">
        <v>6.5000000000000002E-2</v>
      </c>
      <c r="F160" s="214">
        <f>(grains_table[[#This Row],[Extract %]]*46.214)/1000+1</f>
        <v>1.03835762</v>
      </c>
      <c r="G160" s="187">
        <v>12</v>
      </c>
      <c r="H160" s="185" t="s">
        <v>1455</v>
      </c>
    </row>
    <row r="161" spans="1:8" ht="13.2" customHeight="1" x14ac:dyDescent="0.25">
      <c r="A161" s="24" t="s">
        <v>1624</v>
      </c>
      <c r="B161" s="24" t="s">
        <v>1416</v>
      </c>
      <c r="C161" s="55" t="s">
        <v>91</v>
      </c>
      <c r="D161" s="216">
        <v>0.78</v>
      </c>
      <c r="E161" s="216">
        <v>7.0000000000000007E-2</v>
      </c>
      <c r="F161" s="214">
        <f>(grains_table[[#This Row],[Extract %]]*46.214)/1000+1</f>
        <v>1.03604692</v>
      </c>
      <c r="G161" s="53">
        <v>2.0499999999999998</v>
      </c>
      <c r="H161" s="185" t="s">
        <v>1451</v>
      </c>
    </row>
    <row r="162" spans="1:8" ht="13.2" customHeight="1" x14ac:dyDescent="0.25">
      <c r="A162" s="24" t="s">
        <v>1602</v>
      </c>
      <c r="B162" s="24" t="s">
        <v>1415</v>
      </c>
      <c r="C162" s="55" t="s">
        <v>91</v>
      </c>
      <c r="D162" s="216">
        <v>0.81</v>
      </c>
      <c r="E162" s="216">
        <v>0.06</v>
      </c>
      <c r="F162" s="214">
        <f>(grains_table[[#This Row],[Extract %]]*46.214)/1000+1</f>
        <v>1.03743334</v>
      </c>
      <c r="G162" s="53">
        <v>3.15</v>
      </c>
      <c r="H162" s="185" t="s">
        <v>1456</v>
      </c>
    </row>
    <row r="163" spans="1:8" ht="13.2" customHeight="1" x14ac:dyDescent="0.25">
      <c r="A163" s="24" t="s">
        <v>1626</v>
      </c>
      <c r="B163" s="24" t="s">
        <v>1417</v>
      </c>
      <c r="C163" s="55" t="s">
        <v>91</v>
      </c>
      <c r="D163" s="216">
        <v>0.8</v>
      </c>
      <c r="E163" s="216">
        <v>4.4999999999999998E-2</v>
      </c>
      <c r="F163" s="214">
        <f>(grains_table[[#This Row],[Extract %]]*46.214)/1000+1</f>
        <v>1.0369712</v>
      </c>
      <c r="G163" s="182">
        <v>3.7</v>
      </c>
      <c r="H163" s="185" t="s">
        <v>1665</v>
      </c>
    </row>
    <row r="164" spans="1:8" ht="13.2" customHeight="1" x14ac:dyDescent="0.25">
      <c r="A164" s="24" t="s">
        <v>1579</v>
      </c>
      <c r="B164" s="24" t="s">
        <v>1417</v>
      </c>
      <c r="C164" s="55" t="s">
        <v>91</v>
      </c>
      <c r="D164" s="216">
        <v>0.80500000000000005</v>
      </c>
      <c r="E164" s="216">
        <v>0.06</v>
      </c>
      <c r="F164" s="214">
        <f>(grains_table[[#This Row],[Extract %]]*46.214)/1000+1</f>
        <v>1.0372022700000001</v>
      </c>
      <c r="G164" s="182">
        <v>6</v>
      </c>
      <c r="H164" s="185" t="s">
        <v>1665</v>
      </c>
    </row>
    <row r="165" spans="1:8" ht="13.2" customHeight="1" x14ac:dyDescent="0.25">
      <c r="A165" s="24" t="s">
        <v>1580</v>
      </c>
      <c r="B165" s="24" t="s">
        <v>1415</v>
      </c>
      <c r="C165" s="55" t="s">
        <v>91</v>
      </c>
      <c r="D165" s="216">
        <v>0.77</v>
      </c>
      <c r="E165" s="216">
        <v>0.05</v>
      </c>
      <c r="F165" s="214">
        <f>(grains_table[[#This Row],[Extract %]]*46.214)/1000+1</f>
        <v>1.03558478</v>
      </c>
      <c r="G165" s="187">
        <v>2.85</v>
      </c>
      <c r="H165" s="185" t="s">
        <v>1456</v>
      </c>
    </row>
    <row r="166" spans="1:8" ht="13.2" customHeight="1" x14ac:dyDescent="0.25">
      <c r="A166" s="24" t="s">
        <v>1581</v>
      </c>
      <c r="B166" s="24" t="s">
        <v>1460</v>
      </c>
      <c r="C166" s="55" t="s">
        <v>91</v>
      </c>
      <c r="D166" s="216">
        <v>0.78</v>
      </c>
      <c r="E166" s="216">
        <v>5.5E-2</v>
      </c>
      <c r="F166" s="214">
        <f>(grains_table[[#This Row],[Extract %]]*46.214)/1000+1</f>
        <v>1.03604692</v>
      </c>
      <c r="G166" s="187">
        <v>5.85</v>
      </c>
      <c r="H166" s="186" t="s">
        <v>1497</v>
      </c>
    </row>
    <row r="167" spans="1:8" ht="13.2" customHeight="1" x14ac:dyDescent="0.25">
      <c r="A167" s="24" t="s">
        <v>1582</v>
      </c>
      <c r="B167" s="24" t="s">
        <v>1460</v>
      </c>
      <c r="C167" s="55" t="s">
        <v>91</v>
      </c>
      <c r="D167" s="216">
        <v>0.77</v>
      </c>
      <c r="E167" s="216">
        <v>5.5E-2</v>
      </c>
      <c r="F167" s="214">
        <f>(grains_table[[#This Row],[Extract %]]*46.214)/1000+1</f>
        <v>1.03558478</v>
      </c>
      <c r="G167" s="187">
        <v>5.85</v>
      </c>
      <c r="H167" s="186" t="s">
        <v>1496</v>
      </c>
    </row>
    <row r="168" spans="1:8" ht="13.2" customHeight="1" x14ac:dyDescent="0.25">
      <c r="A168" s="24" t="s">
        <v>1583</v>
      </c>
      <c r="B168" s="24" t="s">
        <v>1417</v>
      </c>
      <c r="C168" s="55" t="s">
        <v>91</v>
      </c>
      <c r="D168" s="216">
        <v>0.80500000000000005</v>
      </c>
      <c r="E168" s="216">
        <v>0.06</v>
      </c>
      <c r="F168" s="214">
        <f>(grains_table[[#This Row],[Extract %]]*46.214)/1000+1</f>
        <v>1.0372022700000001</v>
      </c>
      <c r="G168" s="187">
        <v>5</v>
      </c>
      <c r="H168" s="185" t="s">
        <v>1665</v>
      </c>
    </row>
    <row r="169" spans="1:8" ht="13.2" customHeight="1" x14ac:dyDescent="0.25">
      <c r="A169" s="24" t="s">
        <v>1584</v>
      </c>
      <c r="B169" s="24" t="s">
        <v>1417</v>
      </c>
      <c r="C169" s="55" t="s">
        <v>91</v>
      </c>
      <c r="D169" s="216">
        <v>0.80500000000000005</v>
      </c>
      <c r="E169" s="216">
        <v>0.06</v>
      </c>
      <c r="F169" s="214">
        <f>(grains_table[[#This Row],[Extract %]]*46.214)/1000+1</f>
        <v>1.0372022700000001</v>
      </c>
      <c r="G169" s="187">
        <v>5</v>
      </c>
      <c r="H169" s="185" t="s">
        <v>1665</v>
      </c>
    </row>
    <row r="170" spans="1:8" ht="13.2" customHeight="1" x14ac:dyDescent="0.25">
      <c r="A170" s="24" t="s">
        <v>1585</v>
      </c>
      <c r="B170" s="24" t="s">
        <v>1415</v>
      </c>
      <c r="C170" s="55" t="s">
        <v>91</v>
      </c>
      <c r="D170" s="216">
        <v>0.82</v>
      </c>
      <c r="E170" s="216">
        <v>5.5E-2</v>
      </c>
      <c r="F170" s="214">
        <f>(grains_table[[#This Row],[Extract %]]*46.214)/1000+1</f>
        <v>1.03789548</v>
      </c>
      <c r="G170" s="187">
        <v>2.4500000000000002</v>
      </c>
      <c r="H170" s="185" t="s">
        <v>1456</v>
      </c>
    </row>
    <row r="171" spans="1:8" ht="13.2" customHeight="1" x14ac:dyDescent="0.25">
      <c r="A171" s="24" t="s">
        <v>1421</v>
      </c>
      <c r="B171" s="24" t="s">
        <v>1415</v>
      </c>
      <c r="C171" s="55" t="s">
        <v>91</v>
      </c>
      <c r="D171" s="216">
        <v>0.8</v>
      </c>
      <c r="E171" s="216">
        <v>0.06</v>
      </c>
      <c r="F171" s="214">
        <f>(grains_table[[#This Row],[Extract %]]*46.214)/1000+1</f>
        <v>1.0369712</v>
      </c>
      <c r="G171" s="183">
        <v>2.4500000000000002</v>
      </c>
      <c r="H171" s="185" t="s">
        <v>1456</v>
      </c>
    </row>
    <row r="172" spans="1:8" ht="13.2" customHeight="1" x14ac:dyDescent="0.25">
      <c r="A172" s="24" t="s">
        <v>1620</v>
      </c>
      <c r="B172" s="24" t="s">
        <v>1460</v>
      </c>
      <c r="C172" s="55" t="s">
        <v>91</v>
      </c>
      <c r="D172" s="216">
        <v>0.82</v>
      </c>
      <c r="E172" s="216">
        <v>5.5E-2</v>
      </c>
      <c r="F172" s="214">
        <f>(grains_table[[#This Row],[Extract %]]*46.214)/1000+1</f>
        <v>1.03789548</v>
      </c>
      <c r="G172" s="183">
        <v>2.25</v>
      </c>
      <c r="H172" s="186" t="s">
        <v>1481</v>
      </c>
    </row>
    <row r="173" spans="1:8" ht="13.2" customHeight="1" x14ac:dyDescent="0.25">
      <c r="A173" s="24" t="s">
        <v>1671</v>
      </c>
      <c r="B173" s="24"/>
      <c r="C173" s="55" t="s">
        <v>797</v>
      </c>
      <c r="D173" s="216"/>
      <c r="E173" s="216"/>
      <c r="F173" s="214">
        <v>1.046</v>
      </c>
      <c r="G173" s="138">
        <v>50</v>
      </c>
      <c r="H173" s="185" t="s">
        <v>1669</v>
      </c>
    </row>
    <row r="174" spans="1:8" ht="13.2" customHeight="1" x14ac:dyDescent="0.25">
      <c r="A174" s="24" t="s">
        <v>1670</v>
      </c>
      <c r="B174" s="24"/>
      <c r="C174" s="55" t="s">
        <v>797</v>
      </c>
      <c r="D174" s="216"/>
      <c r="E174" s="216"/>
      <c r="F174" s="214">
        <v>1.046</v>
      </c>
      <c r="G174" s="182">
        <v>8</v>
      </c>
      <c r="H174" s="185" t="s">
        <v>1669</v>
      </c>
    </row>
    <row r="175" spans="1:8" ht="13.2" customHeight="1" x14ac:dyDescent="0.25">
      <c r="A175" s="24" t="s">
        <v>1667</v>
      </c>
      <c r="B175" s="24"/>
      <c r="C175" s="55" t="s">
        <v>797</v>
      </c>
      <c r="D175" s="216"/>
      <c r="E175" s="216"/>
      <c r="F175" s="214">
        <v>1.036</v>
      </c>
      <c r="G175" s="183">
        <v>75</v>
      </c>
      <c r="H175" s="185" t="s">
        <v>1669</v>
      </c>
    </row>
    <row r="176" spans="1:8" ht="13.2" customHeight="1" x14ac:dyDescent="0.25">
      <c r="A176" s="24" t="s">
        <v>1666</v>
      </c>
      <c r="B176" s="24"/>
      <c r="C176" s="55" t="s">
        <v>797</v>
      </c>
      <c r="D176" s="216"/>
      <c r="E176" s="216"/>
      <c r="F176" s="214">
        <v>1.036</v>
      </c>
      <c r="G176" s="189">
        <v>1</v>
      </c>
      <c r="H176" s="185" t="s">
        <v>1669</v>
      </c>
    </row>
    <row r="177" spans="1:8" ht="13.2" customHeight="1" x14ac:dyDescent="0.25">
      <c r="A177" s="24" t="s">
        <v>1668</v>
      </c>
      <c r="B177" s="24"/>
      <c r="C177" s="55" t="s">
        <v>797</v>
      </c>
      <c r="D177" s="216"/>
      <c r="E177" s="216"/>
      <c r="F177" s="214">
        <v>1.036</v>
      </c>
      <c r="G177" s="53">
        <v>275</v>
      </c>
      <c r="H177" s="185" t="s">
        <v>1669</v>
      </c>
    </row>
    <row r="178" spans="1:8" ht="13.2" customHeight="1" x14ac:dyDescent="0.25">
      <c r="A178" s="24" t="s">
        <v>1672</v>
      </c>
      <c r="B178" s="24"/>
      <c r="C178" s="55" t="s">
        <v>797</v>
      </c>
      <c r="D178" s="216"/>
      <c r="E178" s="216"/>
      <c r="F178" s="214">
        <v>1.046</v>
      </c>
      <c r="G178" s="53">
        <v>0</v>
      </c>
      <c r="H178" s="185" t="s">
        <v>1669</v>
      </c>
    </row>
    <row r="179" spans="1:8" ht="13.2" customHeight="1" x14ac:dyDescent="0.25">
      <c r="A179" s="24" t="s">
        <v>1617</v>
      </c>
      <c r="B179" s="24"/>
      <c r="C179" s="55" t="s">
        <v>797</v>
      </c>
      <c r="D179" s="216"/>
      <c r="E179" s="216"/>
      <c r="F179" s="214">
        <v>1.046</v>
      </c>
      <c r="G179" s="182">
        <v>2</v>
      </c>
      <c r="H179" s="185" t="s">
        <v>1669</v>
      </c>
    </row>
    <row r="180" spans="1:8" ht="13.2" customHeight="1" x14ac:dyDescent="0.25">
      <c r="A180" s="24" t="s">
        <v>1611</v>
      </c>
      <c r="B180" s="24"/>
      <c r="C180" s="55" t="s">
        <v>797</v>
      </c>
      <c r="D180" s="216"/>
      <c r="E180" s="216"/>
      <c r="F180" s="214">
        <v>1.0349999999999999</v>
      </c>
      <c r="G180" s="182">
        <v>1</v>
      </c>
      <c r="H180" s="185" t="s">
        <v>1669</v>
      </c>
    </row>
    <row r="181" spans="1:8" ht="13.2" customHeight="1" x14ac:dyDescent="0.25">
      <c r="A181" s="24" t="s">
        <v>1612</v>
      </c>
      <c r="B181" s="24"/>
      <c r="C181" s="55" t="s">
        <v>797</v>
      </c>
      <c r="D181" s="216"/>
      <c r="E181" s="216"/>
      <c r="F181" s="214">
        <v>1.046</v>
      </c>
      <c r="G181" s="53">
        <v>0</v>
      </c>
      <c r="H181" s="185" t="s">
        <v>1669</v>
      </c>
    </row>
    <row r="182" spans="1:8" ht="13.2" customHeight="1" x14ac:dyDescent="0.25">
      <c r="A182" s="24" t="s">
        <v>1613</v>
      </c>
      <c r="B182" s="24"/>
      <c r="C182" s="55" t="s">
        <v>797</v>
      </c>
      <c r="D182" s="216"/>
      <c r="E182" s="216"/>
      <c r="F182" s="214">
        <v>1.0349999999999999</v>
      </c>
      <c r="G182" s="53">
        <v>0</v>
      </c>
      <c r="H182" s="185" t="s">
        <v>1669</v>
      </c>
    </row>
    <row r="183" spans="1:8" ht="13.2" customHeight="1" x14ac:dyDescent="0.25">
      <c r="A183" s="24" t="s">
        <v>1614</v>
      </c>
      <c r="B183" s="24"/>
      <c r="C183" s="55" t="s">
        <v>797</v>
      </c>
      <c r="D183" s="216"/>
      <c r="E183" s="216"/>
      <c r="F183" s="214">
        <v>1.03</v>
      </c>
      <c r="G183" s="53">
        <v>35</v>
      </c>
      <c r="H183" s="185" t="s">
        <v>1669</v>
      </c>
    </row>
    <row r="184" spans="1:8" ht="13.2" customHeight="1" x14ac:dyDescent="0.25">
      <c r="A184" s="24" t="s">
        <v>1615</v>
      </c>
      <c r="B184" s="24"/>
      <c r="C184" s="55" t="s">
        <v>797</v>
      </c>
      <c r="D184" s="216"/>
      <c r="E184" s="216"/>
      <c r="F184" s="214">
        <v>1.036</v>
      </c>
      <c r="G184" s="182">
        <v>80</v>
      </c>
      <c r="H184" s="185" t="s">
        <v>1669</v>
      </c>
    </row>
    <row r="185" spans="1:8" ht="13.2" customHeight="1" x14ac:dyDescent="0.25">
      <c r="A185" s="24" t="s">
        <v>1616</v>
      </c>
      <c r="B185" s="24"/>
      <c r="C185" s="55" t="s">
        <v>797</v>
      </c>
      <c r="D185" s="216"/>
      <c r="E185" s="216"/>
      <c r="F185" s="214">
        <v>1.046</v>
      </c>
      <c r="G185" s="53">
        <v>1</v>
      </c>
      <c r="H185" s="185" t="s">
        <v>1669</v>
      </c>
    </row>
    <row r="186" spans="1:8" ht="13.2" customHeight="1" x14ac:dyDescent="0.25">
      <c r="A186" s="24" t="s">
        <v>1404</v>
      </c>
      <c r="B186" s="24" t="s">
        <v>1417</v>
      </c>
      <c r="C186" s="55" t="s">
        <v>91</v>
      </c>
      <c r="D186" s="216">
        <v>0.76</v>
      </c>
      <c r="E186" s="216">
        <v>8.5000000000000006E-2</v>
      </c>
      <c r="F186" s="214">
        <f>(grains_table[[#This Row],[Extract %]]*46.214)/1000+1</f>
        <v>1.03512264</v>
      </c>
      <c r="G186" s="53">
        <v>1.5</v>
      </c>
      <c r="H186" s="185" t="s">
        <v>1673</v>
      </c>
    </row>
    <row r="187" spans="1:8" ht="13.2" customHeight="1" x14ac:dyDescent="0.25">
      <c r="A187" s="24" t="s">
        <v>1575</v>
      </c>
      <c r="B187" s="24" t="s">
        <v>1460</v>
      </c>
      <c r="C187" s="55" t="s">
        <v>91</v>
      </c>
      <c r="D187" s="216">
        <v>0.80500000000000005</v>
      </c>
      <c r="E187" s="216">
        <v>4.9000000000000002E-2</v>
      </c>
      <c r="F187" s="214">
        <f>(grains_table[[#This Row],[Extract %]]*46.214)/1000+1</f>
        <v>1.0372022700000001</v>
      </c>
      <c r="G187" s="187">
        <v>3.85</v>
      </c>
      <c r="H187" s="185" t="s">
        <v>1474</v>
      </c>
    </row>
    <row r="188" spans="1:8" ht="13.2" customHeight="1" x14ac:dyDescent="0.25">
      <c r="A188" s="24" t="s">
        <v>1576</v>
      </c>
      <c r="B188" s="24" t="s">
        <v>1417</v>
      </c>
      <c r="C188" s="55" t="s">
        <v>91</v>
      </c>
      <c r="D188" s="216">
        <v>0.8</v>
      </c>
      <c r="E188" s="216">
        <v>3.5000000000000003E-2</v>
      </c>
      <c r="F188" s="214">
        <f>(grains_table[[#This Row],[Extract %]]*46.214)/1000+1</f>
        <v>1.0369712</v>
      </c>
      <c r="G188" s="183">
        <v>3.5</v>
      </c>
      <c r="H188" s="185" t="s">
        <v>1468</v>
      </c>
    </row>
    <row r="189" spans="1:8" ht="13.2" customHeight="1" x14ac:dyDescent="0.25">
      <c r="A189" s="24" t="s">
        <v>1577</v>
      </c>
      <c r="B189" s="24" t="s">
        <v>1416</v>
      </c>
      <c r="C189" s="55" t="s">
        <v>91</v>
      </c>
      <c r="D189" s="216">
        <v>0.75</v>
      </c>
      <c r="E189" s="216">
        <v>3.5000000000000003E-2</v>
      </c>
      <c r="F189" s="214">
        <f>(grains_table[[#This Row],[Extract %]]*46.214)/1000+1</f>
        <v>1.0346605</v>
      </c>
      <c r="G189" s="55">
        <v>3.35</v>
      </c>
      <c r="H189" s="185" t="s">
        <v>1428</v>
      </c>
    </row>
    <row r="190" spans="1:8" ht="13.2" customHeight="1" x14ac:dyDescent="0.25">
      <c r="A190" s="24" t="s">
        <v>1578</v>
      </c>
      <c r="B190" s="24" t="s">
        <v>1415</v>
      </c>
      <c r="C190" s="55" t="s">
        <v>91</v>
      </c>
      <c r="D190" s="216">
        <v>0.79</v>
      </c>
      <c r="E190" s="216">
        <v>5.5E-2</v>
      </c>
      <c r="F190" s="214">
        <f>(grains_table[[#This Row],[Extract %]]*46.214)/1000+1</f>
        <v>1.03650906</v>
      </c>
      <c r="G190" s="192">
        <v>3.35</v>
      </c>
      <c r="H190" s="185" t="s">
        <v>1456</v>
      </c>
    </row>
    <row r="191" spans="1:8" ht="13.2" customHeight="1" x14ac:dyDescent="0.25">
      <c r="A191" s="24" t="s">
        <v>1586</v>
      </c>
      <c r="B191" s="24" t="s">
        <v>1460</v>
      </c>
      <c r="C191" s="55" t="s">
        <v>91</v>
      </c>
      <c r="D191" s="216">
        <v>0.82</v>
      </c>
      <c r="E191" s="216">
        <v>5.5E-2</v>
      </c>
      <c r="F191" s="214">
        <f>(grains_table[[#This Row],[Extract %]]*46.214)/1000+1</f>
        <v>1.03789548</v>
      </c>
      <c r="G191" s="187">
        <v>1.6</v>
      </c>
      <c r="H191" s="186" t="s">
        <v>1482</v>
      </c>
    </row>
    <row r="192" spans="1:8" ht="13.2" customHeight="1" x14ac:dyDescent="0.25">
      <c r="A192" s="24" t="s">
        <v>1587</v>
      </c>
      <c r="B192" s="24" t="s">
        <v>1460</v>
      </c>
      <c r="C192" s="55" t="s">
        <v>91</v>
      </c>
      <c r="D192" s="216">
        <v>0.82</v>
      </c>
      <c r="E192" s="216">
        <v>5.5E-2</v>
      </c>
      <c r="F192" s="214">
        <f>(grains_table[[#This Row],[Extract %]]*46.214)/1000+1</f>
        <v>1.03789548</v>
      </c>
      <c r="G192" s="187">
        <v>2.25</v>
      </c>
      <c r="H192" s="186" t="s">
        <v>1479</v>
      </c>
    </row>
    <row r="193" spans="1:8" ht="13.2" customHeight="1" x14ac:dyDescent="0.25">
      <c r="A193" s="24" t="s">
        <v>1588</v>
      </c>
      <c r="B193" s="24" t="s">
        <v>1460</v>
      </c>
      <c r="C193" s="55" t="s">
        <v>91</v>
      </c>
      <c r="D193" s="216">
        <v>0.82</v>
      </c>
      <c r="E193" s="216">
        <v>5.5E-2</v>
      </c>
      <c r="F193" s="214">
        <f>(grains_table[[#This Row],[Extract %]]*46.214)/1000+1</f>
        <v>1.03789548</v>
      </c>
      <c r="G193" s="187">
        <v>7.25</v>
      </c>
      <c r="H193" s="186" t="s">
        <v>1480</v>
      </c>
    </row>
    <row r="194" spans="1:8" ht="13.2" customHeight="1" x14ac:dyDescent="0.25">
      <c r="A194" s="24" t="s">
        <v>1589</v>
      </c>
      <c r="B194" s="24" t="s">
        <v>1415</v>
      </c>
      <c r="C194" s="55" t="s">
        <v>91</v>
      </c>
      <c r="D194" s="216">
        <v>0.81</v>
      </c>
      <c r="E194" s="216">
        <v>7.0000000000000007E-2</v>
      </c>
      <c r="F194" s="214">
        <f>(grains_table[[#This Row],[Extract %]]*46.214)/1000+1</f>
        <v>1.03743334</v>
      </c>
      <c r="G194" s="187">
        <v>2.0499999999999998</v>
      </c>
      <c r="H194" s="185" t="s">
        <v>1456</v>
      </c>
    </row>
    <row r="195" spans="1:8" ht="13.2" customHeight="1" x14ac:dyDescent="0.25">
      <c r="A195" s="24" t="s">
        <v>1590</v>
      </c>
      <c r="B195" s="24" t="s">
        <v>1415</v>
      </c>
      <c r="C195" s="55" t="s">
        <v>91</v>
      </c>
      <c r="D195" s="216">
        <v>0.82</v>
      </c>
      <c r="E195" s="216">
        <v>5.5E-2</v>
      </c>
      <c r="F195" s="214">
        <f>(grains_table[[#This Row],[Extract %]]*46.214)/1000+1</f>
        <v>1.03789548</v>
      </c>
      <c r="G195" s="187">
        <v>2.0499999999999998</v>
      </c>
      <c r="H195" s="185" t="s">
        <v>1456</v>
      </c>
    </row>
    <row r="196" spans="1:8" ht="13.2" customHeight="1" x14ac:dyDescent="0.25">
      <c r="A196" s="24" t="s">
        <v>1591</v>
      </c>
      <c r="B196" s="24" t="s">
        <v>1416</v>
      </c>
      <c r="C196" s="55" t="s">
        <v>91</v>
      </c>
      <c r="D196" s="216">
        <v>0.82899999999999996</v>
      </c>
      <c r="E196" s="216">
        <v>0.04</v>
      </c>
      <c r="F196" s="214">
        <f>(grains_table[[#This Row],[Extract %]]*46.214)/1000+1</f>
        <v>1.038311406</v>
      </c>
      <c r="G196" s="187">
        <v>2.0499999999999998</v>
      </c>
      <c r="H196" s="186" t="s">
        <v>1448</v>
      </c>
    </row>
    <row r="197" spans="1:8" ht="13.2" customHeight="1" x14ac:dyDescent="0.25">
      <c r="A197" s="24" t="s">
        <v>1592</v>
      </c>
      <c r="B197" s="24" t="s">
        <v>1418</v>
      </c>
      <c r="C197" s="55" t="s">
        <v>91</v>
      </c>
      <c r="D197" s="216">
        <v>0.83</v>
      </c>
      <c r="E197" s="216">
        <v>6.5000000000000002E-2</v>
      </c>
      <c r="F197" s="214">
        <f>(grains_table[[#This Row],[Extract %]]*46.214)/1000+1</f>
        <v>1.03835762</v>
      </c>
      <c r="G197" s="187">
        <v>1.6</v>
      </c>
      <c r="H197" s="185" t="s">
        <v>1453</v>
      </c>
    </row>
    <row r="198" spans="1:8" ht="13.2" customHeight="1" x14ac:dyDescent="0.25">
      <c r="A198" s="24" t="s">
        <v>1593</v>
      </c>
      <c r="B198" s="24" t="s">
        <v>1415</v>
      </c>
      <c r="C198" s="55" t="s">
        <v>91</v>
      </c>
      <c r="D198" s="216"/>
      <c r="E198" s="216"/>
      <c r="F198" s="214">
        <f>(grains_table[[#This Row],[Extract %]]*46.214)/1000+1</f>
        <v>1</v>
      </c>
      <c r="G198" s="187">
        <v>7.15</v>
      </c>
      <c r="H198" s="185" t="s">
        <v>1456</v>
      </c>
    </row>
    <row r="199" spans="1:8" ht="13.2" customHeight="1" x14ac:dyDescent="0.25">
      <c r="A199" s="24" t="s">
        <v>1594</v>
      </c>
      <c r="B199" s="24" t="s">
        <v>1417</v>
      </c>
      <c r="C199" s="55" t="s">
        <v>91</v>
      </c>
      <c r="D199" s="216">
        <v>0.81</v>
      </c>
      <c r="E199" s="216">
        <v>0.04</v>
      </c>
      <c r="F199" s="214">
        <f>(grains_table[[#This Row],[Extract %]]*46.214)/1000+1</f>
        <v>1.03743334</v>
      </c>
      <c r="G199" s="182">
        <v>2.2999999999999998</v>
      </c>
      <c r="H199" s="186" t="s">
        <v>1469</v>
      </c>
    </row>
    <row r="200" spans="1:8" ht="13.2" customHeight="1" x14ac:dyDescent="0.25">
      <c r="A200" s="24" t="s">
        <v>1595</v>
      </c>
      <c r="B200" s="24" t="s">
        <v>1417</v>
      </c>
      <c r="C200" s="55" t="s">
        <v>91</v>
      </c>
      <c r="D200" s="216">
        <v>0.85</v>
      </c>
      <c r="E200" s="216">
        <v>0.04</v>
      </c>
      <c r="F200" s="214">
        <f>(grains_table[[#This Row],[Extract %]]*46.214)/1000+1</f>
        <v>1.0392819</v>
      </c>
      <c r="G200" s="182">
        <v>2.5</v>
      </c>
      <c r="H200" s="186" t="s">
        <v>1469</v>
      </c>
    </row>
    <row r="201" spans="1:8" ht="13.2" customHeight="1" x14ac:dyDescent="0.25">
      <c r="A201" s="146"/>
      <c r="B201" s="190"/>
      <c r="C201" s="55"/>
      <c r="D201" s="216"/>
      <c r="E201" s="216"/>
      <c r="F201" s="52"/>
      <c r="G201" s="52"/>
      <c r="H201" s="146"/>
    </row>
    <row r="205" spans="1:8" x14ac:dyDescent="0.25">
      <c r="B205" s="24"/>
      <c r="C205" s="24"/>
      <c r="D205" s="24"/>
      <c r="E205" s="24"/>
    </row>
    <row r="206" spans="1:8" x14ac:dyDescent="0.25">
      <c r="B206" s="24"/>
      <c r="C206" s="24"/>
      <c r="D206" s="24"/>
      <c r="E206" s="24"/>
    </row>
    <row r="207" spans="1:8" x14ac:dyDescent="0.25">
      <c r="B207" s="24"/>
      <c r="C207" s="24"/>
      <c r="D207" s="24"/>
      <c r="E207" s="24"/>
    </row>
  </sheetData>
  <sheetProtection formatCells="0" formatColumns="0" formatRows="0" insertRows="0" sort="0" autoFilter="0"/>
  <sortState ref="A1:AC112">
    <sortCondition ref="A1:A112"/>
  </sortState>
  <dataValidations count="2">
    <dataValidation type="list" showInputMessage="1" showErrorMessage="1" sqref="C2:C201">
      <formula1>"Grain,Sugar"</formula1>
    </dataValidation>
    <dataValidation showInputMessage="1" showErrorMessage="1" sqref="D2:E201"/>
  </dataValidations>
  <hyperlinks>
    <hyperlink ref="H110" r:id="rId1"/>
    <hyperlink ref="H111" r:id="rId2"/>
    <hyperlink ref="H122" r:id="rId3"/>
    <hyperlink ref="H112" r:id="rId4"/>
    <hyperlink ref="H109" r:id="rId5"/>
    <hyperlink ref="H127" r:id="rId6"/>
    <hyperlink ref="H189" r:id="rId7"/>
    <hyperlink ref="H99" r:id="rId8"/>
    <hyperlink ref="H113" r:id="rId9"/>
    <hyperlink ref="H5" r:id="rId10"/>
    <hyperlink ref="H108" r:id="rId11"/>
    <hyperlink ref="H34" r:id="rId12"/>
    <hyperlink ref="H60" r:id="rId13"/>
    <hyperlink ref="H56" r:id="rId14"/>
    <hyperlink ref="H58" r:id="rId15"/>
    <hyperlink ref="H57" r:id="rId16"/>
    <hyperlink ref="H55" r:id="rId17"/>
    <hyperlink ref="H62" r:id="rId18"/>
    <hyperlink ref="H59" r:id="rId19"/>
    <hyperlink ref="H141" r:id="rId20"/>
    <hyperlink ref="H149" r:id="rId21"/>
    <hyperlink ref="H152" r:id="rId22"/>
    <hyperlink ref="H146" r:id="rId23"/>
    <hyperlink ref="H136" r:id="rId24"/>
    <hyperlink ref="H102" r:id="rId25"/>
    <hyperlink ref="H196" r:id="rId26"/>
    <hyperlink ref="H101" r:id="rId27"/>
    <hyperlink ref="H61" r:id="rId28"/>
    <hyperlink ref="H161" r:id="rId29"/>
    <hyperlink ref="H68" r:id="rId30"/>
    <hyperlink ref="H131" r:id="rId31"/>
    <hyperlink ref="H197" r:id="rId32"/>
    <hyperlink ref="H116" r:id="rId33"/>
    <hyperlink ref="H100" r:id="rId34"/>
    <hyperlink ref="H6" r:id="rId35"/>
    <hyperlink ref="H7" r:id="rId36"/>
    <hyperlink ref="H21" r:id="rId37"/>
    <hyperlink ref="H22" r:id="rId38"/>
    <hyperlink ref="H20" r:id="rId39"/>
    <hyperlink ref="H63" r:id="rId40"/>
    <hyperlink ref="H9" r:id="rId41"/>
    <hyperlink ref="H65" r:id="rId42"/>
    <hyperlink ref="H12" r:id="rId43"/>
    <hyperlink ref="H140" r:id="rId44"/>
    <hyperlink ref="H160" r:id="rId45"/>
    <hyperlink ref="H4" r:id="rId46"/>
    <hyperlink ref="H105" r:id="rId47"/>
    <hyperlink ref="H2" r:id="rId48"/>
    <hyperlink ref="H165" r:id="rId49"/>
    <hyperlink ref="H21:H23" r:id="rId50" display="https://www.weyermann.de/usa/gelbe_seiten_usa.asp?go=brewery&amp;umenue=yes&amp;idmenue=269&amp;sprache=10"/>
    <hyperlink ref="H36:H37" r:id="rId51" display="https://www.weyermann.de/usa/gelbe_seiten_usa.asp?go=brewery&amp;umenue=yes&amp;idmenue=269&amp;sprache=10"/>
    <hyperlink ref="H43:H50" r:id="rId52" display="https://www.weyermann.de/usa/gelbe_seiten_usa.asp?go=brewery&amp;umenue=yes&amp;idmenue=269&amp;sprache=10"/>
    <hyperlink ref="H35" r:id="rId53"/>
    <hyperlink ref="H63:H65" r:id="rId54" display="https://www.weyermann.de/usa/gelbe_seiten_usa.asp?go=brewery&amp;umenue=yes&amp;idmenue=269&amp;sprache=10"/>
    <hyperlink ref="H50" r:id="rId55"/>
    <hyperlink ref="H85" r:id="rId56"/>
    <hyperlink ref="H126" r:id="rId57"/>
    <hyperlink ref="H94" r:id="rId58"/>
    <hyperlink ref="H170" r:id="rId59"/>
    <hyperlink ref="H115" r:id="rId60"/>
    <hyperlink ref="H133" r:id="rId61" location="Brewers"/>
    <hyperlink ref="H132" r:id="rId62"/>
    <hyperlink ref="H137" r:id="rId63"/>
    <hyperlink ref="H159" r:id="rId64"/>
    <hyperlink ref="H171" r:id="rId65"/>
    <hyperlink ref="H190" r:id="rId66"/>
    <hyperlink ref="H198" r:id="rId67"/>
    <hyperlink ref="H95" r:id="rId68" location="Aromatic"/>
    <hyperlink ref="H150" r:id="rId69" location="Carabrown"/>
    <hyperlink ref="H25" r:id="rId70"/>
    <hyperlink ref="H36" r:id="rId71"/>
    <hyperlink ref="H37" r:id="rId72"/>
    <hyperlink ref="H38" r:id="rId73"/>
    <hyperlink ref="H39" r:id="rId74"/>
    <hyperlink ref="H40" r:id="rId75"/>
    <hyperlink ref="H41" r:id="rId76"/>
    <hyperlink ref="H42" r:id="rId77"/>
    <hyperlink ref="H43" r:id="rId78"/>
    <hyperlink ref="H44" r:id="rId79"/>
    <hyperlink ref="H45" r:id="rId80"/>
    <hyperlink ref="H46" r:id="rId81"/>
    <hyperlink ref="H66" r:id="rId82"/>
    <hyperlink ref="H67" r:id="rId83"/>
    <hyperlink ref="H151" r:id="rId84" location="2RowChocolate"/>
    <hyperlink ref="H157" r:id="rId85" location="ExtraSpecial"/>
    <hyperlink ref="H98" r:id="rId86" location="Bonlander"/>
    <hyperlink ref="H130" r:id="rId87" location="Brewers"/>
    <hyperlink ref="H121" r:id="rId88" location="Brewers"/>
    <hyperlink ref="H114" r:id="rId89"/>
    <hyperlink ref="H188" r:id="rId90" location="Goldpils"/>
    <hyperlink ref="H117" r:id="rId91"/>
    <hyperlink ref="H199" r:id="rId92"/>
    <hyperlink ref="H200" r:id="rId93"/>
    <hyperlink ref="H11" r:id="rId94"/>
    <hyperlink ref="H123" r:id="rId95"/>
    <hyperlink ref="H124" r:id="rId96"/>
    <hyperlink ref="H106" r:id="rId97"/>
    <hyperlink ref="H187" r:id="rId98"/>
    <hyperlink ref="H97" r:id="rId99"/>
    <hyperlink ref="H92" r:id="rId100"/>
    <hyperlink ref="H93" r:id="rId101"/>
    <hyperlink ref="H96" r:id="rId102"/>
    <hyperlink ref="H107" r:id="rId103"/>
    <hyperlink ref="H54" r:id="rId104"/>
    <hyperlink ref="H192" r:id="rId105"/>
    <hyperlink ref="H193" r:id="rId106"/>
    <hyperlink ref="H172" r:id="rId107"/>
    <hyperlink ref="H191" r:id="rId108"/>
    <hyperlink ref="H103" r:id="rId109"/>
    <hyperlink ref="H104" r:id="rId110"/>
    <hyperlink ref="H15" r:id="rId111"/>
    <hyperlink ref="H14" r:id="rId112"/>
    <hyperlink ref="H13" r:id="rId113"/>
    <hyperlink ref="H19" r:id="rId114"/>
    <hyperlink ref="H16" r:id="rId115"/>
    <hyperlink ref="H17" r:id="rId116"/>
    <hyperlink ref="H18" r:id="rId117"/>
    <hyperlink ref="H142" r:id="rId118"/>
    <hyperlink ref="H143" r:id="rId119"/>
    <hyperlink ref="H64" r:id="rId120"/>
    <hyperlink ref="H3" r:id="rId121"/>
    <hyperlink ref="H167" r:id="rId122"/>
    <hyperlink ref="H166" r:id="rId123"/>
    <hyperlink ref="H138" r:id="rId124"/>
    <hyperlink ref="H74" r:id="rId125"/>
    <hyperlink ref="H71" r:id="rId126"/>
    <hyperlink ref="H72" r:id="rId127"/>
    <hyperlink ref="H73" r:id="rId128"/>
    <hyperlink ref="H75" r:id="rId129"/>
    <hyperlink ref="H76" r:id="rId130"/>
    <hyperlink ref="H77" r:id="rId131"/>
    <hyperlink ref="H88" r:id="rId132"/>
    <hyperlink ref="H89" r:id="rId133"/>
    <hyperlink ref="H90" r:id="rId134"/>
    <hyperlink ref="H91" r:id="rId135"/>
    <hyperlink ref="H87" r:id="rId136"/>
    <hyperlink ref="H80" r:id="rId137"/>
    <hyperlink ref="H78" r:id="rId138"/>
    <hyperlink ref="H129" r:id="rId139"/>
    <hyperlink ref="H135" r:id="rId140" display="http://brewingwithbriess.com/Products/Roasted_Barley.htm"/>
    <hyperlink ref="H139" r:id="rId141"/>
    <hyperlink ref="H156" r:id="rId142"/>
    <hyperlink ref="H158" r:id="rId143"/>
    <hyperlink ref="H10" r:id="rId144"/>
    <hyperlink ref="H163" r:id="rId145"/>
    <hyperlink ref="H164" r:id="rId146"/>
    <hyperlink ref="H168" r:id="rId147"/>
    <hyperlink ref="H169" r:id="rId148"/>
    <hyperlink ref="H176" r:id="rId149"/>
    <hyperlink ref="H175" r:id="rId150"/>
    <hyperlink ref="H177" r:id="rId151"/>
    <hyperlink ref="H174" r:id="rId152"/>
    <hyperlink ref="H173" r:id="rId153"/>
    <hyperlink ref="H178" r:id="rId154"/>
    <hyperlink ref="H180" r:id="rId155"/>
    <hyperlink ref="H179" r:id="rId156"/>
    <hyperlink ref="H181" r:id="rId157"/>
    <hyperlink ref="H182" r:id="rId158"/>
    <hyperlink ref="H183" r:id="rId159"/>
    <hyperlink ref="H184" r:id="rId160"/>
    <hyperlink ref="H185" r:id="rId161"/>
    <hyperlink ref="H186" r:id="rId162" location="TorrifiedWheat"/>
    <hyperlink ref="H147" r:id="rId163"/>
    <hyperlink ref="H148" r:id="rId164"/>
    <hyperlink ref="H145" r:id="rId165"/>
    <hyperlink ref="H144" r:id="rId166"/>
    <hyperlink ref="H118" r:id="rId167"/>
    <hyperlink ref="H32" r:id="rId168"/>
    <hyperlink ref="H70" r:id="rId169"/>
    <hyperlink ref="H69" r:id="rId170"/>
    <hyperlink ref="H86" r:id="rId171"/>
    <hyperlink ref="H119" r:id="rId172"/>
    <hyperlink ref="H120" r:id="rId173"/>
  </hyperlinks>
  <pageMargins left="0.7" right="0.7" top="0.75" bottom="0.75" header="0.3" footer="0.3"/>
  <pageSetup orientation="portrait" r:id="rId174"/>
  <tableParts count="1">
    <tablePart r:id="rId17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topLeftCell="A123" workbookViewId="0">
      <selection activeCell="A138" sqref="A138"/>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58" t="s">
        <v>144</v>
      </c>
      <c r="B1" s="58" t="s">
        <v>799</v>
      </c>
      <c r="C1" s="58" t="s">
        <v>800</v>
      </c>
      <c r="D1" s="58" t="s">
        <v>172</v>
      </c>
    </row>
    <row r="2" spans="1:4" x14ac:dyDescent="0.25">
      <c r="A2" t="s">
        <v>173</v>
      </c>
      <c r="B2" t="s">
        <v>174</v>
      </c>
      <c r="C2" t="s">
        <v>175</v>
      </c>
      <c r="D2" t="s">
        <v>176</v>
      </c>
    </row>
    <row r="3" spans="1:4" x14ac:dyDescent="0.25">
      <c r="A3" t="s">
        <v>801</v>
      </c>
      <c r="B3" t="s">
        <v>177</v>
      </c>
      <c r="C3" t="s">
        <v>178</v>
      </c>
      <c r="D3" t="s">
        <v>179</v>
      </c>
    </row>
    <row r="4" spans="1:4" x14ac:dyDescent="0.25">
      <c r="A4" t="s">
        <v>802</v>
      </c>
      <c r="B4" t="s">
        <v>181</v>
      </c>
      <c r="C4" t="s">
        <v>182</v>
      </c>
      <c r="D4" t="s">
        <v>183</v>
      </c>
    </row>
    <row r="5" spans="1:4" x14ac:dyDescent="0.25">
      <c r="A5" t="s">
        <v>184</v>
      </c>
      <c r="B5" t="s">
        <v>185</v>
      </c>
      <c r="C5" t="s">
        <v>186</v>
      </c>
      <c r="D5" t="s">
        <v>187</v>
      </c>
    </row>
    <row r="6" spans="1:4" x14ac:dyDescent="0.25">
      <c r="A6" t="s">
        <v>938</v>
      </c>
      <c r="B6" t="s">
        <v>212</v>
      </c>
      <c r="C6" t="s">
        <v>301</v>
      </c>
    </row>
    <row r="7" spans="1:4" x14ac:dyDescent="0.25">
      <c r="A7" t="s">
        <v>803</v>
      </c>
      <c r="B7" t="s">
        <v>804</v>
      </c>
      <c r="D7" t="s">
        <v>805</v>
      </c>
    </row>
    <row r="8" spans="1:4" x14ac:dyDescent="0.25">
      <c r="A8" t="s">
        <v>905</v>
      </c>
      <c r="B8" s="61">
        <v>0.121</v>
      </c>
      <c r="D8" t="s">
        <v>906</v>
      </c>
    </row>
    <row r="9" spans="1:4" x14ac:dyDescent="0.25">
      <c r="A9" t="s">
        <v>806</v>
      </c>
      <c r="B9" t="s">
        <v>181</v>
      </c>
      <c r="D9" t="s">
        <v>807</v>
      </c>
    </row>
    <row r="10" spans="1:4" x14ac:dyDescent="0.25">
      <c r="A10" t="s">
        <v>914</v>
      </c>
      <c r="B10" t="s">
        <v>915</v>
      </c>
      <c r="C10" t="s">
        <v>858</v>
      </c>
    </row>
    <row r="11" spans="1:4" x14ac:dyDescent="0.25">
      <c r="A11" t="s">
        <v>188</v>
      </c>
      <c r="B11" t="s">
        <v>189</v>
      </c>
      <c r="C11" t="s">
        <v>190</v>
      </c>
      <c r="D11" t="s">
        <v>191</v>
      </c>
    </row>
    <row r="12" spans="1:4" x14ac:dyDescent="0.25">
      <c r="A12" t="s">
        <v>192</v>
      </c>
      <c r="B12" t="s">
        <v>193</v>
      </c>
      <c r="C12" t="s">
        <v>194</v>
      </c>
    </row>
    <row r="13" spans="1:4" x14ac:dyDescent="0.25">
      <c r="A13" t="s">
        <v>195</v>
      </c>
      <c r="B13" t="s">
        <v>196</v>
      </c>
      <c r="C13" t="s">
        <v>197</v>
      </c>
      <c r="D13" t="s">
        <v>198</v>
      </c>
    </row>
    <row r="14" spans="1:4" x14ac:dyDescent="0.25">
      <c r="A14" t="s">
        <v>199</v>
      </c>
      <c r="B14" t="s">
        <v>200</v>
      </c>
      <c r="C14" t="s">
        <v>201</v>
      </c>
      <c r="D14" t="s">
        <v>202</v>
      </c>
    </row>
    <row r="15" spans="1:4" x14ac:dyDescent="0.25">
      <c r="A15" t="s">
        <v>203</v>
      </c>
      <c r="B15" t="s">
        <v>204</v>
      </c>
      <c r="C15" t="s">
        <v>205</v>
      </c>
      <c r="D15" t="s">
        <v>206</v>
      </c>
    </row>
    <row r="16" spans="1:4" x14ac:dyDescent="0.25">
      <c r="A16" t="s">
        <v>907</v>
      </c>
      <c r="B16" t="s">
        <v>308</v>
      </c>
      <c r="D16" t="s">
        <v>908</v>
      </c>
    </row>
    <row r="17" spans="1:4" x14ac:dyDescent="0.25">
      <c r="A17" t="s">
        <v>207</v>
      </c>
      <c r="B17" t="s">
        <v>208</v>
      </c>
      <c r="C17" t="s">
        <v>209</v>
      </c>
      <c r="D17" t="s">
        <v>210</v>
      </c>
    </row>
    <row r="18" spans="1:4" x14ac:dyDescent="0.25">
      <c r="A18" t="s">
        <v>211</v>
      </c>
      <c r="B18" t="s">
        <v>212</v>
      </c>
      <c r="C18" t="s">
        <v>213</v>
      </c>
      <c r="D18" t="s">
        <v>214</v>
      </c>
    </row>
    <row r="19" spans="1:4" x14ac:dyDescent="0.25">
      <c r="A19" t="s">
        <v>215</v>
      </c>
      <c r="B19" t="s">
        <v>216</v>
      </c>
      <c r="C19" t="s">
        <v>217</v>
      </c>
      <c r="D19" t="s">
        <v>218</v>
      </c>
    </row>
    <row r="20" spans="1:4" x14ac:dyDescent="0.25">
      <c r="A20" t="s">
        <v>808</v>
      </c>
      <c r="B20" t="s">
        <v>809</v>
      </c>
      <c r="D20" t="s">
        <v>810</v>
      </c>
    </row>
    <row r="21" spans="1:4" x14ac:dyDescent="0.25">
      <c r="A21" t="s">
        <v>883</v>
      </c>
      <c r="B21" t="s">
        <v>296</v>
      </c>
      <c r="C21" t="s">
        <v>842</v>
      </c>
      <c r="D21" t="s">
        <v>884</v>
      </c>
    </row>
    <row r="22" spans="1:4" x14ac:dyDescent="0.25">
      <c r="A22" t="s">
        <v>219</v>
      </c>
      <c r="B22" t="s">
        <v>220</v>
      </c>
      <c r="C22" t="s">
        <v>221</v>
      </c>
      <c r="D22" t="s">
        <v>222</v>
      </c>
    </row>
    <row r="23" spans="1:4" x14ac:dyDescent="0.25">
      <c r="A23" t="s">
        <v>223</v>
      </c>
      <c r="B23" t="s">
        <v>224</v>
      </c>
      <c r="C23" t="s">
        <v>225</v>
      </c>
      <c r="D23" t="s">
        <v>226</v>
      </c>
    </row>
    <row r="24" spans="1:4" x14ac:dyDescent="0.25">
      <c r="A24" t="s">
        <v>227</v>
      </c>
      <c r="B24" t="s">
        <v>228</v>
      </c>
      <c r="C24" t="s">
        <v>229</v>
      </c>
      <c r="D24" t="s">
        <v>230</v>
      </c>
    </row>
    <row r="25" spans="1:4" x14ac:dyDescent="0.25">
      <c r="A25" t="s">
        <v>811</v>
      </c>
      <c r="B25" t="s">
        <v>286</v>
      </c>
      <c r="D25" t="s">
        <v>812</v>
      </c>
    </row>
    <row r="26" spans="1:4" x14ac:dyDescent="0.25">
      <c r="A26" t="s">
        <v>231</v>
      </c>
      <c r="B26" t="s">
        <v>232</v>
      </c>
      <c r="C26" t="s">
        <v>233</v>
      </c>
      <c r="D26" t="s">
        <v>234</v>
      </c>
    </row>
    <row r="27" spans="1:4" x14ac:dyDescent="0.25">
      <c r="A27" t="s">
        <v>235</v>
      </c>
      <c r="B27" t="s">
        <v>236</v>
      </c>
      <c r="C27" t="s">
        <v>237</v>
      </c>
      <c r="D27" t="s">
        <v>238</v>
      </c>
    </row>
    <row r="28" spans="1:4" x14ac:dyDescent="0.25">
      <c r="A28" t="s">
        <v>813</v>
      </c>
      <c r="B28" t="s">
        <v>814</v>
      </c>
      <c r="D28" t="s">
        <v>815</v>
      </c>
    </row>
    <row r="29" spans="1:4" x14ac:dyDescent="0.25">
      <c r="A29" t="s">
        <v>885</v>
      </c>
      <c r="B29" t="s">
        <v>886</v>
      </c>
      <c r="C29" t="s">
        <v>887</v>
      </c>
      <c r="D29" t="s">
        <v>888</v>
      </c>
    </row>
    <row r="30" spans="1:4" x14ac:dyDescent="0.25">
      <c r="A30" t="s">
        <v>816</v>
      </c>
      <c r="B30" t="s">
        <v>804</v>
      </c>
      <c r="D30" t="s">
        <v>817</v>
      </c>
    </row>
    <row r="31" spans="1:4" x14ac:dyDescent="0.25">
      <c r="A31" t="s">
        <v>889</v>
      </c>
      <c r="B31" t="s">
        <v>890</v>
      </c>
      <c r="D31" t="s">
        <v>891</v>
      </c>
    </row>
    <row r="32" spans="1:4" x14ac:dyDescent="0.25">
      <c r="A32" t="s">
        <v>239</v>
      </c>
      <c r="B32" t="s">
        <v>240</v>
      </c>
      <c r="C32" t="s">
        <v>241</v>
      </c>
      <c r="D32" t="s">
        <v>242</v>
      </c>
    </row>
    <row r="33" spans="1:4" x14ac:dyDescent="0.25">
      <c r="A33" t="s">
        <v>818</v>
      </c>
      <c r="B33" t="s">
        <v>819</v>
      </c>
      <c r="C33" t="s">
        <v>383</v>
      </c>
      <c r="D33" t="s">
        <v>820</v>
      </c>
    </row>
    <row r="34" spans="1:4" x14ac:dyDescent="0.25">
      <c r="A34" t="s">
        <v>243</v>
      </c>
      <c r="B34" t="s">
        <v>224</v>
      </c>
      <c r="C34" t="s">
        <v>244</v>
      </c>
      <c r="D34" t="s">
        <v>245</v>
      </c>
    </row>
    <row r="35" spans="1:4" x14ac:dyDescent="0.25">
      <c r="A35" t="s">
        <v>246</v>
      </c>
      <c r="B35" t="s">
        <v>247</v>
      </c>
      <c r="C35" t="s">
        <v>248</v>
      </c>
      <c r="D35" t="s">
        <v>249</v>
      </c>
    </row>
    <row r="36" spans="1:4" x14ac:dyDescent="0.25">
      <c r="A36" t="s">
        <v>250</v>
      </c>
      <c r="B36" t="s">
        <v>247</v>
      </c>
      <c r="C36" t="s">
        <v>251</v>
      </c>
      <c r="D36" t="s">
        <v>252</v>
      </c>
    </row>
    <row r="37" spans="1:4" x14ac:dyDescent="0.25">
      <c r="A37" t="s">
        <v>821</v>
      </c>
      <c r="B37" t="s">
        <v>236</v>
      </c>
      <c r="D37" t="s">
        <v>822</v>
      </c>
    </row>
    <row r="38" spans="1:4" x14ac:dyDescent="0.25">
      <c r="A38" t="s">
        <v>233</v>
      </c>
      <c r="B38" t="s">
        <v>228</v>
      </c>
      <c r="C38" t="s">
        <v>253</v>
      </c>
      <c r="D38" t="s">
        <v>254</v>
      </c>
    </row>
    <row r="39" spans="1:4" x14ac:dyDescent="0.25">
      <c r="A39" t="s">
        <v>255</v>
      </c>
      <c r="B39" t="s">
        <v>256</v>
      </c>
      <c r="C39" t="s">
        <v>257</v>
      </c>
      <c r="D39" t="s">
        <v>258</v>
      </c>
    </row>
    <row r="40" spans="1:4" x14ac:dyDescent="0.25">
      <c r="A40" t="s">
        <v>259</v>
      </c>
      <c r="B40" t="s">
        <v>260</v>
      </c>
      <c r="C40" t="s">
        <v>261</v>
      </c>
      <c r="D40" t="s">
        <v>262</v>
      </c>
    </row>
    <row r="41" spans="1:4" x14ac:dyDescent="0.25">
      <c r="A41" t="s">
        <v>263</v>
      </c>
      <c r="B41" t="s">
        <v>264</v>
      </c>
      <c r="C41" t="s">
        <v>265</v>
      </c>
      <c r="D41" t="s">
        <v>266</v>
      </c>
    </row>
    <row r="42" spans="1:4" x14ac:dyDescent="0.25">
      <c r="A42" t="s">
        <v>267</v>
      </c>
      <c r="B42" t="s">
        <v>224</v>
      </c>
      <c r="C42" t="s">
        <v>268</v>
      </c>
      <c r="D42" t="s">
        <v>269</v>
      </c>
    </row>
    <row r="43" spans="1:4" x14ac:dyDescent="0.25">
      <c r="A43" t="s">
        <v>909</v>
      </c>
      <c r="B43" t="s">
        <v>240</v>
      </c>
      <c r="D43" t="s">
        <v>910</v>
      </c>
    </row>
    <row r="44" spans="1:4" x14ac:dyDescent="0.25">
      <c r="A44" t="s">
        <v>270</v>
      </c>
      <c r="B44" t="s">
        <v>271</v>
      </c>
      <c r="C44" t="s">
        <v>272</v>
      </c>
      <c r="D44" t="s">
        <v>273</v>
      </c>
    </row>
    <row r="45" spans="1:4" x14ac:dyDescent="0.25">
      <c r="A45" t="s">
        <v>274</v>
      </c>
      <c r="B45" t="s">
        <v>275</v>
      </c>
      <c r="C45" t="s">
        <v>276</v>
      </c>
      <c r="D45" t="s">
        <v>277</v>
      </c>
    </row>
    <row r="46" spans="1:4" x14ac:dyDescent="0.25">
      <c r="A46" t="s">
        <v>278</v>
      </c>
      <c r="B46" t="s">
        <v>279</v>
      </c>
      <c r="C46" t="s">
        <v>280</v>
      </c>
      <c r="D46" t="s">
        <v>281</v>
      </c>
    </row>
    <row r="47" spans="1:4" x14ac:dyDescent="0.25">
      <c r="A47" t="s">
        <v>282</v>
      </c>
      <c r="B47" t="s">
        <v>271</v>
      </c>
      <c r="C47" t="s">
        <v>283</v>
      </c>
      <c r="D47" t="s">
        <v>284</v>
      </c>
    </row>
    <row r="48" spans="1:4" x14ac:dyDescent="0.25">
      <c r="A48" t="s">
        <v>285</v>
      </c>
      <c r="B48" t="s">
        <v>286</v>
      </c>
      <c r="D48" t="s">
        <v>287</v>
      </c>
    </row>
    <row r="49" spans="1:4" x14ac:dyDescent="0.25">
      <c r="A49" t="s">
        <v>892</v>
      </c>
      <c r="B49" t="s">
        <v>893</v>
      </c>
      <c r="D49" t="s">
        <v>894</v>
      </c>
    </row>
    <row r="50" spans="1:4" x14ac:dyDescent="0.25">
      <c r="A50" t="s">
        <v>288</v>
      </c>
      <c r="B50" t="s">
        <v>279</v>
      </c>
      <c r="C50" t="s">
        <v>289</v>
      </c>
      <c r="D50" t="s">
        <v>290</v>
      </c>
    </row>
    <row r="51" spans="1:4" x14ac:dyDescent="0.25">
      <c r="A51" t="s">
        <v>291</v>
      </c>
      <c r="B51" t="s">
        <v>264</v>
      </c>
      <c r="C51" t="s">
        <v>299</v>
      </c>
      <c r="D51" t="s">
        <v>823</v>
      </c>
    </row>
    <row r="52" spans="1:4" x14ac:dyDescent="0.25">
      <c r="A52" t="s">
        <v>919</v>
      </c>
      <c r="B52" t="s">
        <v>920</v>
      </c>
      <c r="D52" t="s">
        <v>921</v>
      </c>
    </row>
    <row r="53" spans="1:4" x14ac:dyDescent="0.25">
      <c r="A53" t="s">
        <v>824</v>
      </c>
      <c r="B53" t="s">
        <v>825</v>
      </c>
      <c r="D53" t="s">
        <v>826</v>
      </c>
    </row>
    <row r="54" spans="1:4" x14ac:dyDescent="0.25">
      <c r="A54" t="s">
        <v>827</v>
      </c>
      <c r="B54" t="s">
        <v>435</v>
      </c>
      <c r="D54" t="s">
        <v>828</v>
      </c>
    </row>
    <row r="55" spans="1:4" x14ac:dyDescent="0.25">
      <c r="A55" t="s">
        <v>292</v>
      </c>
      <c r="B55" t="s">
        <v>247</v>
      </c>
      <c r="C55" t="s">
        <v>293</v>
      </c>
      <c r="D55" t="s">
        <v>294</v>
      </c>
    </row>
    <row r="56" spans="1:4" x14ac:dyDescent="0.25">
      <c r="A56" t="s">
        <v>829</v>
      </c>
      <c r="B56" s="60">
        <v>0.03</v>
      </c>
      <c r="D56" t="s">
        <v>830</v>
      </c>
    </row>
    <row r="57" spans="1:4" x14ac:dyDescent="0.25">
      <c r="A57" t="s">
        <v>831</v>
      </c>
      <c r="B57" t="s">
        <v>170</v>
      </c>
      <c r="D57" t="s">
        <v>832</v>
      </c>
    </row>
    <row r="58" spans="1:4" x14ac:dyDescent="0.25">
      <c r="A58" t="s">
        <v>833</v>
      </c>
      <c r="B58" t="s">
        <v>189</v>
      </c>
      <c r="C58" t="s">
        <v>180</v>
      </c>
      <c r="D58" t="s">
        <v>834</v>
      </c>
    </row>
    <row r="59" spans="1:4" x14ac:dyDescent="0.25">
      <c r="A59" t="s">
        <v>295</v>
      </c>
      <c r="B59" t="s">
        <v>296</v>
      </c>
      <c r="C59" t="s">
        <v>297</v>
      </c>
      <c r="D59" t="s">
        <v>298</v>
      </c>
    </row>
    <row r="60" spans="1:4" x14ac:dyDescent="0.25">
      <c r="A60" t="s">
        <v>941</v>
      </c>
      <c r="B60" t="s">
        <v>367</v>
      </c>
      <c r="C60" t="s">
        <v>386</v>
      </c>
      <c r="D60" t="s">
        <v>942</v>
      </c>
    </row>
    <row r="61" spans="1:4" x14ac:dyDescent="0.25">
      <c r="A61" t="s">
        <v>835</v>
      </c>
      <c r="B61" t="s">
        <v>416</v>
      </c>
      <c r="C61" t="s">
        <v>836</v>
      </c>
      <c r="D61" t="s">
        <v>302</v>
      </c>
    </row>
    <row r="62" spans="1:4" x14ac:dyDescent="0.25">
      <c r="A62" t="s">
        <v>837</v>
      </c>
      <c r="B62" t="s">
        <v>228</v>
      </c>
      <c r="C62" t="s">
        <v>836</v>
      </c>
      <c r="D62" t="s">
        <v>838</v>
      </c>
    </row>
    <row r="63" spans="1:4" x14ac:dyDescent="0.25">
      <c r="A63" t="s">
        <v>911</v>
      </c>
      <c r="B63" t="s">
        <v>200</v>
      </c>
      <c r="C63" t="s">
        <v>912</v>
      </c>
      <c r="D63" t="s">
        <v>913</v>
      </c>
    </row>
    <row r="64" spans="1:4" x14ac:dyDescent="0.25">
      <c r="A64" t="s">
        <v>939</v>
      </c>
      <c r="B64" t="s">
        <v>240</v>
      </c>
      <c r="D64" t="s">
        <v>940</v>
      </c>
    </row>
    <row r="65" spans="1:4" x14ac:dyDescent="0.25">
      <c r="A65" t="s">
        <v>895</v>
      </c>
      <c r="B65" t="s">
        <v>825</v>
      </c>
      <c r="C65" t="s">
        <v>299</v>
      </c>
      <c r="D65" t="s">
        <v>896</v>
      </c>
    </row>
    <row r="66" spans="1:4" x14ac:dyDescent="0.25">
      <c r="A66" t="s">
        <v>897</v>
      </c>
      <c r="B66" t="s">
        <v>825</v>
      </c>
      <c r="C66" t="s">
        <v>325</v>
      </c>
      <c r="D66" t="s">
        <v>898</v>
      </c>
    </row>
    <row r="67" spans="1:4" x14ac:dyDescent="0.25">
      <c r="A67" t="s">
        <v>948</v>
      </c>
      <c r="B67" t="s">
        <v>949</v>
      </c>
      <c r="C67" t="s">
        <v>950</v>
      </c>
      <c r="D67" t="s">
        <v>951</v>
      </c>
    </row>
    <row r="68" spans="1:4" x14ac:dyDescent="0.25">
      <c r="A68" t="s">
        <v>931</v>
      </c>
      <c r="B68" t="s">
        <v>932</v>
      </c>
      <c r="C68" t="s">
        <v>933</v>
      </c>
      <c r="D68" t="s">
        <v>934</v>
      </c>
    </row>
    <row r="69" spans="1:4" x14ac:dyDescent="0.25">
      <c r="A69" t="s">
        <v>303</v>
      </c>
      <c r="B69" t="s">
        <v>304</v>
      </c>
      <c r="C69" t="s">
        <v>305</v>
      </c>
      <c r="D69" t="s">
        <v>306</v>
      </c>
    </row>
    <row r="70" spans="1:4" x14ac:dyDescent="0.25">
      <c r="A70" t="s">
        <v>899</v>
      </c>
      <c r="B70" t="s">
        <v>900</v>
      </c>
      <c r="C70" t="s">
        <v>901</v>
      </c>
      <c r="D70" t="s">
        <v>902</v>
      </c>
    </row>
    <row r="71" spans="1:4" x14ac:dyDescent="0.25">
      <c r="A71" t="s">
        <v>307</v>
      </c>
      <c r="B71" t="s">
        <v>308</v>
      </c>
      <c r="D71" t="s">
        <v>839</v>
      </c>
    </row>
    <row r="72" spans="1:4" x14ac:dyDescent="0.25">
      <c r="A72" t="s">
        <v>309</v>
      </c>
      <c r="B72" t="s">
        <v>310</v>
      </c>
      <c r="C72" t="s">
        <v>311</v>
      </c>
      <c r="D72" t="s">
        <v>312</v>
      </c>
    </row>
    <row r="73" spans="1:4" x14ac:dyDescent="0.25">
      <c r="A73" t="s">
        <v>313</v>
      </c>
      <c r="B73" t="s">
        <v>314</v>
      </c>
      <c r="D73" t="s">
        <v>315</v>
      </c>
    </row>
    <row r="74" spans="1:4" x14ac:dyDescent="0.25">
      <c r="A74" t="s">
        <v>316</v>
      </c>
      <c r="B74" t="s">
        <v>200</v>
      </c>
      <c r="C74" t="s">
        <v>317</v>
      </c>
      <c r="D74" t="s">
        <v>318</v>
      </c>
    </row>
    <row r="75" spans="1:4" x14ac:dyDescent="0.25">
      <c r="A75" t="s">
        <v>319</v>
      </c>
      <c r="B75" t="s">
        <v>320</v>
      </c>
      <c r="C75" t="s">
        <v>321</v>
      </c>
      <c r="D75" t="s">
        <v>318</v>
      </c>
    </row>
    <row r="76" spans="1:4" x14ac:dyDescent="0.25">
      <c r="A76" t="s">
        <v>322</v>
      </c>
      <c r="B76" t="s">
        <v>323</v>
      </c>
      <c r="D76" t="s">
        <v>324</v>
      </c>
    </row>
    <row r="77" spans="1:4" x14ac:dyDescent="0.25">
      <c r="A77" t="s">
        <v>325</v>
      </c>
      <c r="B77" t="s">
        <v>326</v>
      </c>
      <c r="C77" t="s">
        <v>327</v>
      </c>
      <c r="D77" t="s">
        <v>328</v>
      </c>
    </row>
    <row r="78" spans="1:4" x14ac:dyDescent="0.25">
      <c r="A78" t="s">
        <v>329</v>
      </c>
      <c r="B78" t="s">
        <v>286</v>
      </c>
      <c r="C78" t="s">
        <v>227</v>
      </c>
      <c r="D78" t="s">
        <v>330</v>
      </c>
    </row>
    <row r="79" spans="1:4" x14ac:dyDescent="0.25">
      <c r="A79" t="s">
        <v>840</v>
      </c>
      <c r="B79" t="s">
        <v>841</v>
      </c>
      <c r="C79" t="s">
        <v>842</v>
      </c>
      <c r="D79" t="s">
        <v>843</v>
      </c>
    </row>
    <row r="80" spans="1:4" x14ac:dyDescent="0.25">
      <c r="A80" t="s">
        <v>844</v>
      </c>
      <c r="B80" t="s">
        <v>170</v>
      </c>
      <c r="D80" t="s">
        <v>845</v>
      </c>
    </row>
    <row r="81" spans="1:4" x14ac:dyDescent="0.25">
      <c r="A81" t="s">
        <v>331</v>
      </c>
      <c r="B81" t="s">
        <v>300</v>
      </c>
      <c r="C81" t="s">
        <v>233</v>
      </c>
      <c r="D81" t="s">
        <v>846</v>
      </c>
    </row>
    <row r="82" spans="1:4" x14ac:dyDescent="0.25">
      <c r="A82" t="s">
        <v>332</v>
      </c>
      <c r="B82" t="s">
        <v>308</v>
      </c>
      <c r="D82" t="s">
        <v>333</v>
      </c>
    </row>
    <row r="83" spans="1:4" x14ac:dyDescent="0.25">
      <c r="A83" t="s">
        <v>334</v>
      </c>
      <c r="B83" t="s">
        <v>335</v>
      </c>
      <c r="C83" t="s">
        <v>336</v>
      </c>
      <c r="D83" t="s">
        <v>337</v>
      </c>
    </row>
    <row r="84" spans="1:4" x14ac:dyDescent="0.25">
      <c r="A84" t="s">
        <v>847</v>
      </c>
      <c r="B84" t="s">
        <v>338</v>
      </c>
      <c r="C84" t="s">
        <v>339</v>
      </c>
      <c r="D84" t="s">
        <v>340</v>
      </c>
    </row>
    <row r="85" spans="1:4" x14ac:dyDescent="0.25">
      <c r="A85" t="s">
        <v>848</v>
      </c>
      <c r="B85" t="s">
        <v>389</v>
      </c>
      <c r="C85" t="s">
        <v>404</v>
      </c>
      <c r="D85" t="s">
        <v>849</v>
      </c>
    </row>
    <row r="86" spans="1:4" x14ac:dyDescent="0.25">
      <c r="A86" t="s">
        <v>341</v>
      </c>
      <c r="B86" t="s">
        <v>342</v>
      </c>
      <c r="C86" t="s">
        <v>343</v>
      </c>
      <c r="D86" t="s">
        <v>344</v>
      </c>
    </row>
    <row r="87" spans="1:4" x14ac:dyDescent="0.25">
      <c r="A87" t="s">
        <v>345</v>
      </c>
      <c r="B87" t="s">
        <v>346</v>
      </c>
      <c r="C87" t="s">
        <v>347</v>
      </c>
      <c r="D87" t="s">
        <v>348</v>
      </c>
    </row>
    <row r="88" spans="1:4" x14ac:dyDescent="0.25">
      <c r="A88" t="s">
        <v>349</v>
      </c>
      <c r="B88" t="s">
        <v>851</v>
      </c>
      <c r="C88" t="s">
        <v>350</v>
      </c>
      <c r="D88" t="s">
        <v>916</v>
      </c>
    </row>
    <row r="89" spans="1:4" x14ac:dyDescent="0.25">
      <c r="A89" t="s">
        <v>850</v>
      </c>
      <c r="B89" t="s">
        <v>851</v>
      </c>
      <c r="C89" t="s">
        <v>852</v>
      </c>
      <c r="D89" t="s">
        <v>853</v>
      </c>
    </row>
    <row r="90" spans="1:4" x14ac:dyDescent="0.25">
      <c r="A90" t="s">
        <v>351</v>
      </c>
      <c r="B90" t="s">
        <v>352</v>
      </c>
      <c r="C90" t="s">
        <v>353</v>
      </c>
      <c r="D90" t="s">
        <v>354</v>
      </c>
    </row>
    <row r="91" spans="1:4" x14ac:dyDescent="0.25">
      <c r="A91" t="s">
        <v>922</v>
      </c>
      <c r="B91" t="s">
        <v>923</v>
      </c>
      <c r="D91" t="s">
        <v>924</v>
      </c>
    </row>
    <row r="92" spans="1:4" x14ac:dyDescent="0.25">
      <c r="A92" t="s">
        <v>943</v>
      </c>
      <c r="B92" t="s">
        <v>944</v>
      </c>
      <c r="D92" t="s">
        <v>945</v>
      </c>
    </row>
    <row r="93" spans="1:4" x14ac:dyDescent="0.25">
      <c r="A93" t="s">
        <v>355</v>
      </c>
      <c r="B93" t="s">
        <v>200</v>
      </c>
      <c r="C93" t="s">
        <v>356</v>
      </c>
      <c r="D93" t="s">
        <v>357</v>
      </c>
    </row>
    <row r="94" spans="1:4" x14ac:dyDescent="0.25">
      <c r="A94" t="s">
        <v>358</v>
      </c>
      <c r="B94" t="s">
        <v>359</v>
      </c>
      <c r="C94" t="s">
        <v>360</v>
      </c>
      <c r="D94" t="s">
        <v>361</v>
      </c>
    </row>
    <row r="95" spans="1:4" x14ac:dyDescent="0.25">
      <c r="A95" t="s">
        <v>854</v>
      </c>
      <c r="B95" t="s">
        <v>814</v>
      </c>
      <c r="D95" t="s">
        <v>855</v>
      </c>
    </row>
    <row r="96" spans="1:4" x14ac:dyDescent="0.25">
      <c r="A96" t="s">
        <v>362</v>
      </c>
      <c r="B96" t="s">
        <v>363</v>
      </c>
      <c r="C96" t="s">
        <v>364</v>
      </c>
      <c r="D96" t="s">
        <v>365</v>
      </c>
    </row>
    <row r="97" spans="1:4" x14ac:dyDescent="0.25">
      <c r="A97" t="s">
        <v>366</v>
      </c>
      <c r="B97" t="s">
        <v>367</v>
      </c>
      <c r="C97" t="s">
        <v>368</v>
      </c>
      <c r="D97" t="s">
        <v>369</v>
      </c>
    </row>
    <row r="98" spans="1:4" x14ac:dyDescent="0.25">
      <c r="A98" t="s">
        <v>370</v>
      </c>
      <c r="B98" t="s">
        <v>208</v>
      </c>
      <c r="C98" t="s">
        <v>371</v>
      </c>
      <c r="D98" t="s">
        <v>372</v>
      </c>
    </row>
    <row r="99" spans="1:4" x14ac:dyDescent="0.25">
      <c r="A99" t="s">
        <v>373</v>
      </c>
      <c r="B99" t="s">
        <v>374</v>
      </c>
      <c r="C99" t="s">
        <v>375</v>
      </c>
      <c r="D99" t="s">
        <v>376</v>
      </c>
    </row>
    <row r="100" spans="1:4" x14ac:dyDescent="0.25">
      <c r="A100" t="s">
        <v>377</v>
      </c>
      <c r="B100" t="s">
        <v>378</v>
      </c>
      <c r="C100" t="s">
        <v>209</v>
      </c>
      <c r="D100" t="s">
        <v>379</v>
      </c>
    </row>
    <row r="101" spans="1:4" x14ac:dyDescent="0.25">
      <c r="A101" t="s">
        <v>380</v>
      </c>
      <c r="B101" t="s">
        <v>381</v>
      </c>
      <c r="C101" t="s">
        <v>233</v>
      </c>
      <c r="D101" t="s">
        <v>382</v>
      </c>
    </row>
    <row r="102" spans="1:4" x14ac:dyDescent="0.25">
      <c r="A102" t="s">
        <v>935</v>
      </c>
      <c r="B102" t="s">
        <v>260</v>
      </c>
      <c r="C102" t="s">
        <v>936</v>
      </c>
      <c r="D102" t="s">
        <v>937</v>
      </c>
    </row>
    <row r="103" spans="1:4" x14ac:dyDescent="0.25">
      <c r="A103" t="s">
        <v>856</v>
      </c>
      <c r="B103" t="s">
        <v>308</v>
      </c>
      <c r="D103" t="s">
        <v>384</v>
      </c>
    </row>
    <row r="104" spans="1:4" x14ac:dyDescent="0.25">
      <c r="A104" t="s">
        <v>385</v>
      </c>
      <c r="B104" t="s">
        <v>335</v>
      </c>
      <c r="C104" t="s">
        <v>386</v>
      </c>
      <c r="D104" t="s">
        <v>387</v>
      </c>
    </row>
    <row r="105" spans="1:4" x14ac:dyDescent="0.25">
      <c r="A105" t="s">
        <v>946</v>
      </c>
      <c r="B105" t="s">
        <v>260</v>
      </c>
      <c r="D105" t="s">
        <v>947</v>
      </c>
    </row>
    <row r="106" spans="1:4" x14ac:dyDescent="0.25">
      <c r="A106" t="s">
        <v>388</v>
      </c>
      <c r="B106" t="s">
        <v>389</v>
      </c>
      <c r="D106" t="s">
        <v>390</v>
      </c>
    </row>
    <row r="107" spans="1:4" x14ac:dyDescent="0.25">
      <c r="A107" t="s">
        <v>391</v>
      </c>
      <c r="B107" t="s">
        <v>264</v>
      </c>
      <c r="D107" t="s">
        <v>392</v>
      </c>
    </row>
    <row r="108" spans="1:4" x14ac:dyDescent="0.25">
      <c r="A108" t="s">
        <v>857</v>
      </c>
      <c r="B108" t="s">
        <v>335</v>
      </c>
      <c r="C108" t="s">
        <v>858</v>
      </c>
      <c r="D108" t="s">
        <v>859</v>
      </c>
    </row>
    <row r="109" spans="1:4" x14ac:dyDescent="0.25">
      <c r="A109" t="s">
        <v>393</v>
      </c>
      <c r="B109" t="s">
        <v>247</v>
      </c>
      <c r="C109" t="s">
        <v>394</v>
      </c>
      <c r="D109" t="s">
        <v>395</v>
      </c>
    </row>
    <row r="110" spans="1:4" x14ac:dyDescent="0.25">
      <c r="A110" t="s">
        <v>396</v>
      </c>
      <c r="B110" t="s">
        <v>260</v>
      </c>
      <c r="C110" t="s">
        <v>397</v>
      </c>
      <c r="D110" t="s">
        <v>398</v>
      </c>
    </row>
    <row r="111" spans="1:4" x14ac:dyDescent="0.25">
      <c r="A111" t="s">
        <v>399</v>
      </c>
      <c r="B111" t="s">
        <v>208</v>
      </c>
      <c r="C111" t="s">
        <v>400</v>
      </c>
      <c r="D111" t="s">
        <v>401</v>
      </c>
    </row>
    <row r="112" spans="1:4" x14ac:dyDescent="0.25">
      <c r="A112" t="s">
        <v>402</v>
      </c>
      <c r="B112" t="s">
        <v>403</v>
      </c>
      <c r="C112" t="s">
        <v>404</v>
      </c>
      <c r="D112" t="s">
        <v>405</v>
      </c>
    </row>
    <row r="113" spans="1:4" x14ac:dyDescent="0.25">
      <c r="A113" t="s">
        <v>406</v>
      </c>
      <c r="B113" t="s">
        <v>208</v>
      </c>
      <c r="C113" t="s">
        <v>407</v>
      </c>
      <c r="D113" t="s">
        <v>408</v>
      </c>
    </row>
    <row r="114" spans="1:4" x14ac:dyDescent="0.25">
      <c r="A114" t="s">
        <v>860</v>
      </c>
      <c r="B114" t="s">
        <v>861</v>
      </c>
      <c r="C114" t="s">
        <v>862</v>
      </c>
      <c r="D114" t="s">
        <v>863</v>
      </c>
    </row>
    <row r="115" spans="1:4" x14ac:dyDescent="0.25">
      <c r="A115" t="s">
        <v>925</v>
      </c>
      <c r="B115" t="s">
        <v>915</v>
      </c>
      <c r="C115" t="s">
        <v>926</v>
      </c>
      <c r="D115" t="s">
        <v>927</v>
      </c>
    </row>
    <row r="116" spans="1:4" x14ac:dyDescent="0.25">
      <c r="A116" t="s">
        <v>928</v>
      </c>
      <c r="B116" t="s">
        <v>296</v>
      </c>
      <c r="C116" t="s">
        <v>929</v>
      </c>
      <c r="D116" t="s">
        <v>930</v>
      </c>
    </row>
    <row r="117" spans="1:4" x14ac:dyDescent="0.25">
      <c r="A117" t="s">
        <v>409</v>
      </c>
      <c r="B117" t="s">
        <v>410</v>
      </c>
      <c r="C117" t="s">
        <v>411</v>
      </c>
      <c r="D117" t="s">
        <v>412</v>
      </c>
    </row>
    <row r="118" spans="1:4" x14ac:dyDescent="0.25">
      <c r="A118" t="s">
        <v>864</v>
      </c>
      <c r="B118" t="s">
        <v>865</v>
      </c>
      <c r="D118" t="s">
        <v>866</v>
      </c>
    </row>
    <row r="119" spans="1:4" x14ac:dyDescent="0.25">
      <c r="A119" t="s">
        <v>867</v>
      </c>
      <c r="B119" t="s">
        <v>413</v>
      </c>
      <c r="C119" t="s">
        <v>383</v>
      </c>
      <c r="D119" t="s">
        <v>414</v>
      </c>
    </row>
    <row r="120" spans="1:4" x14ac:dyDescent="0.25">
      <c r="A120" t="s">
        <v>415</v>
      </c>
      <c r="B120" t="s">
        <v>416</v>
      </c>
      <c r="C120" t="s">
        <v>299</v>
      </c>
      <c r="D120" t="s">
        <v>417</v>
      </c>
    </row>
    <row r="121" spans="1:4" x14ac:dyDescent="0.25">
      <c r="A121" t="s">
        <v>418</v>
      </c>
      <c r="B121" t="s">
        <v>419</v>
      </c>
      <c r="D121" t="s">
        <v>420</v>
      </c>
    </row>
    <row r="122" spans="1:4" x14ac:dyDescent="0.25">
      <c r="A122" t="s">
        <v>421</v>
      </c>
      <c r="B122" s="60">
        <v>0.14000000000000001</v>
      </c>
      <c r="C122" t="s">
        <v>422</v>
      </c>
      <c r="D122" t="s">
        <v>423</v>
      </c>
    </row>
    <row r="123" spans="1:4" x14ac:dyDescent="0.25">
      <c r="A123" t="s">
        <v>424</v>
      </c>
      <c r="B123" t="s">
        <v>425</v>
      </c>
      <c r="C123" t="s">
        <v>426</v>
      </c>
      <c r="D123" t="s">
        <v>427</v>
      </c>
    </row>
    <row r="124" spans="1:4" x14ac:dyDescent="0.25">
      <c r="A124" t="s">
        <v>903</v>
      </c>
      <c r="B124" t="s">
        <v>893</v>
      </c>
      <c r="C124" t="s">
        <v>299</v>
      </c>
      <c r="D124" t="s">
        <v>904</v>
      </c>
    </row>
    <row r="125" spans="1:4" x14ac:dyDescent="0.25">
      <c r="A125" t="s">
        <v>428</v>
      </c>
      <c r="B125" t="s">
        <v>271</v>
      </c>
      <c r="C125" t="s">
        <v>429</v>
      </c>
      <c r="D125" t="s">
        <v>430</v>
      </c>
    </row>
    <row r="126" spans="1:4" x14ac:dyDescent="0.25">
      <c r="A126" t="s">
        <v>431</v>
      </c>
      <c r="B126" t="s">
        <v>432</v>
      </c>
      <c r="C126" t="s">
        <v>433</v>
      </c>
      <c r="D126" t="s">
        <v>434</v>
      </c>
    </row>
    <row r="127" spans="1:4" x14ac:dyDescent="0.25">
      <c r="A127" t="s">
        <v>868</v>
      </c>
      <c r="B127" t="s">
        <v>435</v>
      </c>
      <c r="C127" t="s">
        <v>235</v>
      </c>
      <c r="D127" t="s">
        <v>436</v>
      </c>
    </row>
    <row r="128" spans="1:4" x14ac:dyDescent="0.25">
      <c r="A128" t="s">
        <v>869</v>
      </c>
      <c r="B128" t="s">
        <v>870</v>
      </c>
      <c r="D128" t="s">
        <v>871</v>
      </c>
    </row>
    <row r="129" spans="1:4" x14ac:dyDescent="0.25">
      <c r="A129" t="s">
        <v>437</v>
      </c>
      <c r="B129" t="s">
        <v>189</v>
      </c>
      <c r="C129" t="s">
        <v>438</v>
      </c>
      <c r="D129" t="s">
        <v>439</v>
      </c>
    </row>
    <row r="130" spans="1:4" x14ac:dyDescent="0.25">
      <c r="A130" t="s">
        <v>440</v>
      </c>
      <c r="B130" t="s">
        <v>441</v>
      </c>
      <c r="C130" t="s">
        <v>442</v>
      </c>
      <c r="D130" t="s">
        <v>443</v>
      </c>
    </row>
    <row r="131" spans="1:4" x14ac:dyDescent="0.25">
      <c r="A131" t="s">
        <v>444</v>
      </c>
      <c r="B131" t="s">
        <v>445</v>
      </c>
      <c r="C131" t="s">
        <v>446</v>
      </c>
      <c r="D131" t="s">
        <v>447</v>
      </c>
    </row>
    <row r="132" spans="1:4" x14ac:dyDescent="0.25">
      <c r="A132" t="s">
        <v>872</v>
      </c>
      <c r="B132" t="s">
        <v>193</v>
      </c>
      <c r="D132" t="s">
        <v>873</v>
      </c>
    </row>
    <row r="133" spans="1:4" x14ac:dyDescent="0.25">
      <c r="A133" t="s">
        <v>874</v>
      </c>
      <c r="B133" s="61">
        <v>3.4000000000000002E-2</v>
      </c>
      <c r="C133" t="s">
        <v>404</v>
      </c>
      <c r="D133" t="s">
        <v>875</v>
      </c>
    </row>
    <row r="134" spans="1:4" x14ac:dyDescent="0.25">
      <c r="A134" t="s">
        <v>876</v>
      </c>
      <c r="B134" t="s">
        <v>877</v>
      </c>
      <c r="D134" t="s">
        <v>878</v>
      </c>
    </row>
    <row r="135" spans="1:4" x14ac:dyDescent="0.25">
      <c r="A135" t="s">
        <v>879</v>
      </c>
      <c r="B135" t="s">
        <v>170</v>
      </c>
      <c r="C135" t="s">
        <v>880</v>
      </c>
      <c r="D135" t="s">
        <v>881</v>
      </c>
    </row>
    <row r="136" spans="1:4" x14ac:dyDescent="0.25">
      <c r="A136" t="s">
        <v>882</v>
      </c>
      <c r="B136" t="s">
        <v>435</v>
      </c>
      <c r="C136" t="s">
        <v>325</v>
      </c>
      <c r="D136" t="s">
        <v>384</v>
      </c>
    </row>
    <row r="137" spans="1:4" x14ac:dyDescent="0.25">
      <c r="A137" s="24" t="s">
        <v>1642</v>
      </c>
      <c r="B137" t="s">
        <v>189</v>
      </c>
      <c r="C137" t="s">
        <v>917</v>
      </c>
      <c r="D137" t="s">
        <v>918</v>
      </c>
    </row>
    <row r="138" spans="1:4" x14ac:dyDescent="0.25">
      <c r="A138" t="s">
        <v>448</v>
      </c>
      <c r="B138" t="s">
        <v>449</v>
      </c>
      <c r="C138" t="s">
        <v>450</v>
      </c>
      <c r="D138" t="s">
        <v>451</v>
      </c>
    </row>
    <row r="139" spans="1:4" x14ac:dyDescent="0.25">
      <c r="A139" t="s">
        <v>452</v>
      </c>
      <c r="B139" t="s">
        <v>342</v>
      </c>
      <c r="D139" t="s">
        <v>453</v>
      </c>
    </row>
    <row r="140" spans="1:4" x14ac:dyDescent="0.25">
      <c r="A140" t="s">
        <v>186</v>
      </c>
      <c r="B140" t="s">
        <v>310</v>
      </c>
      <c r="C140" t="s">
        <v>235</v>
      </c>
      <c r="D140" t="s">
        <v>454</v>
      </c>
    </row>
  </sheetData>
  <sheetProtection sheet="1" objects="1" scenarios="1"/>
  <sortState ref="A2:D1210">
    <sortCondition ref="A2:A1210"/>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2"/>
  <sheetViews>
    <sheetView workbookViewId="0">
      <pane ySplit="1" topLeftCell="A2" activePane="bottomLeft" state="frozen"/>
      <selection pane="bottomLeft" activeCell="I36" sqref="I36"/>
    </sheetView>
  </sheetViews>
  <sheetFormatPr defaultRowHeight="13.2" x14ac:dyDescent="0.25"/>
  <cols>
    <col min="1" max="1" width="36.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140" customWidth="1"/>
    <col min="8" max="8" width="7.88671875" style="140" customWidth="1"/>
    <col min="9" max="9" width="136.21875" bestFit="1" customWidth="1"/>
  </cols>
  <sheetData>
    <row r="1" spans="1:9" ht="34.200000000000003" customHeight="1" x14ac:dyDescent="0.25">
      <c r="A1" s="58" t="s">
        <v>1189</v>
      </c>
      <c r="B1" s="58" t="s">
        <v>68</v>
      </c>
      <c r="C1" s="58" t="s">
        <v>455</v>
      </c>
      <c r="D1" s="58" t="s">
        <v>456</v>
      </c>
      <c r="E1" s="58" t="s">
        <v>1190</v>
      </c>
      <c r="F1" s="58" t="s">
        <v>1231</v>
      </c>
      <c r="G1" s="146" t="s">
        <v>1356</v>
      </c>
      <c r="H1" s="146" t="s">
        <v>1357</v>
      </c>
      <c r="I1" s="58" t="s">
        <v>69</v>
      </c>
    </row>
    <row r="2" spans="1:9" x14ac:dyDescent="0.25">
      <c r="A2" s="24" t="s">
        <v>1742</v>
      </c>
      <c r="B2" s="24" t="s">
        <v>457</v>
      </c>
      <c r="C2" s="24" t="s">
        <v>1743</v>
      </c>
      <c r="D2" s="24" t="s">
        <v>466</v>
      </c>
      <c r="E2" s="24" t="s">
        <v>1744</v>
      </c>
      <c r="F2" s="228">
        <v>0.74</v>
      </c>
      <c r="G2" s="220">
        <v>62</v>
      </c>
      <c r="H2" s="147">
        <v>70</v>
      </c>
      <c r="I2" s="24" t="s">
        <v>1745</v>
      </c>
    </row>
    <row r="3" spans="1:9" x14ac:dyDescent="0.25">
      <c r="A3" s="24" t="s">
        <v>1746</v>
      </c>
      <c r="B3" s="24" t="s">
        <v>457</v>
      </c>
      <c r="C3" s="24" t="s">
        <v>1743</v>
      </c>
      <c r="D3" s="24" t="s">
        <v>459</v>
      </c>
      <c r="E3" s="24" t="s">
        <v>1747</v>
      </c>
      <c r="F3" s="228">
        <v>0.73499999999999999</v>
      </c>
      <c r="G3" s="140">
        <v>62</v>
      </c>
      <c r="H3" s="147">
        <v>70</v>
      </c>
      <c r="I3" s="24" t="s">
        <v>1748</v>
      </c>
    </row>
    <row r="4" spans="1:9" x14ac:dyDescent="0.25">
      <c r="A4" s="24" t="s">
        <v>1749</v>
      </c>
      <c r="B4" s="24" t="s">
        <v>457</v>
      </c>
      <c r="C4" s="24" t="s">
        <v>1743</v>
      </c>
      <c r="D4" t="s">
        <v>473</v>
      </c>
      <c r="E4" s="24" t="s">
        <v>1294</v>
      </c>
      <c r="F4" s="228">
        <v>0.75</v>
      </c>
      <c r="G4" s="140">
        <v>60</v>
      </c>
      <c r="H4" s="147">
        <v>72</v>
      </c>
      <c r="I4" s="24" t="s">
        <v>1750</v>
      </c>
    </row>
    <row r="5" spans="1:9" x14ac:dyDescent="0.25">
      <c r="A5" s="24" t="s">
        <v>1751</v>
      </c>
      <c r="B5" s="24" t="s">
        <v>457</v>
      </c>
      <c r="C5" s="24" t="s">
        <v>1743</v>
      </c>
      <c r="D5" s="24" t="s">
        <v>581</v>
      </c>
      <c r="E5" s="24" t="s">
        <v>1752</v>
      </c>
      <c r="F5" s="228">
        <v>0.71499999999999997</v>
      </c>
      <c r="G5" s="140">
        <v>64</v>
      </c>
      <c r="H5" s="147">
        <v>70</v>
      </c>
      <c r="I5" s="24" t="s">
        <v>1753</v>
      </c>
    </row>
    <row r="6" spans="1:9" x14ac:dyDescent="0.25">
      <c r="A6" s="24" t="s">
        <v>1754</v>
      </c>
      <c r="B6" s="24" t="s">
        <v>457</v>
      </c>
      <c r="C6" s="24" t="s">
        <v>1743</v>
      </c>
      <c r="D6" s="24" t="s">
        <v>459</v>
      </c>
      <c r="E6" s="24" t="s">
        <v>600</v>
      </c>
      <c r="F6" s="228">
        <v>0.73</v>
      </c>
      <c r="G6" s="220">
        <v>62</v>
      </c>
      <c r="H6" s="147">
        <v>72</v>
      </c>
      <c r="I6" s="24" t="s">
        <v>1755</v>
      </c>
    </row>
    <row r="7" spans="1:9" x14ac:dyDescent="0.25">
      <c r="A7" s="24" t="s">
        <v>1756</v>
      </c>
      <c r="B7" s="24" t="s">
        <v>457</v>
      </c>
      <c r="C7" s="24" t="s">
        <v>1743</v>
      </c>
      <c r="D7" s="24" t="s">
        <v>459</v>
      </c>
      <c r="E7" s="24" t="s">
        <v>479</v>
      </c>
      <c r="F7" s="228">
        <v>0.74</v>
      </c>
      <c r="G7" s="220">
        <v>60</v>
      </c>
      <c r="H7" s="147">
        <v>72</v>
      </c>
      <c r="I7" s="24" t="s">
        <v>1757</v>
      </c>
    </row>
    <row r="8" spans="1:9" x14ac:dyDescent="0.25">
      <c r="A8" s="24" t="s">
        <v>1758</v>
      </c>
      <c r="B8" s="24" t="s">
        <v>457</v>
      </c>
      <c r="C8" s="24" t="s">
        <v>1743</v>
      </c>
      <c r="D8" s="24" t="s">
        <v>462</v>
      </c>
      <c r="E8" s="24" t="s">
        <v>474</v>
      </c>
      <c r="F8" s="228">
        <v>0.75</v>
      </c>
      <c r="G8" s="220">
        <v>60</v>
      </c>
      <c r="H8" s="147">
        <v>70</v>
      </c>
      <c r="I8" s="24" t="s">
        <v>1759</v>
      </c>
    </row>
    <row r="9" spans="1:9" x14ac:dyDescent="0.25">
      <c r="A9" s="24" t="s">
        <v>1760</v>
      </c>
      <c r="B9" s="24" t="s">
        <v>457</v>
      </c>
      <c r="C9" s="24" t="s">
        <v>1743</v>
      </c>
      <c r="D9" s="24" t="s">
        <v>468</v>
      </c>
      <c r="E9" s="24" t="s">
        <v>485</v>
      </c>
      <c r="F9" s="228">
        <v>0.76</v>
      </c>
      <c r="G9" s="220">
        <v>67</v>
      </c>
      <c r="H9" s="147">
        <v>80</v>
      </c>
      <c r="I9" s="24" t="s">
        <v>1761</v>
      </c>
    </row>
    <row r="10" spans="1:9" x14ac:dyDescent="0.25">
      <c r="A10" s="24" t="s">
        <v>1762</v>
      </c>
      <c r="B10" s="24" t="s">
        <v>457</v>
      </c>
      <c r="C10" s="24" t="s">
        <v>1743</v>
      </c>
      <c r="D10" s="24" t="s">
        <v>459</v>
      </c>
      <c r="E10" s="24" t="s">
        <v>485</v>
      </c>
      <c r="F10" s="228">
        <v>0.76</v>
      </c>
      <c r="G10" s="220">
        <v>64</v>
      </c>
      <c r="H10" s="147">
        <v>74</v>
      </c>
      <c r="I10" s="24" t="s">
        <v>1763</v>
      </c>
    </row>
    <row r="11" spans="1:9" x14ac:dyDescent="0.25">
      <c r="A11" s="24" t="s">
        <v>1764</v>
      </c>
      <c r="B11" s="24" t="s">
        <v>457</v>
      </c>
      <c r="C11" s="24" t="s">
        <v>1743</v>
      </c>
      <c r="D11" s="24" t="s">
        <v>459</v>
      </c>
      <c r="E11" s="24" t="s">
        <v>469</v>
      </c>
      <c r="F11" s="228">
        <v>0.72499999999999998</v>
      </c>
      <c r="G11" s="220">
        <v>65</v>
      </c>
      <c r="H11" s="147">
        <v>70</v>
      </c>
      <c r="I11" s="24" t="s">
        <v>1765</v>
      </c>
    </row>
    <row r="12" spans="1:9" x14ac:dyDescent="0.25">
      <c r="A12" s="24" t="s">
        <v>1766</v>
      </c>
      <c r="B12" s="24" t="s">
        <v>457</v>
      </c>
      <c r="C12" s="24" t="s">
        <v>1743</v>
      </c>
      <c r="D12" s="24" t="s">
        <v>459</v>
      </c>
      <c r="E12" s="24" t="s">
        <v>1767</v>
      </c>
      <c r="F12" s="228">
        <v>0.74</v>
      </c>
      <c r="G12" s="220">
        <v>64</v>
      </c>
      <c r="H12" s="147">
        <v>74</v>
      </c>
      <c r="I12" s="24" t="s">
        <v>1768</v>
      </c>
    </row>
    <row r="13" spans="1:9" x14ac:dyDescent="0.25">
      <c r="A13" t="s">
        <v>1018</v>
      </c>
      <c r="B13" t="s">
        <v>532</v>
      </c>
      <c r="C13" t="s">
        <v>955</v>
      </c>
      <c r="D13" t="s">
        <v>468</v>
      </c>
      <c r="E13" t="s">
        <v>466</v>
      </c>
      <c r="F13" s="75"/>
      <c r="G13" s="55">
        <v>63</v>
      </c>
      <c r="H13" s="147">
        <v>77</v>
      </c>
      <c r="I13" t="s">
        <v>1019</v>
      </c>
    </row>
    <row r="14" spans="1:9" x14ac:dyDescent="0.25">
      <c r="A14" t="s">
        <v>461</v>
      </c>
      <c r="B14" t="s">
        <v>457</v>
      </c>
      <c r="C14" t="s">
        <v>458</v>
      </c>
      <c r="D14" t="s">
        <v>462</v>
      </c>
      <c r="E14" t="s">
        <v>460</v>
      </c>
      <c r="F14" s="75">
        <v>0.77500000000000002</v>
      </c>
      <c r="G14" s="220">
        <v>66</v>
      </c>
      <c r="H14" s="147">
        <v>72</v>
      </c>
      <c r="I14" t="s">
        <v>463</v>
      </c>
    </row>
    <row r="15" spans="1:9" x14ac:dyDescent="0.25">
      <c r="A15" t="s">
        <v>1020</v>
      </c>
      <c r="B15" t="s">
        <v>457</v>
      </c>
      <c r="C15" t="s">
        <v>458</v>
      </c>
      <c r="D15" t="s">
        <v>459</v>
      </c>
      <c r="E15" t="s">
        <v>459</v>
      </c>
      <c r="F15" s="75">
        <v>0.78</v>
      </c>
      <c r="G15" s="220">
        <v>66</v>
      </c>
      <c r="H15" s="147">
        <v>72</v>
      </c>
      <c r="I15" t="s">
        <v>1021</v>
      </c>
    </row>
    <row r="16" spans="1:9" x14ac:dyDescent="0.25">
      <c r="A16" t="s">
        <v>464</v>
      </c>
      <c r="B16" t="s">
        <v>457</v>
      </c>
      <c r="C16" t="s">
        <v>465</v>
      </c>
      <c r="D16" t="s">
        <v>459</v>
      </c>
      <c r="E16" t="s">
        <v>466</v>
      </c>
      <c r="F16" s="75"/>
      <c r="G16" s="220">
        <v>59</v>
      </c>
      <c r="H16" s="147">
        <v>68</v>
      </c>
      <c r="I16" t="s">
        <v>1178</v>
      </c>
    </row>
    <row r="17" spans="1:9" x14ac:dyDescent="0.25">
      <c r="A17" t="s">
        <v>467</v>
      </c>
      <c r="B17" t="s">
        <v>457</v>
      </c>
      <c r="C17" t="s">
        <v>458</v>
      </c>
      <c r="D17" t="s">
        <v>468</v>
      </c>
      <c r="E17" t="s">
        <v>469</v>
      </c>
      <c r="F17" s="75">
        <v>0.72499999999999998</v>
      </c>
      <c r="G17" s="220">
        <v>65</v>
      </c>
      <c r="H17" s="147">
        <v>69</v>
      </c>
      <c r="I17" t="s">
        <v>470</v>
      </c>
    </row>
    <row r="18" spans="1:9" x14ac:dyDescent="0.25">
      <c r="A18" t="s">
        <v>471</v>
      </c>
      <c r="B18" t="s">
        <v>457</v>
      </c>
      <c r="C18" t="s">
        <v>472</v>
      </c>
      <c r="D18" t="s">
        <v>473</v>
      </c>
      <c r="E18" t="s">
        <v>474</v>
      </c>
      <c r="F18" s="75">
        <v>0.75</v>
      </c>
      <c r="G18" s="220">
        <v>60</v>
      </c>
      <c r="H18" s="147">
        <v>72</v>
      </c>
      <c r="I18" t="s">
        <v>475</v>
      </c>
    </row>
    <row r="19" spans="1:9" x14ac:dyDescent="0.25">
      <c r="A19" t="s">
        <v>476</v>
      </c>
      <c r="B19" t="s">
        <v>457</v>
      </c>
      <c r="C19" t="s">
        <v>465</v>
      </c>
      <c r="D19" t="s">
        <v>459</v>
      </c>
      <c r="E19" t="s">
        <v>466</v>
      </c>
      <c r="F19" s="75"/>
      <c r="G19" s="220">
        <v>64</v>
      </c>
      <c r="H19" s="147">
        <v>72</v>
      </c>
      <c r="I19" t="s">
        <v>953</v>
      </c>
    </row>
    <row r="20" spans="1:9" x14ac:dyDescent="0.25">
      <c r="A20" t="s">
        <v>478</v>
      </c>
      <c r="B20" t="s">
        <v>457</v>
      </c>
      <c r="C20" t="s">
        <v>472</v>
      </c>
      <c r="D20" t="s">
        <v>459</v>
      </c>
      <c r="E20" t="s">
        <v>479</v>
      </c>
      <c r="F20" s="75">
        <v>0.74</v>
      </c>
      <c r="G20" s="220">
        <v>60</v>
      </c>
      <c r="H20" s="147">
        <v>72</v>
      </c>
      <c r="I20" t="s">
        <v>480</v>
      </c>
    </row>
    <row r="21" spans="1:9" x14ac:dyDescent="0.25">
      <c r="A21" t="s">
        <v>481</v>
      </c>
      <c r="B21" t="s">
        <v>457</v>
      </c>
      <c r="C21" t="s">
        <v>458</v>
      </c>
      <c r="D21" t="s">
        <v>459</v>
      </c>
      <c r="E21" t="s">
        <v>482</v>
      </c>
      <c r="F21" s="75">
        <v>0.75</v>
      </c>
      <c r="G21" s="220">
        <v>68</v>
      </c>
      <c r="H21" s="147">
        <v>72</v>
      </c>
      <c r="I21" t="s">
        <v>483</v>
      </c>
    </row>
    <row r="22" spans="1:9" x14ac:dyDescent="0.25">
      <c r="A22" t="s">
        <v>1022</v>
      </c>
      <c r="B22" t="s">
        <v>457</v>
      </c>
      <c r="C22" t="s">
        <v>458</v>
      </c>
      <c r="D22" t="s">
        <v>459</v>
      </c>
      <c r="E22" t="s">
        <v>459</v>
      </c>
      <c r="F22" s="75">
        <v>0.78500000000000003</v>
      </c>
      <c r="G22" s="220">
        <v>68</v>
      </c>
      <c r="H22" s="147">
        <v>72</v>
      </c>
      <c r="I22" t="s">
        <v>1023</v>
      </c>
    </row>
    <row r="23" spans="1:9" x14ac:dyDescent="0.25">
      <c r="A23" t="s">
        <v>986</v>
      </c>
      <c r="B23" t="s">
        <v>457</v>
      </c>
      <c r="C23" t="s">
        <v>465</v>
      </c>
      <c r="D23" t="s">
        <v>466</v>
      </c>
      <c r="E23" t="s">
        <v>459</v>
      </c>
      <c r="F23" s="75"/>
      <c r="G23" s="220">
        <v>68</v>
      </c>
      <c r="H23" s="147">
        <v>72</v>
      </c>
      <c r="I23" t="s">
        <v>987</v>
      </c>
    </row>
    <row r="24" spans="1:9" x14ac:dyDescent="0.25">
      <c r="A24" t="s">
        <v>988</v>
      </c>
      <c r="B24" t="s">
        <v>457</v>
      </c>
      <c r="C24" t="s">
        <v>472</v>
      </c>
      <c r="D24" t="s">
        <v>459</v>
      </c>
      <c r="E24" t="s">
        <v>460</v>
      </c>
      <c r="F24" s="75">
        <v>0.77500000000000002</v>
      </c>
      <c r="G24" s="220">
        <v>48</v>
      </c>
      <c r="H24" s="147">
        <v>58</v>
      </c>
      <c r="I24" t="s">
        <v>989</v>
      </c>
    </row>
    <row r="25" spans="1:9" x14ac:dyDescent="0.25">
      <c r="A25" t="s">
        <v>990</v>
      </c>
      <c r="B25" t="s">
        <v>457</v>
      </c>
      <c r="C25" t="s">
        <v>458</v>
      </c>
      <c r="D25" t="s">
        <v>459</v>
      </c>
      <c r="E25" t="s">
        <v>460</v>
      </c>
      <c r="F25" s="75">
        <v>0.77500000000000002</v>
      </c>
      <c r="G25" s="220">
        <v>50</v>
      </c>
      <c r="H25" s="147">
        <v>55</v>
      </c>
      <c r="I25" t="s">
        <v>991</v>
      </c>
    </row>
    <row r="26" spans="1:9" x14ac:dyDescent="0.25">
      <c r="A26" t="s">
        <v>954</v>
      </c>
      <c r="B26" t="s">
        <v>532</v>
      </c>
      <c r="C26" t="s">
        <v>955</v>
      </c>
      <c r="D26" t="s">
        <v>459</v>
      </c>
      <c r="E26" t="s">
        <v>459</v>
      </c>
      <c r="F26" s="75"/>
      <c r="G26" s="220">
        <v>59</v>
      </c>
      <c r="H26" s="147">
        <v>72</v>
      </c>
      <c r="I26" t="s">
        <v>477</v>
      </c>
    </row>
    <row r="27" spans="1:9" x14ac:dyDescent="0.25">
      <c r="A27" t="s">
        <v>484</v>
      </c>
      <c r="B27" t="s">
        <v>457</v>
      </c>
      <c r="C27" t="s">
        <v>472</v>
      </c>
      <c r="D27" t="s">
        <v>468</v>
      </c>
      <c r="E27" t="s">
        <v>485</v>
      </c>
      <c r="F27" s="75">
        <v>0.76</v>
      </c>
      <c r="G27" s="220">
        <v>58</v>
      </c>
      <c r="H27" s="147">
        <v>74</v>
      </c>
      <c r="I27" t="s">
        <v>486</v>
      </c>
    </row>
    <row r="28" spans="1:9" x14ac:dyDescent="0.25">
      <c r="A28" t="s">
        <v>1131</v>
      </c>
      <c r="B28" t="s">
        <v>457</v>
      </c>
      <c r="C28" t="s">
        <v>458</v>
      </c>
      <c r="D28" t="s">
        <v>459</v>
      </c>
      <c r="E28" t="s">
        <v>1132</v>
      </c>
      <c r="F28" s="75">
        <v>0.79</v>
      </c>
      <c r="G28" s="220">
        <v>75</v>
      </c>
      <c r="H28" s="147">
        <v>82</v>
      </c>
      <c r="I28" t="s">
        <v>1133</v>
      </c>
    </row>
    <row r="29" spans="1:9" x14ac:dyDescent="0.25">
      <c r="A29" t="s">
        <v>1024</v>
      </c>
      <c r="B29" t="s">
        <v>457</v>
      </c>
      <c r="C29" t="s">
        <v>458</v>
      </c>
      <c r="D29" t="s">
        <v>459</v>
      </c>
      <c r="E29" t="s">
        <v>459</v>
      </c>
      <c r="F29" s="75">
        <v>0.76500000000000001</v>
      </c>
      <c r="G29" s="220">
        <v>67</v>
      </c>
      <c r="H29" s="147">
        <v>70</v>
      </c>
      <c r="I29" t="s">
        <v>1025</v>
      </c>
    </row>
    <row r="30" spans="1:9" x14ac:dyDescent="0.25">
      <c r="A30" t="s">
        <v>487</v>
      </c>
      <c r="B30" t="s">
        <v>457</v>
      </c>
      <c r="C30" t="s">
        <v>458</v>
      </c>
      <c r="D30" t="s">
        <v>466</v>
      </c>
      <c r="E30" t="s">
        <v>469</v>
      </c>
      <c r="F30" s="75">
        <v>0.72499999999999998</v>
      </c>
      <c r="G30" s="220">
        <v>65</v>
      </c>
      <c r="H30" s="147">
        <v>70</v>
      </c>
      <c r="I30" t="s">
        <v>488</v>
      </c>
    </row>
    <row r="31" spans="1:9" x14ac:dyDescent="0.25">
      <c r="A31" s="24" t="s">
        <v>1775</v>
      </c>
      <c r="B31" s="24" t="s">
        <v>457</v>
      </c>
      <c r="C31" s="24" t="s">
        <v>1743</v>
      </c>
      <c r="D31" s="24" t="s">
        <v>473</v>
      </c>
      <c r="E31" s="24" t="s">
        <v>1767</v>
      </c>
      <c r="F31" s="228">
        <v>0.74</v>
      </c>
      <c r="G31" s="220">
        <v>62</v>
      </c>
      <c r="H31" s="147">
        <v>72</v>
      </c>
      <c r="I31" s="24" t="s">
        <v>1776</v>
      </c>
    </row>
    <row r="32" spans="1:9" x14ac:dyDescent="0.25">
      <c r="A32" s="24" t="s">
        <v>1777</v>
      </c>
      <c r="B32" s="24" t="s">
        <v>457</v>
      </c>
      <c r="C32" s="24" t="s">
        <v>1743</v>
      </c>
      <c r="D32" s="24" t="s">
        <v>462</v>
      </c>
      <c r="E32" s="24" t="s">
        <v>1767</v>
      </c>
      <c r="F32" s="228">
        <v>0.74</v>
      </c>
      <c r="G32" s="220">
        <v>65</v>
      </c>
      <c r="H32" s="147">
        <v>75</v>
      </c>
      <c r="I32" s="24" t="s">
        <v>1778</v>
      </c>
    </row>
    <row r="33" spans="1:9" x14ac:dyDescent="0.25">
      <c r="A33" s="24" t="s">
        <v>1779</v>
      </c>
      <c r="B33" s="24" t="s">
        <v>457</v>
      </c>
      <c r="C33" s="24" t="s">
        <v>1743</v>
      </c>
      <c r="D33" s="24" t="s">
        <v>459</v>
      </c>
      <c r="E33" s="24" t="s">
        <v>1309</v>
      </c>
      <c r="F33" s="228">
        <v>0.76</v>
      </c>
      <c r="G33" s="140">
        <v>65</v>
      </c>
      <c r="H33" s="147">
        <v>77</v>
      </c>
      <c r="I33" s="24" t="s">
        <v>1780</v>
      </c>
    </row>
    <row r="34" spans="1:9" x14ac:dyDescent="0.25">
      <c r="A34" s="24" t="s">
        <v>1781</v>
      </c>
      <c r="B34" s="24" t="s">
        <v>457</v>
      </c>
      <c r="C34" s="24" t="s">
        <v>1743</v>
      </c>
      <c r="D34" s="24" t="s">
        <v>459</v>
      </c>
      <c r="E34" s="24" t="s">
        <v>1782</v>
      </c>
      <c r="F34" s="228">
        <v>0.745</v>
      </c>
      <c r="G34" s="140">
        <v>65</v>
      </c>
      <c r="H34" s="147">
        <v>75</v>
      </c>
      <c r="I34" s="24" t="s">
        <v>1783</v>
      </c>
    </row>
    <row r="35" spans="1:9" x14ac:dyDescent="0.25">
      <c r="A35" s="24" t="s">
        <v>1784</v>
      </c>
      <c r="B35" s="24" t="s">
        <v>457</v>
      </c>
      <c r="C35" s="24" t="s">
        <v>1743</v>
      </c>
      <c r="D35" s="24" t="s">
        <v>459</v>
      </c>
      <c r="E35" s="24" t="s">
        <v>1767</v>
      </c>
      <c r="F35" s="228">
        <v>0.74</v>
      </c>
      <c r="G35" s="140">
        <v>68</v>
      </c>
      <c r="H35" s="147">
        <v>80</v>
      </c>
      <c r="I35" s="24" t="s">
        <v>1785</v>
      </c>
    </row>
    <row r="36" spans="1:9" x14ac:dyDescent="0.25">
      <c r="A36" s="24" t="s">
        <v>1786</v>
      </c>
      <c r="B36" s="24" t="s">
        <v>457</v>
      </c>
      <c r="C36" s="24" t="s">
        <v>1743</v>
      </c>
      <c r="D36" s="24" t="s">
        <v>459</v>
      </c>
      <c r="E36" s="24" t="s">
        <v>1309</v>
      </c>
      <c r="F36" s="228">
        <v>0.76</v>
      </c>
      <c r="G36" s="140">
        <v>68</v>
      </c>
      <c r="H36" s="147">
        <v>78</v>
      </c>
      <c r="I36" s="24" t="s">
        <v>1787</v>
      </c>
    </row>
    <row r="37" spans="1:9" x14ac:dyDescent="0.25">
      <c r="A37" s="24" t="s">
        <v>1788</v>
      </c>
      <c r="B37" s="24" t="s">
        <v>457</v>
      </c>
      <c r="C37" s="24" t="s">
        <v>1743</v>
      </c>
      <c r="D37" s="24" t="s">
        <v>468</v>
      </c>
      <c r="E37" s="24" t="s">
        <v>1311</v>
      </c>
      <c r="F37" s="228">
        <v>0.8</v>
      </c>
      <c r="G37" s="140">
        <v>65</v>
      </c>
      <c r="H37" s="147">
        <v>78</v>
      </c>
      <c r="I37" s="24" t="s">
        <v>1789</v>
      </c>
    </row>
    <row r="38" spans="1:9" x14ac:dyDescent="0.25">
      <c r="A38" t="s">
        <v>1171</v>
      </c>
      <c r="B38" t="s">
        <v>457</v>
      </c>
      <c r="C38" t="s">
        <v>970</v>
      </c>
      <c r="D38" t="s">
        <v>459</v>
      </c>
      <c r="E38" t="s">
        <v>459</v>
      </c>
      <c r="F38" s="75"/>
      <c r="G38" s="140">
        <v>75</v>
      </c>
      <c r="H38" s="147">
        <v>78</v>
      </c>
      <c r="I38" t="s">
        <v>1172</v>
      </c>
    </row>
    <row r="39" spans="1:9" x14ac:dyDescent="0.25">
      <c r="A39" t="s">
        <v>489</v>
      </c>
      <c r="B39" t="s">
        <v>457</v>
      </c>
      <c r="C39" t="s">
        <v>458</v>
      </c>
      <c r="D39" t="s">
        <v>459</v>
      </c>
      <c r="E39" t="s">
        <v>490</v>
      </c>
      <c r="F39" s="75">
        <v>0.77</v>
      </c>
      <c r="G39" s="140">
        <v>66</v>
      </c>
      <c r="H39" s="147">
        <v>72</v>
      </c>
      <c r="I39" t="s">
        <v>491</v>
      </c>
    </row>
    <row r="40" spans="1:9" x14ac:dyDescent="0.25">
      <c r="A40" t="s">
        <v>1099</v>
      </c>
      <c r="B40" t="s">
        <v>457</v>
      </c>
      <c r="C40" t="s">
        <v>472</v>
      </c>
      <c r="D40" t="s">
        <v>459</v>
      </c>
      <c r="E40" t="s">
        <v>474</v>
      </c>
      <c r="F40" s="75">
        <v>0.75</v>
      </c>
      <c r="G40" s="140">
        <v>46</v>
      </c>
      <c r="H40" s="147">
        <v>58</v>
      </c>
      <c r="I40" t="s">
        <v>1100</v>
      </c>
    </row>
    <row r="41" spans="1:9" x14ac:dyDescent="0.25">
      <c r="A41" t="s">
        <v>492</v>
      </c>
      <c r="B41" t="s">
        <v>457</v>
      </c>
      <c r="C41" t="s">
        <v>458</v>
      </c>
      <c r="D41" t="s">
        <v>468</v>
      </c>
      <c r="E41" t="s">
        <v>474</v>
      </c>
      <c r="F41" s="75">
        <v>0.75</v>
      </c>
      <c r="G41" s="140">
        <v>66</v>
      </c>
      <c r="H41" s="147">
        <v>70</v>
      </c>
      <c r="I41" t="s">
        <v>493</v>
      </c>
    </row>
    <row r="42" spans="1:9" x14ac:dyDescent="0.25">
      <c r="A42" t="s">
        <v>494</v>
      </c>
      <c r="B42" t="s">
        <v>457</v>
      </c>
      <c r="C42" t="s">
        <v>465</v>
      </c>
      <c r="D42" t="s">
        <v>466</v>
      </c>
      <c r="E42" t="s">
        <v>459</v>
      </c>
      <c r="F42" s="75"/>
      <c r="G42" s="140">
        <v>50</v>
      </c>
      <c r="H42" s="147">
        <v>57</v>
      </c>
      <c r="I42" t="s">
        <v>495</v>
      </c>
    </row>
    <row r="43" spans="1:9" x14ac:dyDescent="0.25">
      <c r="A43" t="s">
        <v>497</v>
      </c>
      <c r="B43" t="s">
        <v>457</v>
      </c>
      <c r="C43" t="s">
        <v>472</v>
      </c>
      <c r="D43" t="s">
        <v>468</v>
      </c>
      <c r="E43" t="s">
        <v>498</v>
      </c>
      <c r="F43" s="75">
        <v>0.73</v>
      </c>
      <c r="G43" s="140">
        <v>64</v>
      </c>
      <c r="H43" s="147">
        <v>75</v>
      </c>
      <c r="I43" t="s">
        <v>499</v>
      </c>
    </row>
    <row r="44" spans="1:9" x14ac:dyDescent="0.25">
      <c r="A44" t="s">
        <v>1182</v>
      </c>
      <c r="B44" t="s">
        <v>457</v>
      </c>
      <c r="C44" t="s">
        <v>472</v>
      </c>
      <c r="D44" t="s">
        <v>459</v>
      </c>
      <c r="E44" t="s">
        <v>474</v>
      </c>
      <c r="F44" s="75">
        <v>0.75</v>
      </c>
      <c r="G44" s="140">
        <v>64</v>
      </c>
      <c r="H44" s="147">
        <v>74</v>
      </c>
      <c r="I44" t="s">
        <v>496</v>
      </c>
    </row>
    <row r="45" spans="1:9" x14ac:dyDescent="0.25">
      <c r="A45" t="s">
        <v>1183</v>
      </c>
      <c r="B45" t="s">
        <v>532</v>
      </c>
      <c r="C45" t="s">
        <v>982</v>
      </c>
      <c r="D45" t="s">
        <v>468</v>
      </c>
      <c r="E45" t="s">
        <v>459</v>
      </c>
      <c r="F45" s="75"/>
      <c r="G45" s="140">
        <v>59</v>
      </c>
      <c r="H45" s="147">
        <v>86</v>
      </c>
      <c r="I45" t="s">
        <v>1184</v>
      </c>
    </row>
    <row r="46" spans="1:9" x14ac:dyDescent="0.25">
      <c r="A46" t="s">
        <v>500</v>
      </c>
      <c r="B46" t="s">
        <v>457</v>
      </c>
      <c r="C46" t="s">
        <v>458</v>
      </c>
      <c r="D46" t="s">
        <v>466</v>
      </c>
      <c r="E46" t="s">
        <v>482</v>
      </c>
      <c r="F46" s="75">
        <v>0.75</v>
      </c>
      <c r="G46" s="140">
        <v>65</v>
      </c>
      <c r="H46" s="147">
        <v>70</v>
      </c>
      <c r="I46" t="s">
        <v>501</v>
      </c>
    </row>
    <row r="47" spans="1:9" x14ac:dyDescent="0.25">
      <c r="A47" t="s">
        <v>1272</v>
      </c>
      <c r="B47" t="s">
        <v>457</v>
      </c>
      <c r="C47" t="s">
        <v>970</v>
      </c>
      <c r="D47" t="s">
        <v>459</v>
      </c>
      <c r="E47" t="s">
        <v>459</v>
      </c>
      <c r="F47" s="75">
        <v>0.75</v>
      </c>
      <c r="G47" s="140">
        <v>66</v>
      </c>
      <c r="H47" s="147">
        <v>72</v>
      </c>
      <c r="I47" t="s">
        <v>1280</v>
      </c>
    </row>
    <row r="48" spans="1:9" x14ac:dyDescent="0.25">
      <c r="A48" t="s">
        <v>1026</v>
      </c>
      <c r="B48" t="s">
        <v>457</v>
      </c>
      <c r="C48" t="s">
        <v>970</v>
      </c>
      <c r="D48" t="s">
        <v>459</v>
      </c>
      <c r="E48" t="s">
        <v>1271</v>
      </c>
      <c r="F48" s="75">
        <v>0.75</v>
      </c>
      <c r="G48" s="140">
        <v>66</v>
      </c>
      <c r="H48" s="147">
        <v>72</v>
      </c>
      <c r="I48" t="s">
        <v>1277</v>
      </c>
    </row>
    <row r="49" spans="1:9" x14ac:dyDescent="0.25">
      <c r="A49" t="s">
        <v>1096</v>
      </c>
      <c r="B49" t="s">
        <v>457</v>
      </c>
      <c r="C49" t="s">
        <v>472</v>
      </c>
      <c r="D49" t="s">
        <v>473</v>
      </c>
      <c r="E49" t="s">
        <v>485</v>
      </c>
      <c r="F49" s="75">
        <v>0.76</v>
      </c>
      <c r="G49" s="140">
        <v>68</v>
      </c>
      <c r="H49" s="147">
        <v>78</v>
      </c>
      <c r="I49" t="s">
        <v>504</v>
      </c>
    </row>
    <row r="50" spans="1:9" x14ac:dyDescent="0.25">
      <c r="A50" t="s">
        <v>502</v>
      </c>
      <c r="B50" t="s">
        <v>457</v>
      </c>
      <c r="C50" t="s">
        <v>472</v>
      </c>
      <c r="D50" t="s">
        <v>459</v>
      </c>
      <c r="E50" t="s">
        <v>474</v>
      </c>
      <c r="F50" s="75">
        <v>0.75</v>
      </c>
      <c r="G50" s="140">
        <v>65</v>
      </c>
      <c r="H50" s="147">
        <v>75</v>
      </c>
      <c r="I50" t="s">
        <v>503</v>
      </c>
    </row>
    <row r="51" spans="1:9" x14ac:dyDescent="0.25">
      <c r="A51" t="s">
        <v>505</v>
      </c>
      <c r="B51" t="s">
        <v>457</v>
      </c>
      <c r="C51" t="s">
        <v>458</v>
      </c>
      <c r="D51" t="s">
        <v>459</v>
      </c>
      <c r="E51" t="s">
        <v>506</v>
      </c>
      <c r="F51" s="75">
        <v>0.81499999999999995</v>
      </c>
      <c r="G51" s="140">
        <v>68</v>
      </c>
      <c r="H51" s="147">
        <v>78</v>
      </c>
      <c r="I51" t="s">
        <v>507</v>
      </c>
    </row>
    <row r="52" spans="1:9" x14ac:dyDescent="0.25">
      <c r="A52" t="s">
        <v>1027</v>
      </c>
      <c r="B52" t="s">
        <v>532</v>
      </c>
      <c r="C52" t="s">
        <v>982</v>
      </c>
      <c r="D52" t="s">
        <v>459</v>
      </c>
      <c r="E52" t="s">
        <v>466</v>
      </c>
      <c r="F52" s="75"/>
      <c r="G52" s="140">
        <v>79</v>
      </c>
      <c r="H52" s="147">
        <v>90</v>
      </c>
      <c r="I52" t="s">
        <v>1028</v>
      </c>
    </row>
    <row r="53" spans="1:9" x14ac:dyDescent="0.25">
      <c r="A53" t="s">
        <v>508</v>
      </c>
      <c r="B53" t="s">
        <v>457</v>
      </c>
      <c r="C53" t="s">
        <v>472</v>
      </c>
      <c r="D53" t="s">
        <v>466</v>
      </c>
      <c r="E53" t="s">
        <v>479</v>
      </c>
      <c r="F53" s="75">
        <v>0.74</v>
      </c>
      <c r="G53" s="140">
        <v>65</v>
      </c>
      <c r="H53" s="147">
        <v>85</v>
      </c>
      <c r="I53" t="s">
        <v>509</v>
      </c>
    </row>
    <row r="54" spans="1:9" x14ac:dyDescent="0.25">
      <c r="A54" t="s">
        <v>1029</v>
      </c>
      <c r="B54" t="s">
        <v>457</v>
      </c>
      <c r="C54" t="s">
        <v>472</v>
      </c>
      <c r="D54" t="s">
        <v>459</v>
      </c>
      <c r="E54" t="s">
        <v>1288</v>
      </c>
      <c r="F54" s="75">
        <v>0.76500000000000001</v>
      </c>
      <c r="G54" s="140">
        <v>65</v>
      </c>
      <c r="H54" s="147">
        <v>80</v>
      </c>
      <c r="I54" t="s">
        <v>1289</v>
      </c>
    </row>
    <row r="55" spans="1:9" x14ac:dyDescent="0.25">
      <c r="A55" t="s">
        <v>510</v>
      </c>
      <c r="B55" t="s">
        <v>457</v>
      </c>
      <c r="C55" t="s">
        <v>458</v>
      </c>
      <c r="D55" t="s">
        <v>468</v>
      </c>
      <c r="E55" t="s">
        <v>511</v>
      </c>
      <c r="F55" s="75">
        <v>0.755</v>
      </c>
      <c r="G55" s="140">
        <v>68</v>
      </c>
      <c r="H55" s="147">
        <v>75</v>
      </c>
      <c r="I55" t="s">
        <v>512</v>
      </c>
    </row>
    <row r="56" spans="1:9" x14ac:dyDescent="0.25">
      <c r="A56" t="s">
        <v>992</v>
      </c>
      <c r="B56" t="s">
        <v>457</v>
      </c>
      <c r="C56" t="s">
        <v>458</v>
      </c>
      <c r="D56" t="s">
        <v>459</v>
      </c>
      <c r="E56" t="s">
        <v>459</v>
      </c>
      <c r="F56" s="75">
        <v>0.75</v>
      </c>
      <c r="G56" s="140">
        <v>50</v>
      </c>
      <c r="H56" s="147">
        <v>55</v>
      </c>
      <c r="I56" t="s">
        <v>993</v>
      </c>
    </row>
    <row r="57" spans="1:9" x14ac:dyDescent="0.25">
      <c r="A57" t="s">
        <v>1055</v>
      </c>
      <c r="B57" t="s">
        <v>457</v>
      </c>
      <c r="C57" t="s">
        <v>472</v>
      </c>
      <c r="D57" t="s">
        <v>473</v>
      </c>
      <c r="E57" t="s">
        <v>517</v>
      </c>
      <c r="F57" s="75">
        <v>0.7</v>
      </c>
      <c r="G57" s="140">
        <v>63</v>
      </c>
      <c r="H57" s="147">
        <v>75</v>
      </c>
      <c r="I57" t="s">
        <v>1056</v>
      </c>
    </row>
    <row r="58" spans="1:9" x14ac:dyDescent="0.25">
      <c r="A58" t="s">
        <v>513</v>
      </c>
      <c r="B58" t="s">
        <v>457</v>
      </c>
      <c r="C58" t="s">
        <v>472</v>
      </c>
      <c r="D58" t="s">
        <v>468</v>
      </c>
      <c r="E58" t="s">
        <v>514</v>
      </c>
      <c r="F58" s="75">
        <v>0.78</v>
      </c>
      <c r="G58" s="140">
        <v>70</v>
      </c>
      <c r="H58" s="147">
        <v>95</v>
      </c>
      <c r="I58" t="s">
        <v>515</v>
      </c>
    </row>
    <row r="59" spans="1:9" x14ac:dyDescent="0.25">
      <c r="A59" t="s">
        <v>516</v>
      </c>
      <c r="B59" t="s">
        <v>457</v>
      </c>
      <c r="C59" t="s">
        <v>458</v>
      </c>
      <c r="D59" t="s">
        <v>459</v>
      </c>
      <c r="E59" t="s">
        <v>517</v>
      </c>
      <c r="F59" s="75">
        <v>0.7</v>
      </c>
      <c r="G59" s="140">
        <v>68</v>
      </c>
      <c r="H59" s="147">
        <v>75</v>
      </c>
      <c r="I59" t="s">
        <v>518</v>
      </c>
    </row>
    <row r="60" spans="1:9" x14ac:dyDescent="0.25">
      <c r="A60" t="s">
        <v>1030</v>
      </c>
      <c r="B60" t="s">
        <v>457</v>
      </c>
      <c r="C60" t="s">
        <v>458</v>
      </c>
      <c r="D60" t="s">
        <v>459</v>
      </c>
      <c r="E60" t="s">
        <v>466</v>
      </c>
      <c r="F60" s="75">
        <v>0.81499999999999995</v>
      </c>
      <c r="G60" s="140">
        <v>68</v>
      </c>
      <c r="H60" s="147">
        <v>78</v>
      </c>
      <c r="I60" t="s">
        <v>1031</v>
      </c>
    </row>
    <row r="61" spans="1:9" x14ac:dyDescent="0.25">
      <c r="A61" t="s">
        <v>1032</v>
      </c>
      <c r="B61" t="s">
        <v>457</v>
      </c>
      <c r="C61" t="s">
        <v>458</v>
      </c>
      <c r="D61" t="s">
        <v>473</v>
      </c>
      <c r="E61" t="s">
        <v>459</v>
      </c>
      <c r="F61" s="75"/>
      <c r="G61" s="140">
        <v>68</v>
      </c>
      <c r="H61" s="147">
        <v>75</v>
      </c>
      <c r="I61" t="s">
        <v>1033</v>
      </c>
    </row>
    <row r="62" spans="1:9" x14ac:dyDescent="0.25">
      <c r="A62" t="s">
        <v>1034</v>
      </c>
      <c r="B62" t="s">
        <v>457</v>
      </c>
      <c r="C62" t="s">
        <v>472</v>
      </c>
      <c r="D62" t="s">
        <v>459</v>
      </c>
      <c r="E62" s="75" t="s">
        <v>474</v>
      </c>
      <c r="F62" s="75">
        <v>0.75</v>
      </c>
      <c r="G62" s="140">
        <v>62</v>
      </c>
      <c r="H62" s="147">
        <v>74</v>
      </c>
      <c r="I62" t="s">
        <v>1290</v>
      </c>
    </row>
    <row r="63" spans="1:9" x14ac:dyDescent="0.25">
      <c r="A63" t="s">
        <v>1057</v>
      </c>
      <c r="B63" t="s">
        <v>457</v>
      </c>
      <c r="C63" t="s">
        <v>458</v>
      </c>
      <c r="D63" t="s">
        <v>473</v>
      </c>
      <c r="E63" t="s">
        <v>553</v>
      </c>
      <c r="F63" s="75">
        <v>0.75</v>
      </c>
      <c r="G63" s="140">
        <v>80</v>
      </c>
      <c r="H63" s="147">
        <v>85</v>
      </c>
      <c r="I63" t="s">
        <v>1058</v>
      </c>
    </row>
    <row r="64" spans="1:9" x14ac:dyDescent="0.25">
      <c r="A64" t="s">
        <v>1035</v>
      </c>
      <c r="B64" t="s">
        <v>457</v>
      </c>
      <c r="C64" t="s">
        <v>472</v>
      </c>
      <c r="D64" t="s">
        <v>459</v>
      </c>
      <c r="E64" t="s">
        <v>1291</v>
      </c>
      <c r="F64" s="75">
        <v>0.77500000000000002</v>
      </c>
      <c r="G64" s="140">
        <v>65</v>
      </c>
      <c r="H64" s="147">
        <v>75</v>
      </c>
      <c r="I64" t="s">
        <v>1292</v>
      </c>
    </row>
    <row r="65" spans="1:9" x14ac:dyDescent="0.25">
      <c r="A65" t="s">
        <v>519</v>
      </c>
      <c r="B65" t="s">
        <v>457</v>
      </c>
      <c r="C65" t="s">
        <v>472</v>
      </c>
      <c r="D65" t="s">
        <v>468</v>
      </c>
      <c r="E65" t="s">
        <v>485</v>
      </c>
      <c r="F65" s="75">
        <v>0.76</v>
      </c>
      <c r="G65" s="140">
        <v>64</v>
      </c>
      <c r="H65" s="147">
        <v>80</v>
      </c>
      <c r="I65" t="s">
        <v>520</v>
      </c>
    </row>
    <row r="66" spans="1:9" x14ac:dyDescent="0.25">
      <c r="A66" t="s">
        <v>1097</v>
      </c>
      <c r="B66" t="s">
        <v>457</v>
      </c>
      <c r="C66" t="s">
        <v>458</v>
      </c>
      <c r="D66" t="s">
        <v>459</v>
      </c>
      <c r="E66" t="s">
        <v>466</v>
      </c>
      <c r="F66" s="75">
        <v>0.81499999999999995</v>
      </c>
      <c r="G66" s="140">
        <v>66</v>
      </c>
      <c r="H66" s="147">
        <v>72</v>
      </c>
      <c r="I66" t="s">
        <v>1098</v>
      </c>
    </row>
    <row r="67" spans="1:9" x14ac:dyDescent="0.25">
      <c r="A67" t="s">
        <v>521</v>
      </c>
      <c r="B67" t="s">
        <v>457</v>
      </c>
      <c r="C67" t="s">
        <v>458</v>
      </c>
      <c r="D67" t="s">
        <v>459</v>
      </c>
      <c r="E67" t="s">
        <v>490</v>
      </c>
      <c r="F67" s="75">
        <v>0.77</v>
      </c>
      <c r="G67" s="140">
        <v>68</v>
      </c>
      <c r="H67" s="147">
        <v>75</v>
      </c>
      <c r="I67" t="s">
        <v>522</v>
      </c>
    </row>
    <row r="68" spans="1:9" x14ac:dyDescent="0.25">
      <c r="A68" t="s">
        <v>1036</v>
      </c>
      <c r="B68" t="s">
        <v>457</v>
      </c>
      <c r="C68" t="s">
        <v>458</v>
      </c>
      <c r="D68" t="s">
        <v>459</v>
      </c>
      <c r="E68" t="s">
        <v>553</v>
      </c>
      <c r="F68" s="75">
        <v>0.75</v>
      </c>
      <c r="G68" s="140">
        <v>70</v>
      </c>
      <c r="H68" s="147">
        <v>80</v>
      </c>
      <c r="I68" t="s">
        <v>1037</v>
      </c>
    </row>
    <row r="69" spans="1:9" x14ac:dyDescent="0.25">
      <c r="A69" t="s">
        <v>523</v>
      </c>
      <c r="B69" t="s">
        <v>457</v>
      </c>
      <c r="C69" t="s">
        <v>472</v>
      </c>
      <c r="D69" t="s">
        <v>459</v>
      </c>
      <c r="E69" t="s">
        <v>479</v>
      </c>
      <c r="F69" s="75">
        <v>0.74</v>
      </c>
      <c r="G69" s="140">
        <v>64</v>
      </c>
      <c r="H69" s="147">
        <v>74</v>
      </c>
      <c r="I69" t="s">
        <v>524</v>
      </c>
    </row>
    <row r="70" spans="1:9" x14ac:dyDescent="0.25">
      <c r="A70" t="s">
        <v>1038</v>
      </c>
      <c r="B70" t="s">
        <v>457</v>
      </c>
      <c r="C70" t="s">
        <v>970</v>
      </c>
      <c r="D70" t="s">
        <v>468</v>
      </c>
      <c r="E70" t="s">
        <v>459</v>
      </c>
      <c r="F70" s="75">
        <v>0.76</v>
      </c>
      <c r="G70" s="140">
        <v>72</v>
      </c>
      <c r="H70" s="147">
        <v>75</v>
      </c>
      <c r="I70" t="s">
        <v>1279</v>
      </c>
    </row>
    <row r="71" spans="1:9" x14ac:dyDescent="0.25">
      <c r="A71" t="s">
        <v>525</v>
      </c>
      <c r="B71" t="s">
        <v>457</v>
      </c>
      <c r="C71" t="s">
        <v>458</v>
      </c>
      <c r="D71" t="s">
        <v>473</v>
      </c>
      <c r="E71" t="s">
        <v>485</v>
      </c>
      <c r="F71" s="75">
        <v>0.76</v>
      </c>
      <c r="G71" s="140">
        <v>67</v>
      </c>
      <c r="H71" s="147">
        <v>74</v>
      </c>
      <c r="I71" t="s">
        <v>526</v>
      </c>
    </row>
    <row r="72" spans="1:9" x14ac:dyDescent="0.25">
      <c r="A72" t="s">
        <v>527</v>
      </c>
      <c r="B72" t="s">
        <v>457</v>
      </c>
      <c r="C72" t="s">
        <v>458</v>
      </c>
      <c r="D72" t="s">
        <v>473</v>
      </c>
      <c r="E72" t="s">
        <v>469</v>
      </c>
      <c r="F72" s="75">
        <v>0.72499999999999998</v>
      </c>
      <c r="G72" s="140">
        <v>67</v>
      </c>
      <c r="H72" s="147">
        <v>74</v>
      </c>
      <c r="I72" t="s">
        <v>528</v>
      </c>
    </row>
    <row r="73" spans="1:9" x14ac:dyDescent="0.25">
      <c r="A73" t="s">
        <v>529</v>
      </c>
      <c r="B73" t="s">
        <v>457</v>
      </c>
      <c r="C73" t="s">
        <v>472</v>
      </c>
      <c r="D73" t="s">
        <v>459</v>
      </c>
      <c r="E73" t="s">
        <v>479</v>
      </c>
      <c r="F73" s="75">
        <v>0.74</v>
      </c>
      <c r="G73" s="140">
        <v>60</v>
      </c>
      <c r="H73" s="147">
        <v>75</v>
      </c>
      <c r="I73" t="s">
        <v>530</v>
      </c>
    </row>
    <row r="74" spans="1:9" x14ac:dyDescent="0.25">
      <c r="A74" t="s">
        <v>1039</v>
      </c>
      <c r="B74" t="s">
        <v>532</v>
      </c>
      <c r="C74" t="s">
        <v>955</v>
      </c>
      <c r="D74" t="s">
        <v>468</v>
      </c>
      <c r="E74" t="s">
        <v>466</v>
      </c>
      <c r="F74" s="75"/>
      <c r="G74" s="140">
        <v>59</v>
      </c>
      <c r="H74" s="147">
        <v>95</v>
      </c>
      <c r="I74" t="s">
        <v>1040</v>
      </c>
    </row>
    <row r="75" spans="1:9" x14ac:dyDescent="0.25">
      <c r="A75" t="s">
        <v>1059</v>
      </c>
      <c r="B75" t="s">
        <v>457</v>
      </c>
      <c r="C75" t="s">
        <v>970</v>
      </c>
      <c r="E75" t="s">
        <v>170</v>
      </c>
      <c r="F75" s="75"/>
      <c r="G75" s="140">
        <v>70</v>
      </c>
      <c r="H75" s="147">
        <v>74</v>
      </c>
      <c r="I75" t="s">
        <v>1060</v>
      </c>
    </row>
    <row r="76" spans="1:9" x14ac:dyDescent="0.25">
      <c r="A76" t="s">
        <v>1293</v>
      </c>
      <c r="B76" t="s">
        <v>457</v>
      </c>
      <c r="C76" t="s">
        <v>472</v>
      </c>
      <c r="D76" t="s">
        <v>468</v>
      </c>
      <c r="E76" t="s">
        <v>1294</v>
      </c>
      <c r="F76" s="75">
        <v>0.75</v>
      </c>
      <c r="G76" s="140">
        <v>68</v>
      </c>
      <c r="H76" s="147">
        <v>72</v>
      </c>
      <c r="I76" t="s">
        <v>1295</v>
      </c>
    </row>
    <row r="77" spans="1:9" x14ac:dyDescent="0.25">
      <c r="A77" t="s">
        <v>1061</v>
      </c>
      <c r="B77" t="s">
        <v>457</v>
      </c>
      <c r="C77" t="s">
        <v>458</v>
      </c>
      <c r="D77" t="s">
        <v>459</v>
      </c>
      <c r="E77" t="s">
        <v>1062</v>
      </c>
      <c r="F77" s="75">
        <v>0.71499999999999997</v>
      </c>
      <c r="G77" s="140">
        <v>68</v>
      </c>
      <c r="H77" s="147">
        <v>72</v>
      </c>
      <c r="I77" t="s">
        <v>1063</v>
      </c>
    </row>
    <row r="78" spans="1:9" x14ac:dyDescent="0.25">
      <c r="A78" t="s">
        <v>1296</v>
      </c>
      <c r="B78" t="s">
        <v>457</v>
      </c>
      <c r="C78" t="s">
        <v>472</v>
      </c>
      <c r="D78" t="s">
        <v>468</v>
      </c>
      <c r="E78" t="s">
        <v>1288</v>
      </c>
      <c r="F78" s="75">
        <v>0.76500000000000001</v>
      </c>
      <c r="G78" s="140">
        <v>70</v>
      </c>
      <c r="H78" s="147">
        <v>84</v>
      </c>
      <c r="I78" t="s">
        <v>1297</v>
      </c>
    </row>
    <row r="79" spans="1:9" x14ac:dyDescent="0.25">
      <c r="A79" t="s">
        <v>1101</v>
      </c>
      <c r="B79" t="s">
        <v>457</v>
      </c>
      <c r="C79" t="s">
        <v>472</v>
      </c>
      <c r="D79" t="s">
        <v>459</v>
      </c>
      <c r="E79" t="s">
        <v>474</v>
      </c>
      <c r="F79" s="75">
        <v>0.75</v>
      </c>
      <c r="G79" s="140">
        <v>45</v>
      </c>
      <c r="H79" s="147">
        <v>68</v>
      </c>
      <c r="I79" t="s">
        <v>1102</v>
      </c>
    </row>
    <row r="80" spans="1:9" x14ac:dyDescent="0.25">
      <c r="A80" t="s">
        <v>1151</v>
      </c>
      <c r="B80" t="s">
        <v>532</v>
      </c>
      <c r="C80" t="s">
        <v>982</v>
      </c>
      <c r="D80" t="s">
        <v>466</v>
      </c>
      <c r="E80" t="s">
        <v>466</v>
      </c>
      <c r="F80" s="75"/>
      <c r="G80" s="140">
        <v>50</v>
      </c>
      <c r="H80" s="147">
        <v>59</v>
      </c>
      <c r="I80" t="s">
        <v>1152</v>
      </c>
    </row>
    <row r="81" spans="1:9" x14ac:dyDescent="0.25">
      <c r="A81" t="s">
        <v>1011</v>
      </c>
      <c r="B81" t="s">
        <v>457</v>
      </c>
      <c r="C81" t="s">
        <v>458</v>
      </c>
      <c r="D81" t="s">
        <v>459</v>
      </c>
      <c r="E81" t="s">
        <v>460</v>
      </c>
      <c r="F81" s="75">
        <v>0.77500000000000002</v>
      </c>
      <c r="G81" s="140">
        <v>72</v>
      </c>
      <c r="H81" s="147">
        <v>77</v>
      </c>
      <c r="I81" t="s">
        <v>1012</v>
      </c>
    </row>
    <row r="82" spans="1:9" x14ac:dyDescent="0.25">
      <c r="A82" t="s">
        <v>1064</v>
      </c>
      <c r="B82" t="s">
        <v>457</v>
      </c>
      <c r="C82" t="s">
        <v>970</v>
      </c>
      <c r="E82" t="s">
        <v>170</v>
      </c>
      <c r="F82" s="75"/>
      <c r="G82" s="140" t="s">
        <v>170</v>
      </c>
      <c r="H82" s="147"/>
      <c r="I82" t="s">
        <v>1065</v>
      </c>
    </row>
    <row r="83" spans="1:9" x14ac:dyDescent="0.25">
      <c r="A83" t="s">
        <v>1066</v>
      </c>
      <c r="B83" t="s">
        <v>457</v>
      </c>
      <c r="C83" t="s">
        <v>970</v>
      </c>
      <c r="E83" t="s">
        <v>170</v>
      </c>
      <c r="F83" s="75"/>
      <c r="G83" s="140" t="s">
        <v>170</v>
      </c>
      <c r="H83" s="147"/>
      <c r="I83" t="s">
        <v>1067</v>
      </c>
    </row>
    <row r="84" spans="1:9" x14ac:dyDescent="0.25">
      <c r="A84" t="s">
        <v>1068</v>
      </c>
      <c r="B84" t="s">
        <v>457</v>
      </c>
      <c r="C84" t="s">
        <v>970</v>
      </c>
      <c r="E84" t="s">
        <v>170</v>
      </c>
      <c r="F84" s="75"/>
      <c r="G84" s="140">
        <v>60</v>
      </c>
      <c r="H84" s="147">
        <v>74</v>
      </c>
      <c r="I84" t="s">
        <v>1069</v>
      </c>
    </row>
    <row r="85" spans="1:9" x14ac:dyDescent="0.25">
      <c r="A85" t="s">
        <v>1070</v>
      </c>
      <c r="B85" t="s">
        <v>457</v>
      </c>
      <c r="C85" t="s">
        <v>970</v>
      </c>
      <c r="E85" t="s">
        <v>170</v>
      </c>
      <c r="F85" s="75"/>
      <c r="G85" s="140" t="s">
        <v>170</v>
      </c>
      <c r="H85" s="147"/>
      <c r="I85" t="s">
        <v>1071</v>
      </c>
    </row>
    <row r="86" spans="1:9" x14ac:dyDescent="0.25">
      <c r="A86" t="s">
        <v>1072</v>
      </c>
      <c r="B86" t="s">
        <v>457</v>
      </c>
      <c r="C86" t="s">
        <v>472</v>
      </c>
      <c r="D86" t="s">
        <v>459</v>
      </c>
      <c r="E86" t="s">
        <v>466</v>
      </c>
      <c r="F86" s="75"/>
      <c r="G86" s="140">
        <v>60</v>
      </c>
      <c r="H86" s="147">
        <v>75</v>
      </c>
      <c r="I86" t="s">
        <v>1073</v>
      </c>
    </row>
    <row r="87" spans="1:9" x14ac:dyDescent="0.25">
      <c r="A87" t="s">
        <v>1074</v>
      </c>
      <c r="B87" t="s">
        <v>457</v>
      </c>
      <c r="C87" t="s">
        <v>472</v>
      </c>
      <c r="D87" t="s">
        <v>459</v>
      </c>
      <c r="E87" t="s">
        <v>466</v>
      </c>
      <c r="F87" s="75"/>
      <c r="G87" s="140">
        <v>60</v>
      </c>
      <c r="H87" s="147">
        <v>75</v>
      </c>
      <c r="I87" t="s">
        <v>1075</v>
      </c>
    </row>
    <row r="88" spans="1:9" x14ac:dyDescent="0.25">
      <c r="A88" t="s">
        <v>1076</v>
      </c>
      <c r="B88" t="s">
        <v>457</v>
      </c>
      <c r="C88" t="s">
        <v>458</v>
      </c>
      <c r="D88" t="s">
        <v>468</v>
      </c>
      <c r="E88" s="60">
        <v>0.85</v>
      </c>
      <c r="F88" s="75">
        <v>0.85</v>
      </c>
      <c r="G88" s="140">
        <v>70</v>
      </c>
      <c r="H88" s="147">
        <v>85</v>
      </c>
      <c r="I88" t="s">
        <v>1041</v>
      </c>
    </row>
    <row r="89" spans="1:9" x14ac:dyDescent="0.25">
      <c r="A89" t="s">
        <v>1077</v>
      </c>
      <c r="B89" t="s">
        <v>457</v>
      </c>
      <c r="C89" t="s">
        <v>458</v>
      </c>
      <c r="D89" t="s">
        <v>468</v>
      </c>
      <c r="E89" t="s">
        <v>1078</v>
      </c>
      <c r="F89" s="75">
        <v>0.77500000000000002</v>
      </c>
      <c r="G89" s="140">
        <v>85</v>
      </c>
      <c r="H89" s="147">
        <v>85</v>
      </c>
      <c r="I89" t="s">
        <v>1079</v>
      </c>
    </row>
    <row r="90" spans="1:9" x14ac:dyDescent="0.25">
      <c r="A90" t="s">
        <v>1080</v>
      </c>
      <c r="B90" t="s">
        <v>457</v>
      </c>
      <c r="C90" t="s">
        <v>458</v>
      </c>
      <c r="D90" t="s">
        <v>468</v>
      </c>
      <c r="E90" t="s">
        <v>1078</v>
      </c>
      <c r="F90" s="75">
        <v>0.77500000000000002</v>
      </c>
      <c r="G90" s="140">
        <v>85</v>
      </c>
      <c r="H90" s="147">
        <v>85</v>
      </c>
      <c r="I90" t="s">
        <v>1081</v>
      </c>
    </row>
    <row r="91" spans="1:9" x14ac:dyDescent="0.25">
      <c r="A91" t="s">
        <v>1082</v>
      </c>
      <c r="B91" t="s">
        <v>457</v>
      </c>
      <c r="C91" t="s">
        <v>458</v>
      </c>
      <c r="D91" t="s">
        <v>468</v>
      </c>
      <c r="E91" t="s">
        <v>1078</v>
      </c>
      <c r="F91" s="75">
        <v>0.77500000000000002</v>
      </c>
      <c r="G91" s="140">
        <v>85</v>
      </c>
      <c r="H91" s="147">
        <v>85</v>
      </c>
      <c r="I91" t="s">
        <v>1083</v>
      </c>
    </row>
    <row r="92" spans="1:9" x14ac:dyDescent="0.25">
      <c r="A92" t="s">
        <v>531</v>
      </c>
      <c r="B92" t="s">
        <v>532</v>
      </c>
      <c r="C92" t="s">
        <v>533</v>
      </c>
      <c r="D92" t="s">
        <v>468</v>
      </c>
      <c r="E92" t="s">
        <v>466</v>
      </c>
      <c r="F92" s="75"/>
      <c r="G92" s="140">
        <v>64</v>
      </c>
      <c r="H92" s="147">
        <v>73</v>
      </c>
      <c r="I92" t="s">
        <v>534</v>
      </c>
    </row>
    <row r="93" spans="1:9" x14ac:dyDescent="0.25">
      <c r="A93" t="s">
        <v>535</v>
      </c>
      <c r="B93" t="s">
        <v>532</v>
      </c>
      <c r="C93" t="s">
        <v>533</v>
      </c>
      <c r="D93" t="s">
        <v>466</v>
      </c>
      <c r="E93" t="s">
        <v>466</v>
      </c>
      <c r="F93" s="75"/>
      <c r="G93" s="140">
        <v>50</v>
      </c>
      <c r="H93" s="147">
        <v>59</v>
      </c>
      <c r="I93" t="s">
        <v>536</v>
      </c>
    </row>
    <row r="94" spans="1:9" x14ac:dyDescent="0.25">
      <c r="A94" t="s">
        <v>956</v>
      </c>
      <c r="B94" t="s">
        <v>532</v>
      </c>
      <c r="C94" t="s">
        <v>533</v>
      </c>
      <c r="D94" t="s">
        <v>462</v>
      </c>
      <c r="E94" t="s">
        <v>170</v>
      </c>
      <c r="F94" s="75"/>
      <c r="G94" s="140">
        <v>64</v>
      </c>
      <c r="H94" s="147">
        <v>77</v>
      </c>
      <c r="I94" t="s">
        <v>957</v>
      </c>
    </row>
    <row r="95" spans="1:9" x14ac:dyDescent="0.25">
      <c r="A95" t="s">
        <v>537</v>
      </c>
      <c r="B95" t="s">
        <v>457</v>
      </c>
      <c r="C95" t="s">
        <v>472</v>
      </c>
      <c r="D95" t="s">
        <v>459</v>
      </c>
      <c r="E95" t="s">
        <v>538</v>
      </c>
      <c r="F95" s="75">
        <v>0.74</v>
      </c>
      <c r="G95" s="140">
        <v>64</v>
      </c>
      <c r="H95" s="147">
        <v>72</v>
      </c>
      <c r="I95" t="s">
        <v>539</v>
      </c>
    </row>
    <row r="96" spans="1:9" x14ac:dyDescent="0.25">
      <c r="A96" t="s">
        <v>540</v>
      </c>
      <c r="B96" t="s">
        <v>457</v>
      </c>
      <c r="C96" t="s">
        <v>472</v>
      </c>
      <c r="D96" t="s">
        <v>466</v>
      </c>
      <c r="E96" t="s">
        <v>538</v>
      </c>
      <c r="F96" s="75">
        <v>0.74</v>
      </c>
      <c r="G96" s="140">
        <v>63</v>
      </c>
      <c r="H96" s="147">
        <v>75</v>
      </c>
      <c r="I96" t="s">
        <v>541</v>
      </c>
    </row>
    <row r="97" spans="1:9" x14ac:dyDescent="0.25">
      <c r="A97" t="s">
        <v>542</v>
      </c>
      <c r="B97" t="s">
        <v>457</v>
      </c>
      <c r="C97" t="s">
        <v>458</v>
      </c>
      <c r="D97" t="s">
        <v>466</v>
      </c>
      <c r="E97" t="s">
        <v>460</v>
      </c>
      <c r="F97" s="75">
        <v>0.77500000000000002</v>
      </c>
      <c r="G97" s="140">
        <v>68</v>
      </c>
      <c r="H97" s="147">
        <v>75</v>
      </c>
      <c r="I97" t="s">
        <v>543</v>
      </c>
    </row>
    <row r="98" spans="1:9" x14ac:dyDescent="0.25">
      <c r="A98" t="s">
        <v>1134</v>
      </c>
      <c r="B98" t="s">
        <v>532</v>
      </c>
      <c r="C98" t="s">
        <v>982</v>
      </c>
      <c r="D98" t="s">
        <v>466</v>
      </c>
      <c r="E98" t="s">
        <v>466</v>
      </c>
      <c r="F98" s="75"/>
      <c r="G98" s="140">
        <v>57</v>
      </c>
      <c r="H98" s="147">
        <v>72</v>
      </c>
      <c r="I98" t="s">
        <v>1135</v>
      </c>
    </row>
    <row r="99" spans="1:9" x14ac:dyDescent="0.25">
      <c r="A99" t="s">
        <v>1119</v>
      </c>
      <c r="B99" t="s">
        <v>457</v>
      </c>
      <c r="C99" t="s">
        <v>472</v>
      </c>
      <c r="D99" t="s">
        <v>462</v>
      </c>
      <c r="E99" t="s">
        <v>1298</v>
      </c>
      <c r="F99" s="75">
        <v>0.755</v>
      </c>
      <c r="G99" s="140">
        <v>63</v>
      </c>
      <c r="H99" s="147">
        <v>72</v>
      </c>
      <c r="I99" t="s">
        <v>1299</v>
      </c>
    </row>
    <row r="100" spans="1:9" x14ac:dyDescent="0.25">
      <c r="A100" t="s">
        <v>1120</v>
      </c>
      <c r="B100" t="s">
        <v>457</v>
      </c>
      <c r="C100" t="s">
        <v>970</v>
      </c>
      <c r="D100" t="s">
        <v>468</v>
      </c>
      <c r="E100" t="s">
        <v>468</v>
      </c>
      <c r="F100" s="75"/>
      <c r="G100" s="140">
        <v>60</v>
      </c>
      <c r="H100" s="147">
        <v>68</v>
      </c>
      <c r="I100" t="s">
        <v>1121</v>
      </c>
    </row>
    <row r="101" spans="1:9" x14ac:dyDescent="0.25">
      <c r="A101" t="s">
        <v>1147</v>
      </c>
      <c r="B101" t="s">
        <v>457</v>
      </c>
      <c r="C101" t="s">
        <v>472</v>
      </c>
      <c r="D101" t="s">
        <v>462</v>
      </c>
      <c r="E101" t="s">
        <v>600</v>
      </c>
      <c r="F101" s="75">
        <v>0.73</v>
      </c>
      <c r="G101" s="140">
        <v>48</v>
      </c>
      <c r="H101" s="147">
        <v>56</v>
      </c>
      <c r="I101" t="s">
        <v>1148</v>
      </c>
    </row>
    <row r="102" spans="1:9" x14ac:dyDescent="0.25">
      <c r="A102" t="s">
        <v>1084</v>
      </c>
      <c r="B102" t="s">
        <v>457</v>
      </c>
      <c r="C102" t="s">
        <v>970</v>
      </c>
      <c r="E102" t="s">
        <v>170</v>
      </c>
      <c r="F102" s="75"/>
      <c r="G102" s="140" t="s">
        <v>170</v>
      </c>
      <c r="H102" s="147"/>
      <c r="I102" t="s">
        <v>1085</v>
      </c>
    </row>
    <row r="103" spans="1:9" x14ac:dyDescent="0.25">
      <c r="A103" t="s">
        <v>1086</v>
      </c>
      <c r="B103" t="s">
        <v>457</v>
      </c>
      <c r="C103" t="s">
        <v>970</v>
      </c>
      <c r="E103" t="s">
        <v>170</v>
      </c>
      <c r="F103" s="75"/>
      <c r="G103" s="140">
        <v>60</v>
      </c>
      <c r="H103" s="147">
        <v>74</v>
      </c>
      <c r="I103" t="s">
        <v>1087</v>
      </c>
    </row>
    <row r="104" spans="1:9" x14ac:dyDescent="0.25">
      <c r="A104" t="s">
        <v>544</v>
      </c>
      <c r="B104" t="s">
        <v>457</v>
      </c>
      <c r="C104" t="s">
        <v>458</v>
      </c>
      <c r="D104" t="s">
        <v>459</v>
      </c>
      <c r="E104" t="s">
        <v>1122</v>
      </c>
      <c r="F104" s="75">
        <v>0.72</v>
      </c>
      <c r="G104" s="140">
        <v>68</v>
      </c>
      <c r="H104" s="147">
        <v>73</v>
      </c>
      <c r="I104" t="s">
        <v>545</v>
      </c>
    </row>
    <row r="105" spans="1:9" x14ac:dyDescent="0.25">
      <c r="A105" t="s">
        <v>1138</v>
      </c>
      <c r="B105" t="s">
        <v>457</v>
      </c>
      <c r="C105" t="s">
        <v>970</v>
      </c>
      <c r="D105" t="s">
        <v>459</v>
      </c>
      <c r="E105" t="s">
        <v>459</v>
      </c>
      <c r="F105" s="75">
        <v>0.74</v>
      </c>
      <c r="G105" s="140">
        <v>64</v>
      </c>
      <c r="H105" s="147">
        <v>69</v>
      </c>
      <c r="I105" t="s">
        <v>1282</v>
      </c>
    </row>
    <row r="106" spans="1:9" x14ac:dyDescent="0.25">
      <c r="A106" t="s">
        <v>1139</v>
      </c>
      <c r="B106" t="s">
        <v>532</v>
      </c>
      <c r="C106" t="s">
        <v>982</v>
      </c>
      <c r="D106" t="s">
        <v>466</v>
      </c>
      <c r="E106" t="s">
        <v>466</v>
      </c>
      <c r="F106" s="75"/>
      <c r="G106" s="140">
        <v>62</v>
      </c>
      <c r="H106" s="147">
        <v>74</v>
      </c>
      <c r="I106" t="s">
        <v>1140</v>
      </c>
    </row>
    <row r="107" spans="1:9" x14ac:dyDescent="0.25">
      <c r="A107" t="s">
        <v>546</v>
      </c>
      <c r="B107" t="s">
        <v>457</v>
      </c>
      <c r="C107" t="s">
        <v>458</v>
      </c>
      <c r="D107" t="s">
        <v>462</v>
      </c>
      <c r="E107" t="s">
        <v>469</v>
      </c>
      <c r="F107" s="75">
        <v>0.72499999999999998</v>
      </c>
      <c r="G107" s="140">
        <v>66</v>
      </c>
      <c r="H107" s="147">
        <v>70</v>
      </c>
      <c r="I107" t="s">
        <v>547</v>
      </c>
    </row>
    <row r="108" spans="1:9" x14ac:dyDescent="0.25">
      <c r="A108" t="s">
        <v>548</v>
      </c>
      <c r="B108" t="s">
        <v>457</v>
      </c>
      <c r="C108" t="s">
        <v>458</v>
      </c>
      <c r="D108" t="s">
        <v>459</v>
      </c>
      <c r="E108" t="s">
        <v>589</v>
      </c>
      <c r="F108" s="75">
        <v>0.76500000000000001</v>
      </c>
      <c r="G108" s="140">
        <v>68</v>
      </c>
      <c r="H108" s="147">
        <v>73</v>
      </c>
      <c r="I108" t="s">
        <v>549</v>
      </c>
    </row>
    <row r="109" spans="1:9" x14ac:dyDescent="0.25">
      <c r="A109" t="s">
        <v>994</v>
      </c>
      <c r="B109" t="s">
        <v>457</v>
      </c>
      <c r="C109" t="s">
        <v>472</v>
      </c>
      <c r="D109" t="s">
        <v>466</v>
      </c>
      <c r="E109" t="s">
        <v>571</v>
      </c>
      <c r="F109" s="75">
        <v>0.69</v>
      </c>
      <c r="G109" s="140">
        <v>58</v>
      </c>
      <c r="H109" s="147">
        <v>68</v>
      </c>
      <c r="I109" t="s">
        <v>995</v>
      </c>
    </row>
    <row r="110" spans="1:9" x14ac:dyDescent="0.25">
      <c r="A110" t="s">
        <v>1042</v>
      </c>
      <c r="B110" t="s">
        <v>457</v>
      </c>
      <c r="C110" t="s">
        <v>472</v>
      </c>
      <c r="D110" t="s">
        <v>459</v>
      </c>
      <c r="E110" t="s">
        <v>1300</v>
      </c>
      <c r="F110" s="75">
        <v>0.77</v>
      </c>
      <c r="G110" s="140">
        <v>65</v>
      </c>
      <c r="H110" s="147">
        <v>80</v>
      </c>
      <c r="I110" t="s">
        <v>1301</v>
      </c>
    </row>
    <row r="111" spans="1:9" x14ac:dyDescent="0.25">
      <c r="A111" t="s">
        <v>958</v>
      </c>
      <c r="B111" t="s">
        <v>532</v>
      </c>
      <c r="C111" t="s">
        <v>955</v>
      </c>
      <c r="D111" t="s">
        <v>473</v>
      </c>
      <c r="E111" t="s">
        <v>170</v>
      </c>
      <c r="F111" s="75"/>
      <c r="G111" s="140">
        <v>59</v>
      </c>
      <c r="H111" s="147">
        <v>77</v>
      </c>
      <c r="I111" t="s">
        <v>959</v>
      </c>
    </row>
    <row r="112" spans="1:9" x14ac:dyDescent="0.25">
      <c r="A112" t="s">
        <v>960</v>
      </c>
      <c r="B112" t="s">
        <v>532</v>
      </c>
      <c r="C112" t="s">
        <v>550</v>
      </c>
      <c r="D112" t="s">
        <v>466</v>
      </c>
      <c r="E112" t="s">
        <v>466</v>
      </c>
      <c r="F112" s="75"/>
      <c r="G112" s="140">
        <v>68</v>
      </c>
      <c r="H112" s="147">
        <v>80</v>
      </c>
      <c r="I112" t="s">
        <v>551</v>
      </c>
    </row>
    <row r="113" spans="1:9" x14ac:dyDescent="0.25">
      <c r="A113" t="s">
        <v>996</v>
      </c>
      <c r="B113" t="s">
        <v>457</v>
      </c>
      <c r="C113" t="s">
        <v>458</v>
      </c>
      <c r="D113" t="s">
        <v>459</v>
      </c>
      <c r="E113" t="s">
        <v>460</v>
      </c>
      <c r="F113" s="75">
        <v>0.77500000000000002</v>
      </c>
      <c r="G113" s="140">
        <v>65</v>
      </c>
      <c r="H113" s="147">
        <v>70</v>
      </c>
      <c r="I113" t="s">
        <v>997</v>
      </c>
    </row>
    <row r="114" spans="1:9" x14ac:dyDescent="0.25">
      <c r="A114" t="s">
        <v>998</v>
      </c>
      <c r="B114" t="s">
        <v>457</v>
      </c>
      <c r="C114" t="s">
        <v>458</v>
      </c>
      <c r="D114" t="s">
        <v>468</v>
      </c>
      <c r="E114" t="s">
        <v>468</v>
      </c>
      <c r="F114" s="75">
        <v>0.68</v>
      </c>
      <c r="G114" s="140">
        <v>55</v>
      </c>
      <c r="H114" s="147">
        <v>58</v>
      </c>
      <c r="I114" t="s">
        <v>999</v>
      </c>
    </row>
    <row r="115" spans="1:9" x14ac:dyDescent="0.25">
      <c r="A115" t="s">
        <v>1153</v>
      </c>
      <c r="B115" t="s">
        <v>457</v>
      </c>
      <c r="C115" t="s">
        <v>458</v>
      </c>
      <c r="D115" t="s">
        <v>459</v>
      </c>
      <c r="E115" t="s">
        <v>460</v>
      </c>
      <c r="F115" s="75">
        <v>0.77500000000000002</v>
      </c>
      <c r="G115" s="140">
        <v>50</v>
      </c>
      <c r="H115" s="147">
        <v>55</v>
      </c>
      <c r="I115" t="s">
        <v>1154</v>
      </c>
    </row>
    <row r="116" spans="1:9" x14ac:dyDescent="0.25">
      <c r="A116" t="s">
        <v>1155</v>
      </c>
      <c r="B116" t="s">
        <v>457</v>
      </c>
      <c r="C116" t="s">
        <v>472</v>
      </c>
      <c r="D116" t="s">
        <v>459</v>
      </c>
      <c r="E116" t="s">
        <v>1108</v>
      </c>
      <c r="F116" s="75">
        <v>0.72</v>
      </c>
      <c r="G116" s="140">
        <v>50</v>
      </c>
      <c r="H116" s="147">
        <v>58</v>
      </c>
      <c r="I116" t="s">
        <v>1156</v>
      </c>
    </row>
    <row r="117" spans="1:9" x14ac:dyDescent="0.25">
      <c r="A117" t="s">
        <v>1157</v>
      </c>
      <c r="B117" t="s">
        <v>457</v>
      </c>
      <c r="C117" t="s">
        <v>472</v>
      </c>
      <c r="D117" t="s">
        <v>468</v>
      </c>
      <c r="E117" t="s">
        <v>474</v>
      </c>
      <c r="F117" s="75">
        <v>0.75</v>
      </c>
      <c r="G117" s="140">
        <v>46</v>
      </c>
      <c r="H117" s="147">
        <v>56</v>
      </c>
      <c r="I117" t="s">
        <v>1158</v>
      </c>
    </row>
    <row r="118" spans="1:9" x14ac:dyDescent="0.25">
      <c r="A118" t="s">
        <v>1302</v>
      </c>
      <c r="B118" t="s">
        <v>457</v>
      </c>
      <c r="C118" t="s">
        <v>472</v>
      </c>
      <c r="D118" t="s">
        <v>468</v>
      </c>
      <c r="E118" t="s">
        <v>1271</v>
      </c>
      <c r="F118" s="75">
        <v>0.75</v>
      </c>
      <c r="G118" s="140">
        <v>60</v>
      </c>
      <c r="H118" s="147">
        <v>70</v>
      </c>
      <c r="I118" t="s">
        <v>1303</v>
      </c>
    </row>
    <row r="119" spans="1:9" x14ac:dyDescent="0.25">
      <c r="A119" t="s">
        <v>552</v>
      </c>
      <c r="B119" t="s">
        <v>457</v>
      </c>
      <c r="C119" t="s">
        <v>458</v>
      </c>
      <c r="D119" t="s">
        <v>466</v>
      </c>
      <c r="E119" t="s">
        <v>553</v>
      </c>
      <c r="F119" s="75">
        <v>0.75</v>
      </c>
      <c r="G119" s="140">
        <v>65</v>
      </c>
      <c r="H119" s="147">
        <v>70</v>
      </c>
      <c r="I119" t="s">
        <v>554</v>
      </c>
    </row>
    <row r="120" spans="1:9" x14ac:dyDescent="0.25">
      <c r="A120" t="s">
        <v>555</v>
      </c>
      <c r="B120" t="s">
        <v>457</v>
      </c>
      <c r="C120" t="s">
        <v>458</v>
      </c>
      <c r="D120" t="s">
        <v>459</v>
      </c>
      <c r="E120" t="s">
        <v>556</v>
      </c>
      <c r="F120" s="75">
        <v>0.68500000000000005</v>
      </c>
      <c r="G120" s="140">
        <v>65</v>
      </c>
      <c r="H120" s="147">
        <v>69</v>
      </c>
      <c r="I120" t="s">
        <v>557</v>
      </c>
    </row>
    <row r="121" spans="1:9" x14ac:dyDescent="0.25">
      <c r="A121" t="s">
        <v>559</v>
      </c>
      <c r="B121" t="s">
        <v>457</v>
      </c>
      <c r="C121" t="s">
        <v>458</v>
      </c>
      <c r="D121" t="s">
        <v>473</v>
      </c>
      <c r="E121" t="s">
        <v>469</v>
      </c>
      <c r="F121" s="75">
        <v>0.72499999999999998</v>
      </c>
      <c r="G121" s="140">
        <v>68</v>
      </c>
      <c r="H121" s="147">
        <v>73</v>
      </c>
      <c r="I121" t="s">
        <v>560</v>
      </c>
    </row>
    <row r="122" spans="1:9" x14ac:dyDescent="0.25">
      <c r="A122" t="s">
        <v>961</v>
      </c>
      <c r="B122" t="s">
        <v>457</v>
      </c>
      <c r="C122" t="s">
        <v>458</v>
      </c>
      <c r="D122" t="s">
        <v>462</v>
      </c>
      <c r="E122" t="s">
        <v>459</v>
      </c>
      <c r="F122" s="75">
        <v>0.77500000000000002</v>
      </c>
      <c r="G122" s="140">
        <v>66</v>
      </c>
      <c r="H122" s="147">
        <v>70</v>
      </c>
      <c r="I122" t="s">
        <v>962</v>
      </c>
    </row>
    <row r="123" spans="1:9" x14ac:dyDescent="0.25">
      <c r="A123" t="s">
        <v>561</v>
      </c>
      <c r="B123" t="s">
        <v>457</v>
      </c>
      <c r="C123" t="s">
        <v>458</v>
      </c>
      <c r="D123" t="s">
        <v>459</v>
      </c>
      <c r="E123" t="s">
        <v>469</v>
      </c>
      <c r="F123" s="75">
        <v>0.72499999999999998</v>
      </c>
      <c r="G123" s="140">
        <v>65</v>
      </c>
      <c r="H123" s="147">
        <v>70</v>
      </c>
      <c r="I123" t="s">
        <v>562</v>
      </c>
    </row>
    <row r="124" spans="1:9" x14ac:dyDescent="0.25">
      <c r="A124" t="s">
        <v>1141</v>
      </c>
      <c r="B124" t="s">
        <v>457</v>
      </c>
      <c r="C124" t="s">
        <v>458</v>
      </c>
      <c r="D124" t="s">
        <v>462</v>
      </c>
      <c r="E124" t="s">
        <v>1142</v>
      </c>
      <c r="F124" s="75">
        <v>0.72499999999999998</v>
      </c>
      <c r="G124" s="140">
        <v>68</v>
      </c>
      <c r="H124" s="147">
        <v>72</v>
      </c>
      <c r="I124" t="s">
        <v>1143</v>
      </c>
    </row>
    <row r="125" spans="1:9" x14ac:dyDescent="0.25">
      <c r="A125" t="s">
        <v>563</v>
      </c>
      <c r="B125" t="s">
        <v>457</v>
      </c>
      <c r="C125" t="s">
        <v>465</v>
      </c>
      <c r="D125" t="s">
        <v>459</v>
      </c>
      <c r="E125" t="s">
        <v>466</v>
      </c>
      <c r="F125" s="75"/>
      <c r="G125" s="140">
        <v>59</v>
      </c>
      <c r="H125" s="147">
        <v>68</v>
      </c>
      <c r="I125" t="s">
        <v>564</v>
      </c>
    </row>
    <row r="126" spans="1:9" x14ac:dyDescent="0.25">
      <c r="A126" t="s">
        <v>565</v>
      </c>
      <c r="B126" t="s">
        <v>457</v>
      </c>
      <c r="C126" t="s">
        <v>458</v>
      </c>
      <c r="D126" t="s">
        <v>581</v>
      </c>
      <c r="E126" t="s">
        <v>1123</v>
      </c>
      <c r="F126" s="75">
        <v>0.66500000000000004</v>
      </c>
      <c r="G126" s="140">
        <v>65</v>
      </c>
      <c r="H126" s="147">
        <v>68</v>
      </c>
      <c r="I126" t="s">
        <v>566</v>
      </c>
    </row>
    <row r="127" spans="1:9" x14ac:dyDescent="0.25">
      <c r="A127" t="s">
        <v>1124</v>
      </c>
      <c r="B127" t="s">
        <v>457</v>
      </c>
      <c r="C127" t="s">
        <v>472</v>
      </c>
      <c r="D127" t="s">
        <v>466</v>
      </c>
      <c r="E127" t="s">
        <v>1304</v>
      </c>
      <c r="F127" s="75">
        <v>0.7</v>
      </c>
      <c r="G127" s="140">
        <v>64</v>
      </c>
      <c r="H127" s="147">
        <v>72</v>
      </c>
      <c r="I127" t="s">
        <v>1305</v>
      </c>
    </row>
    <row r="128" spans="1:9" x14ac:dyDescent="0.25">
      <c r="A128" t="s">
        <v>568</v>
      </c>
      <c r="B128" t="s">
        <v>457</v>
      </c>
      <c r="C128" t="s">
        <v>458</v>
      </c>
      <c r="D128" t="s">
        <v>462</v>
      </c>
      <c r="E128" t="s">
        <v>569</v>
      </c>
      <c r="F128" s="75">
        <v>0.73499999999999999</v>
      </c>
      <c r="G128" s="140">
        <v>66</v>
      </c>
      <c r="H128" s="147">
        <v>70</v>
      </c>
      <c r="I128" t="s">
        <v>570</v>
      </c>
    </row>
    <row r="129" spans="1:9" x14ac:dyDescent="0.25">
      <c r="A129" t="s">
        <v>572</v>
      </c>
      <c r="B129" t="s">
        <v>457</v>
      </c>
      <c r="C129" t="s">
        <v>458</v>
      </c>
      <c r="D129" t="s">
        <v>459</v>
      </c>
      <c r="E129" t="s">
        <v>573</v>
      </c>
      <c r="F129" s="75">
        <v>0.67500000000000004</v>
      </c>
      <c r="G129" s="140">
        <v>65</v>
      </c>
      <c r="H129" s="147">
        <v>70</v>
      </c>
      <c r="I129" t="s">
        <v>574</v>
      </c>
    </row>
    <row r="130" spans="1:9" x14ac:dyDescent="0.25">
      <c r="A130" t="s">
        <v>1000</v>
      </c>
      <c r="B130" t="s">
        <v>457</v>
      </c>
      <c r="C130" t="s">
        <v>472</v>
      </c>
      <c r="D130" t="s">
        <v>468</v>
      </c>
      <c r="E130" t="s">
        <v>1294</v>
      </c>
      <c r="F130" s="75">
        <v>0.75</v>
      </c>
      <c r="G130" s="140">
        <v>46</v>
      </c>
      <c r="H130" s="147">
        <v>56</v>
      </c>
      <c r="I130" t="s">
        <v>1306</v>
      </c>
    </row>
    <row r="131" spans="1:9" x14ac:dyDescent="0.25">
      <c r="A131" s="24" t="s">
        <v>1799</v>
      </c>
      <c r="B131" s="24" t="s">
        <v>457</v>
      </c>
      <c r="C131" s="24" t="s">
        <v>1743</v>
      </c>
      <c r="D131" s="24" t="s">
        <v>468</v>
      </c>
      <c r="E131" s="24" t="s">
        <v>1800</v>
      </c>
      <c r="F131" s="228">
        <v>0.8</v>
      </c>
      <c r="G131" s="140">
        <v>68</v>
      </c>
      <c r="H131" s="147">
        <v>76</v>
      </c>
      <c r="I131" s="24" t="s">
        <v>1801</v>
      </c>
    </row>
    <row r="132" spans="1:9" x14ac:dyDescent="0.25">
      <c r="A132" t="s">
        <v>1307</v>
      </c>
      <c r="B132" t="s">
        <v>457</v>
      </c>
      <c r="C132" t="s">
        <v>472</v>
      </c>
      <c r="D132" t="s">
        <v>459</v>
      </c>
      <c r="E132" t="s">
        <v>1288</v>
      </c>
      <c r="F132" s="75">
        <v>0.76500000000000001</v>
      </c>
      <c r="G132" s="140">
        <v>70</v>
      </c>
      <c r="H132" s="147">
        <v>84</v>
      </c>
      <c r="I132" t="s">
        <v>1308</v>
      </c>
    </row>
    <row r="133" spans="1:9" x14ac:dyDescent="0.25">
      <c r="A133" t="s">
        <v>1043</v>
      </c>
      <c r="B133" t="s">
        <v>457</v>
      </c>
      <c r="C133" t="s">
        <v>970</v>
      </c>
      <c r="E133" t="s">
        <v>170</v>
      </c>
      <c r="F133" s="75"/>
      <c r="G133" s="140" t="s">
        <v>170</v>
      </c>
      <c r="H133" s="147"/>
      <c r="I133" t="s">
        <v>1044</v>
      </c>
    </row>
    <row r="134" spans="1:9" x14ac:dyDescent="0.25">
      <c r="A134" t="s">
        <v>1045</v>
      </c>
      <c r="B134" t="s">
        <v>457</v>
      </c>
      <c r="C134" t="s">
        <v>472</v>
      </c>
      <c r="D134" t="s">
        <v>473</v>
      </c>
      <c r="E134" t="s">
        <v>1309</v>
      </c>
      <c r="F134" s="75">
        <v>0.76</v>
      </c>
      <c r="G134" s="140">
        <v>64</v>
      </c>
      <c r="H134" s="147">
        <v>80</v>
      </c>
      <c r="I134" t="s">
        <v>1310</v>
      </c>
    </row>
    <row r="135" spans="1:9" x14ac:dyDescent="0.25">
      <c r="A135" t="s">
        <v>1046</v>
      </c>
      <c r="B135" t="s">
        <v>457</v>
      </c>
      <c r="C135" t="s">
        <v>458</v>
      </c>
      <c r="D135" t="s">
        <v>473</v>
      </c>
      <c r="E135" t="s">
        <v>466</v>
      </c>
      <c r="F135" s="75"/>
      <c r="G135" s="140">
        <v>68</v>
      </c>
      <c r="H135" s="147">
        <v>80</v>
      </c>
      <c r="I135" t="s">
        <v>1047</v>
      </c>
    </row>
    <row r="136" spans="1:9" x14ac:dyDescent="0.25">
      <c r="A136" t="s">
        <v>1088</v>
      </c>
      <c r="B136" t="s">
        <v>457</v>
      </c>
      <c r="C136" t="s">
        <v>970</v>
      </c>
      <c r="E136" t="s">
        <v>170</v>
      </c>
      <c r="F136" s="75"/>
      <c r="G136" s="140">
        <v>60</v>
      </c>
      <c r="H136" s="147">
        <v>74</v>
      </c>
      <c r="I136" t="s">
        <v>1089</v>
      </c>
    </row>
    <row r="137" spans="1:9" x14ac:dyDescent="0.25">
      <c r="A137" t="s">
        <v>576</v>
      </c>
      <c r="B137" t="s">
        <v>457</v>
      </c>
      <c r="C137" t="s">
        <v>472</v>
      </c>
      <c r="D137" t="s">
        <v>468</v>
      </c>
      <c r="E137" t="s">
        <v>474</v>
      </c>
      <c r="F137" s="75">
        <v>0.75</v>
      </c>
      <c r="G137" s="140">
        <v>63</v>
      </c>
      <c r="H137" s="147">
        <v>76</v>
      </c>
      <c r="I137" t="s">
        <v>577</v>
      </c>
    </row>
    <row r="138" spans="1:9" x14ac:dyDescent="0.25">
      <c r="A138" t="s">
        <v>1048</v>
      </c>
      <c r="B138" t="s">
        <v>457</v>
      </c>
      <c r="C138" t="s">
        <v>458</v>
      </c>
      <c r="D138" t="s">
        <v>462</v>
      </c>
      <c r="E138" t="s">
        <v>468</v>
      </c>
      <c r="F138" s="75"/>
      <c r="G138" s="140">
        <v>63</v>
      </c>
      <c r="H138" s="147">
        <v>73</v>
      </c>
      <c r="I138" t="s">
        <v>1049</v>
      </c>
    </row>
    <row r="139" spans="1:9" x14ac:dyDescent="0.25">
      <c r="A139" t="s">
        <v>1050</v>
      </c>
      <c r="B139" t="s">
        <v>457</v>
      </c>
      <c r="C139" t="s">
        <v>472</v>
      </c>
      <c r="D139" t="s">
        <v>468</v>
      </c>
      <c r="E139" t="s">
        <v>1311</v>
      </c>
      <c r="F139" s="75">
        <v>0.8</v>
      </c>
      <c r="G139" s="140">
        <v>65</v>
      </c>
      <c r="H139" s="147">
        <v>77</v>
      </c>
      <c r="I139" t="s">
        <v>1312</v>
      </c>
    </row>
    <row r="140" spans="1:9" x14ac:dyDescent="0.25">
      <c r="A140" s="24" t="s">
        <v>1769</v>
      </c>
      <c r="B140" s="24" t="s">
        <v>457</v>
      </c>
      <c r="C140" s="24" t="s">
        <v>1743</v>
      </c>
      <c r="D140" s="24" t="s">
        <v>468</v>
      </c>
      <c r="E140" s="24" t="s">
        <v>1294</v>
      </c>
      <c r="F140" s="228">
        <v>0.75</v>
      </c>
      <c r="G140" s="140">
        <v>63</v>
      </c>
      <c r="H140" s="147">
        <v>73</v>
      </c>
      <c r="I140" s="24" t="s">
        <v>1770</v>
      </c>
    </row>
    <row r="141" spans="1:9" x14ac:dyDescent="0.25">
      <c r="A141" s="24" t="s">
        <v>1771</v>
      </c>
      <c r="B141" s="24" t="s">
        <v>457</v>
      </c>
      <c r="C141" s="24" t="s">
        <v>1743</v>
      </c>
      <c r="D141" s="24" t="s">
        <v>468</v>
      </c>
      <c r="E141" s="24" t="s">
        <v>1294</v>
      </c>
      <c r="F141" s="228">
        <v>0.75</v>
      </c>
      <c r="G141" s="140">
        <v>56</v>
      </c>
      <c r="H141" s="147">
        <v>65</v>
      </c>
      <c r="I141" s="24" t="s">
        <v>1772</v>
      </c>
    </row>
    <row r="142" spans="1:9" x14ac:dyDescent="0.25">
      <c r="A142" s="24" t="s">
        <v>1773</v>
      </c>
      <c r="B142" s="24" t="s">
        <v>457</v>
      </c>
      <c r="C142" s="24" t="s">
        <v>1743</v>
      </c>
      <c r="D142" s="24" t="s">
        <v>459</v>
      </c>
      <c r="E142" s="24" t="s">
        <v>1294</v>
      </c>
      <c r="F142" s="228">
        <v>0.75</v>
      </c>
      <c r="G142" s="140">
        <v>60</v>
      </c>
      <c r="H142" s="147">
        <v>69</v>
      </c>
      <c r="I142" s="24" t="s">
        <v>1774</v>
      </c>
    </row>
    <row r="143" spans="1:9" x14ac:dyDescent="0.25">
      <c r="A143" t="s">
        <v>578</v>
      </c>
      <c r="B143" t="s">
        <v>457</v>
      </c>
      <c r="C143" t="s">
        <v>472</v>
      </c>
      <c r="D143" t="s">
        <v>468</v>
      </c>
      <c r="E143" t="s">
        <v>474</v>
      </c>
      <c r="F143" s="75">
        <v>0.75</v>
      </c>
      <c r="G143" s="140">
        <v>55</v>
      </c>
      <c r="H143" s="147">
        <v>68</v>
      </c>
      <c r="I143" t="s">
        <v>579</v>
      </c>
    </row>
    <row r="144" spans="1:9" x14ac:dyDescent="0.25">
      <c r="A144" t="s">
        <v>580</v>
      </c>
      <c r="B144" t="s">
        <v>457</v>
      </c>
      <c r="C144" t="s">
        <v>458</v>
      </c>
      <c r="D144" t="s">
        <v>459</v>
      </c>
      <c r="E144" t="s">
        <v>582</v>
      </c>
      <c r="F144" s="75">
        <v>0.75</v>
      </c>
      <c r="G144" s="140">
        <v>65</v>
      </c>
      <c r="H144" s="147">
        <v>69</v>
      </c>
      <c r="I144" t="s">
        <v>583</v>
      </c>
    </row>
    <row r="145" spans="1:9" x14ac:dyDescent="0.25">
      <c r="A145" t="s">
        <v>1103</v>
      </c>
      <c r="B145" t="s">
        <v>457</v>
      </c>
      <c r="C145" t="s">
        <v>458</v>
      </c>
      <c r="D145" t="s">
        <v>459</v>
      </c>
      <c r="E145" t="s">
        <v>498</v>
      </c>
      <c r="F145" s="75">
        <v>0.73</v>
      </c>
      <c r="G145" s="140">
        <v>48</v>
      </c>
      <c r="H145" s="147">
        <v>55</v>
      </c>
      <c r="I145" t="s">
        <v>1104</v>
      </c>
    </row>
    <row r="146" spans="1:9" x14ac:dyDescent="0.25">
      <c r="A146" t="s">
        <v>1105</v>
      </c>
      <c r="B146" t="s">
        <v>457</v>
      </c>
      <c r="C146" t="s">
        <v>458</v>
      </c>
      <c r="D146" t="s">
        <v>459</v>
      </c>
      <c r="E146" t="s">
        <v>558</v>
      </c>
      <c r="F146" s="75">
        <v>0.76500000000000001</v>
      </c>
      <c r="G146" s="140">
        <v>50</v>
      </c>
      <c r="H146" s="147">
        <v>55</v>
      </c>
      <c r="I146" t="s">
        <v>1106</v>
      </c>
    </row>
    <row r="147" spans="1:9" x14ac:dyDescent="0.25">
      <c r="A147" t="s">
        <v>584</v>
      </c>
      <c r="B147" t="s">
        <v>457</v>
      </c>
      <c r="C147" t="s">
        <v>472</v>
      </c>
      <c r="D147" t="s">
        <v>466</v>
      </c>
      <c r="E147" t="s">
        <v>474</v>
      </c>
      <c r="F147" s="75">
        <v>0.75</v>
      </c>
      <c r="G147" s="140">
        <v>63</v>
      </c>
      <c r="H147" s="147">
        <v>75</v>
      </c>
      <c r="I147" t="s">
        <v>585</v>
      </c>
    </row>
    <row r="148" spans="1:9" x14ac:dyDescent="0.25">
      <c r="A148" t="s">
        <v>586</v>
      </c>
      <c r="B148" t="s">
        <v>457</v>
      </c>
      <c r="C148" t="s">
        <v>458</v>
      </c>
      <c r="D148" t="s">
        <v>473</v>
      </c>
      <c r="E148" t="s">
        <v>479</v>
      </c>
      <c r="F148" s="75">
        <v>0.74</v>
      </c>
      <c r="G148" s="140">
        <v>68</v>
      </c>
      <c r="H148" s="147">
        <v>72</v>
      </c>
      <c r="I148" t="s">
        <v>587</v>
      </c>
    </row>
    <row r="149" spans="1:9" x14ac:dyDescent="0.25">
      <c r="A149" t="s">
        <v>588</v>
      </c>
      <c r="B149" t="s">
        <v>457</v>
      </c>
      <c r="C149" t="s">
        <v>458</v>
      </c>
      <c r="D149" t="s">
        <v>468</v>
      </c>
      <c r="E149" t="s">
        <v>589</v>
      </c>
      <c r="F149" s="75">
        <v>0.76500000000000001</v>
      </c>
      <c r="G149" s="140">
        <v>66</v>
      </c>
      <c r="H149" s="147">
        <v>70</v>
      </c>
      <c r="I149" t="s">
        <v>590</v>
      </c>
    </row>
    <row r="150" spans="1:9" x14ac:dyDescent="0.25">
      <c r="A150" t="s">
        <v>1313</v>
      </c>
      <c r="B150" t="s">
        <v>457</v>
      </c>
      <c r="C150" t="s">
        <v>472</v>
      </c>
      <c r="D150" t="s">
        <v>459</v>
      </c>
      <c r="E150" t="s">
        <v>1314</v>
      </c>
      <c r="F150" s="75">
        <v>0.72</v>
      </c>
      <c r="G150" s="140">
        <v>48</v>
      </c>
      <c r="H150" s="147">
        <v>56</v>
      </c>
      <c r="I150" t="s">
        <v>1315</v>
      </c>
    </row>
    <row r="151" spans="1:9" x14ac:dyDescent="0.25">
      <c r="A151" t="s">
        <v>591</v>
      </c>
      <c r="B151" t="s">
        <v>457</v>
      </c>
      <c r="C151" t="s">
        <v>472</v>
      </c>
      <c r="D151" t="s">
        <v>459</v>
      </c>
      <c r="E151" t="s">
        <v>600</v>
      </c>
      <c r="F151" s="75">
        <v>0.73</v>
      </c>
      <c r="G151" s="140">
        <v>62</v>
      </c>
      <c r="H151" s="147">
        <v>72</v>
      </c>
      <c r="I151" t="s">
        <v>592</v>
      </c>
    </row>
    <row r="152" spans="1:9" x14ac:dyDescent="0.25">
      <c r="A152" t="s">
        <v>593</v>
      </c>
      <c r="B152" t="s">
        <v>457</v>
      </c>
      <c r="C152" t="s">
        <v>458</v>
      </c>
      <c r="D152" t="s">
        <v>462</v>
      </c>
      <c r="E152" t="s">
        <v>1144</v>
      </c>
      <c r="F152" s="75">
        <v>0.71499999999999997</v>
      </c>
      <c r="G152" s="140">
        <v>65</v>
      </c>
      <c r="H152" s="147">
        <v>68</v>
      </c>
      <c r="I152" t="s">
        <v>594</v>
      </c>
    </row>
    <row r="153" spans="1:9" x14ac:dyDescent="0.25">
      <c r="A153" t="s">
        <v>1286</v>
      </c>
      <c r="B153" t="s">
        <v>457</v>
      </c>
      <c r="C153" t="s">
        <v>970</v>
      </c>
      <c r="D153" t="s">
        <v>466</v>
      </c>
      <c r="F153" s="75">
        <v>0.75</v>
      </c>
      <c r="G153" s="140">
        <v>46</v>
      </c>
      <c r="H153" s="147">
        <v>54</v>
      </c>
      <c r="I153" t="s">
        <v>1287</v>
      </c>
    </row>
    <row r="154" spans="1:9" x14ac:dyDescent="0.25">
      <c r="A154" t="s">
        <v>595</v>
      </c>
      <c r="B154" t="s">
        <v>457</v>
      </c>
      <c r="C154" t="s">
        <v>472</v>
      </c>
      <c r="D154" t="s">
        <v>468</v>
      </c>
      <c r="E154" t="s">
        <v>474</v>
      </c>
      <c r="F154" s="75">
        <v>0.75</v>
      </c>
      <c r="G154" s="140">
        <v>56</v>
      </c>
      <c r="H154" s="147">
        <v>70</v>
      </c>
      <c r="I154" t="s">
        <v>596</v>
      </c>
    </row>
    <row r="155" spans="1:9" x14ac:dyDescent="0.25">
      <c r="A155" t="s">
        <v>1316</v>
      </c>
      <c r="B155" t="s">
        <v>457</v>
      </c>
      <c r="C155" t="s">
        <v>472</v>
      </c>
      <c r="D155" t="s">
        <v>468</v>
      </c>
      <c r="E155" t="s">
        <v>1294</v>
      </c>
      <c r="F155" s="75">
        <v>0.75</v>
      </c>
      <c r="G155" s="140">
        <v>56</v>
      </c>
      <c r="H155" s="147">
        <v>70</v>
      </c>
      <c r="I155" t="s">
        <v>1317</v>
      </c>
    </row>
    <row r="156" spans="1:9" x14ac:dyDescent="0.25">
      <c r="A156" t="s">
        <v>1179</v>
      </c>
      <c r="B156" t="s">
        <v>457</v>
      </c>
      <c r="C156" t="s">
        <v>970</v>
      </c>
      <c r="D156" t="s">
        <v>466</v>
      </c>
      <c r="E156" t="s">
        <v>459</v>
      </c>
      <c r="F156" s="75">
        <v>0.76500000000000001</v>
      </c>
      <c r="G156" s="140">
        <v>58</v>
      </c>
      <c r="H156" s="147">
        <v>66</v>
      </c>
      <c r="I156" t="s">
        <v>1283</v>
      </c>
    </row>
    <row r="157" spans="1:9" x14ac:dyDescent="0.25">
      <c r="A157" s="24" t="s">
        <v>1790</v>
      </c>
      <c r="B157" s="24" t="s">
        <v>457</v>
      </c>
      <c r="C157" s="24" t="s">
        <v>1743</v>
      </c>
      <c r="D157" s="24" t="s">
        <v>462</v>
      </c>
      <c r="E157" s="24" t="s">
        <v>1791</v>
      </c>
      <c r="F157" s="228">
        <v>0.73</v>
      </c>
      <c r="G157" s="140">
        <v>55</v>
      </c>
      <c r="H157" s="147">
        <v>65</v>
      </c>
      <c r="I157" s="24" t="s">
        <v>1792</v>
      </c>
    </row>
    <row r="158" spans="1:9" x14ac:dyDescent="0.25">
      <c r="A158" s="24" t="s">
        <v>1793</v>
      </c>
      <c r="B158" s="24" t="s">
        <v>457</v>
      </c>
      <c r="C158" s="24" t="s">
        <v>1743</v>
      </c>
      <c r="D158" s="24" t="s">
        <v>473</v>
      </c>
      <c r="E158" s="24" t="s">
        <v>1294</v>
      </c>
      <c r="F158" s="228">
        <v>0.75</v>
      </c>
      <c r="G158" s="140">
        <v>46</v>
      </c>
      <c r="H158" s="147">
        <v>56</v>
      </c>
      <c r="I158" s="24" t="s">
        <v>1794</v>
      </c>
    </row>
    <row r="159" spans="1:9" x14ac:dyDescent="0.25">
      <c r="A159" s="24" t="s">
        <v>1795</v>
      </c>
      <c r="B159" s="24" t="s">
        <v>457</v>
      </c>
      <c r="C159" s="24" t="s">
        <v>1743</v>
      </c>
      <c r="D159" s="24" t="s">
        <v>459</v>
      </c>
      <c r="E159" s="24" t="s">
        <v>1314</v>
      </c>
      <c r="F159" s="228">
        <v>0.72</v>
      </c>
      <c r="G159" s="140">
        <v>50</v>
      </c>
      <c r="H159" s="147">
        <v>60</v>
      </c>
      <c r="I159" s="24" t="s">
        <v>1796</v>
      </c>
    </row>
    <row r="160" spans="1:9" x14ac:dyDescent="0.25">
      <c r="A160" s="24" t="s">
        <v>1797</v>
      </c>
      <c r="B160" s="24" t="s">
        <v>457</v>
      </c>
      <c r="C160" s="24" t="s">
        <v>1743</v>
      </c>
      <c r="D160" s="24" t="s">
        <v>459</v>
      </c>
      <c r="E160" s="24" t="s">
        <v>1791</v>
      </c>
      <c r="F160" s="228">
        <v>0.73</v>
      </c>
      <c r="G160" s="140">
        <v>52</v>
      </c>
      <c r="H160" s="147">
        <v>58</v>
      </c>
      <c r="I160" s="24" t="s">
        <v>1798</v>
      </c>
    </row>
    <row r="161" spans="1:9" x14ac:dyDescent="0.25">
      <c r="A161" t="s">
        <v>1090</v>
      </c>
      <c r="B161" t="s">
        <v>457</v>
      </c>
      <c r="C161" t="s">
        <v>472</v>
      </c>
      <c r="E161" t="s">
        <v>170</v>
      </c>
      <c r="F161" s="75"/>
      <c r="G161" s="140">
        <v>60</v>
      </c>
      <c r="H161" s="147">
        <v>95</v>
      </c>
      <c r="I161" t="s">
        <v>1091</v>
      </c>
    </row>
    <row r="162" spans="1:9" x14ac:dyDescent="0.25">
      <c r="A162" t="s">
        <v>1051</v>
      </c>
      <c r="B162" t="s">
        <v>457</v>
      </c>
      <c r="C162" t="s">
        <v>472</v>
      </c>
      <c r="D162" t="s">
        <v>468</v>
      </c>
      <c r="E162" t="s">
        <v>1318</v>
      </c>
      <c r="F162" s="75">
        <v>0.73</v>
      </c>
      <c r="G162" s="140">
        <v>64</v>
      </c>
      <c r="H162" s="147">
        <v>75</v>
      </c>
      <c r="I162" t="s">
        <v>1319</v>
      </c>
    </row>
    <row r="163" spans="1:9" x14ac:dyDescent="0.25">
      <c r="A163" t="s">
        <v>597</v>
      </c>
      <c r="B163" t="s">
        <v>457</v>
      </c>
      <c r="C163" t="s">
        <v>472</v>
      </c>
      <c r="D163" t="s">
        <v>473</v>
      </c>
      <c r="E163" t="s">
        <v>474</v>
      </c>
      <c r="F163" s="75">
        <v>0.75</v>
      </c>
      <c r="G163" s="140">
        <v>60</v>
      </c>
      <c r="H163" s="147">
        <v>72</v>
      </c>
      <c r="I163" t="s">
        <v>598</v>
      </c>
    </row>
    <row r="164" spans="1:9" x14ac:dyDescent="0.25">
      <c r="A164" t="s">
        <v>599</v>
      </c>
      <c r="B164" t="s">
        <v>457</v>
      </c>
      <c r="C164" t="s">
        <v>472</v>
      </c>
      <c r="D164" t="s">
        <v>466</v>
      </c>
      <c r="E164" t="s">
        <v>600</v>
      </c>
      <c r="F164" s="75">
        <v>0.73</v>
      </c>
      <c r="G164" s="140">
        <v>64</v>
      </c>
      <c r="H164" s="147">
        <v>74</v>
      </c>
      <c r="I164" t="s">
        <v>601</v>
      </c>
    </row>
    <row r="165" spans="1:9" x14ac:dyDescent="0.25">
      <c r="A165" t="s">
        <v>602</v>
      </c>
      <c r="B165" t="s">
        <v>457</v>
      </c>
      <c r="C165" t="s">
        <v>458</v>
      </c>
      <c r="D165" t="s">
        <v>459</v>
      </c>
      <c r="E165" t="s">
        <v>603</v>
      </c>
      <c r="F165" s="75">
        <v>0.71</v>
      </c>
      <c r="G165" s="140">
        <v>66</v>
      </c>
      <c r="H165" s="147">
        <v>71</v>
      </c>
      <c r="I165" t="s">
        <v>604</v>
      </c>
    </row>
    <row r="166" spans="1:9" x14ac:dyDescent="0.25">
      <c r="A166" t="s">
        <v>605</v>
      </c>
      <c r="B166" t="s">
        <v>457</v>
      </c>
      <c r="C166" t="s">
        <v>472</v>
      </c>
      <c r="D166" t="s">
        <v>466</v>
      </c>
      <c r="E166" t="s">
        <v>571</v>
      </c>
      <c r="F166" s="75">
        <v>0.69</v>
      </c>
      <c r="G166" s="55">
        <v>64</v>
      </c>
      <c r="H166" s="148">
        <v>72</v>
      </c>
      <c r="I166" t="s">
        <v>606</v>
      </c>
    </row>
    <row r="167" spans="1:9" x14ac:dyDescent="0.25">
      <c r="A167" t="s">
        <v>963</v>
      </c>
      <c r="B167" t="s">
        <v>457</v>
      </c>
      <c r="C167" t="s">
        <v>964</v>
      </c>
      <c r="D167" t="s">
        <v>466</v>
      </c>
      <c r="E167" t="s">
        <v>553</v>
      </c>
      <c r="F167" s="75">
        <v>0.75</v>
      </c>
      <c r="G167" s="220">
        <v>68</v>
      </c>
      <c r="H167" s="147">
        <v>75</v>
      </c>
      <c r="I167" t="s">
        <v>965</v>
      </c>
    </row>
    <row r="168" spans="1:9" x14ac:dyDescent="0.25">
      <c r="A168" t="s">
        <v>1145</v>
      </c>
      <c r="B168" t="s">
        <v>457</v>
      </c>
      <c r="C168" t="s">
        <v>458</v>
      </c>
      <c r="D168" t="s">
        <v>462</v>
      </c>
      <c r="E168" t="s">
        <v>459</v>
      </c>
      <c r="F168" s="75">
        <v>0.72</v>
      </c>
      <c r="G168" s="140">
        <v>65</v>
      </c>
      <c r="H168" s="147">
        <v>70</v>
      </c>
      <c r="I168" t="s">
        <v>1146</v>
      </c>
    </row>
    <row r="169" spans="1:9" x14ac:dyDescent="0.25">
      <c r="A169" t="s">
        <v>1001</v>
      </c>
      <c r="B169" t="s">
        <v>457</v>
      </c>
      <c r="C169" t="s">
        <v>458</v>
      </c>
      <c r="D169" t="s">
        <v>459</v>
      </c>
      <c r="E169" t="s">
        <v>1002</v>
      </c>
      <c r="F169" s="75">
        <v>0.74</v>
      </c>
      <c r="G169" s="140">
        <v>50</v>
      </c>
      <c r="H169" s="147">
        <v>55</v>
      </c>
      <c r="I169" t="s">
        <v>1003</v>
      </c>
    </row>
    <row r="170" spans="1:9" x14ac:dyDescent="0.25">
      <c r="A170" t="s">
        <v>1149</v>
      </c>
      <c r="B170" t="s">
        <v>457</v>
      </c>
      <c r="C170" t="s">
        <v>970</v>
      </c>
      <c r="D170" t="s">
        <v>459</v>
      </c>
      <c r="E170" t="s">
        <v>459</v>
      </c>
      <c r="F170" s="75"/>
      <c r="G170" s="140">
        <v>46</v>
      </c>
      <c r="H170" s="147">
        <v>54</v>
      </c>
      <c r="I170" t="s">
        <v>1150</v>
      </c>
    </row>
    <row r="171" spans="1:9" x14ac:dyDescent="0.25">
      <c r="A171" t="s">
        <v>1004</v>
      </c>
      <c r="B171" t="s">
        <v>457</v>
      </c>
      <c r="C171" t="s">
        <v>458</v>
      </c>
      <c r="D171" t="s">
        <v>459</v>
      </c>
      <c r="E171" t="s">
        <v>459</v>
      </c>
      <c r="F171" s="75">
        <v>0.7</v>
      </c>
      <c r="G171" s="140">
        <v>48</v>
      </c>
      <c r="H171" s="147">
        <v>52</v>
      </c>
      <c r="I171" t="s">
        <v>1005</v>
      </c>
    </row>
    <row r="172" spans="1:9" x14ac:dyDescent="0.25">
      <c r="A172" t="s">
        <v>1107</v>
      </c>
      <c r="B172" t="s">
        <v>457</v>
      </c>
      <c r="C172" t="s">
        <v>472</v>
      </c>
      <c r="D172" t="s">
        <v>459</v>
      </c>
      <c r="E172" t="s">
        <v>1108</v>
      </c>
      <c r="F172" s="75">
        <v>0.72</v>
      </c>
      <c r="G172" s="140">
        <v>48</v>
      </c>
      <c r="H172" s="147">
        <v>56</v>
      </c>
      <c r="I172" t="s">
        <v>1109</v>
      </c>
    </row>
    <row r="173" spans="1:9" x14ac:dyDescent="0.25">
      <c r="A173" t="s">
        <v>1110</v>
      </c>
      <c r="B173" t="s">
        <v>457</v>
      </c>
      <c r="C173" t="s">
        <v>472</v>
      </c>
      <c r="D173" t="s">
        <v>459</v>
      </c>
      <c r="E173" t="s">
        <v>1320</v>
      </c>
      <c r="F173" s="75">
        <v>0.73</v>
      </c>
      <c r="G173" s="140">
        <v>52</v>
      </c>
      <c r="H173" s="147">
        <v>62</v>
      </c>
      <c r="I173" t="s">
        <v>1111</v>
      </c>
    </row>
    <row r="174" spans="1:9" x14ac:dyDescent="0.25">
      <c r="A174" s="24" t="s">
        <v>1358</v>
      </c>
      <c r="B174" t="s">
        <v>532</v>
      </c>
      <c r="C174" t="s">
        <v>955</v>
      </c>
      <c r="D174" t="s">
        <v>1185</v>
      </c>
      <c r="E174" t="s">
        <v>459</v>
      </c>
      <c r="F174" s="75">
        <v>0.7</v>
      </c>
      <c r="G174" s="140">
        <v>63</v>
      </c>
      <c r="H174" s="147">
        <v>72</v>
      </c>
      <c r="I174" t="s">
        <v>1186</v>
      </c>
    </row>
    <row r="175" spans="1:9" x14ac:dyDescent="0.25">
      <c r="A175" t="s">
        <v>607</v>
      </c>
      <c r="B175" t="s">
        <v>532</v>
      </c>
      <c r="C175" t="s">
        <v>608</v>
      </c>
      <c r="D175" t="s">
        <v>466</v>
      </c>
      <c r="E175" t="s">
        <v>466</v>
      </c>
      <c r="F175" s="75"/>
      <c r="G175" s="140">
        <v>57</v>
      </c>
      <c r="H175" s="147">
        <v>77</v>
      </c>
      <c r="I175" t="s">
        <v>609</v>
      </c>
    </row>
    <row r="176" spans="1:9" x14ac:dyDescent="0.25">
      <c r="A176" t="s">
        <v>610</v>
      </c>
      <c r="B176" t="s">
        <v>532</v>
      </c>
      <c r="C176" t="s">
        <v>608</v>
      </c>
      <c r="D176" t="s">
        <v>466</v>
      </c>
      <c r="E176" t="s">
        <v>466</v>
      </c>
      <c r="F176" s="75"/>
      <c r="G176" s="140">
        <v>57</v>
      </c>
      <c r="H176" s="147">
        <v>77</v>
      </c>
      <c r="I176" t="s">
        <v>611</v>
      </c>
    </row>
    <row r="177" spans="1:9" x14ac:dyDescent="0.25">
      <c r="A177" t="s">
        <v>966</v>
      </c>
      <c r="B177" t="s">
        <v>457</v>
      </c>
      <c r="C177" t="s">
        <v>458</v>
      </c>
      <c r="D177" t="s">
        <v>459</v>
      </c>
      <c r="E177" t="s">
        <v>967</v>
      </c>
      <c r="F177" s="75">
        <v>0.80500000000000005</v>
      </c>
      <c r="G177" s="140">
        <v>76</v>
      </c>
      <c r="H177" s="147">
        <v>85</v>
      </c>
      <c r="I177" t="s">
        <v>968</v>
      </c>
    </row>
    <row r="178" spans="1:9" x14ac:dyDescent="0.25">
      <c r="A178" t="s">
        <v>1125</v>
      </c>
      <c r="B178" t="s">
        <v>532</v>
      </c>
      <c r="C178" t="s">
        <v>982</v>
      </c>
      <c r="D178" t="s">
        <v>459</v>
      </c>
      <c r="E178" t="s">
        <v>459</v>
      </c>
      <c r="F178" s="75"/>
      <c r="G178" s="140">
        <v>64</v>
      </c>
      <c r="H178" s="147">
        <v>72</v>
      </c>
      <c r="I178" t="s">
        <v>1126</v>
      </c>
    </row>
    <row r="179" spans="1:9" x14ac:dyDescent="0.25">
      <c r="A179" t="s">
        <v>1006</v>
      </c>
      <c r="B179" t="s">
        <v>457</v>
      </c>
      <c r="C179" t="s">
        <v>472</v>
      </c>
      <c r="D179" t="s">
        <v>466</v>
      </c>
      <c r="E179" t="s">
        <v>1318</v>
      </c>
      <c r="F179" s="75">
        <v>0.73</v>
      </c>
      <c r="G179" s="140">
        <v>52</v>
      </c>
      <c r="H179" s="147">
        <v>58</v>
      </c>
      <c r="I179" t="s">
        <v>1321</v>
      </c>
    </row>
    <row r="180" spans="1:9" x14ac:dyDescent="0.25">
      <c r="A180" t="s">
        <v>1159</v>
      </c>
      <c r="B180" t="s">
        <v>457</v>
      </c>
      <c r="C180" t="s">
        <v>465</v>
      </c>
      <c r="D180" t="s">
        <v>468</v>
      </c>
      <c r="E180" t="s">
        <v>466</v>
      </c>
      <c r="F180" s="75"/>
      <c r="G180" s="140">
        <v>68</v>
      </c>
      <c r="H180" s="147">
        <v>72</v>
      </c>
      <c r="I180" t="s">
        <v>1160</v>
      </c>
    </row>
    <row r="181" spans="1:9" x14ac:dyDescent="0.25">
      <c r="A181" t="s">
        <v>969</v>
      </c>
      <c r="B181" t="s">
        <v>457</v>
      </c>
      <c r="C181" t="s">
        <v>970</v>
      </c>
      <c r="D181" t="s">
        <v>466</v>
      </c>
      <c r="E181" t="s">
        <v>466</v>
      </c>
      <c r="F181" s="75"/>
      <c r="G181" s="140">
        <v>65</v>
      </c>
      <c r="H181" s="147">
        <v>70</v>
      </c>
      <c r="I181" t="s">
        <v>971</v>
      </c>
    </row>
    <row r="182" spans="1:9" x14ac:dyDescent="0.25">
      <c r="A182" t="s">
        <v>612</v>
      </c>
      <c r="B182" t="s">
        <v>457</v>
      </c>
      <c r="C182" t="s">
        <v>472</v>
      </c>
      <c r="D182" t="s">
        <v>466</v>
      </c>
      <c r="E182" t="s">
        <v>571</v>
      </c>
      <c r="F182" s="75">
        <v>0.69</v>
      </c>
      <c r="G182" s="140">
        <v>65</v>
      </c>
      <c r="H182" s="147">
        <v>75</v>
      </c>
      <c r="I182" t="s">
        <v>613</v>
      </c>
    </row>
    <row r="183" spans="1:9" x14ac:dyDescent="0.25">
      <c r="A183" t="s">
        <v>614</v>
      </c>
      <c r="B183" t="s">
        <v>532</v>
      </c>
      <c r="C183" t="s">
        <v>955</v>
      </c>
      <c r="D183" t="s">
        <v>466</v>
      </c>
      <c r="E183" t="s">
        <v>466</v>
      </c>
      <c r="F183" s="75">
        <v>0.75</v>
      </c>
      <c r="G183" s="140">
        <v>57</v>
      </c>
      <c r="H183" s="147">
        <v>70</v>
      </c>
      <c r="I183" t="s">
        <v>615</v>
      </c>
    </row>
    <row r="184" spans="1:9" x14ac:dyDescent="0.25">
      <c r="A184" t="s">
        <v>1173</v>
      </c>
      <c r="B184" t="s">
        <v>457</v>
      </c>
      <c r="C184" t="s">
        <v>472</v>
      </c>
      <c r="D184" t="s">
        <v>473</v>
      </c>
      <c r="E184" t="s">
        <v>474</v>
      </c>
      <c r="F184" s="75">
        <v>0.75</v>
      </c>
      <c r="G184" s="140">
        <v>48</v>
      </c>
      <c r="H184" s="147">
        <v>58</v>
      </c>
      <c r="I184" t="s">
        <v>1174</v>
      </c>
    </row>
    <row r="185" spans="1:9" x14ac:dyDescent="0.25">
      <c r="A185" t="s">
        <v>1175</v>
      </c>
      <c r="B185" t="s">
        <v>457</v>
      </c>
      <c r="C185" t="s">
        <v>458</v>
      </c>
      <c r="D185" t="s">
        <v>459</v>
      </c>
      <c r="E185" t="s">
        <v>1176</v>
      </c>
      <c r="F185" s="75">
        <v>0.69</v>
      </c>
      <c r="G185" s="140">
        <v>52</v>
      </c>
      <c r="H185" s="147">
        <v>58</v>
      </c>
      <c r="I185" t="s">
        <v>1177</v>
      </c>
    </row>
    <row r="186" spans="1:9" x14ac:dyDescent="0.25">
      <c r="A186" t="s">
        <v>1112</v>
      </c>
      <c r="B186" t="s">
        <v>457</v>
      </c>
      <c r="C186" t="s">
        <v>458</v>
      </c>
      <c r="D186" t="s">
        <v>459</v>
      </c>
      <c r="E186" t="s">
        <v>1113</v>
      </c>
      <c r="F186" s="75">
        <v>0.69</v>
      </c>
      <c r="G186" s="140">
        <v>50</v>
      </c>
      <c r="H186" s="147">
        <v>55</v>
      </c>
      <c r="I186" t="s">
        <v>1114</v>
      </c>
    </row>
    <row r="187" spans="1:9" x14ac:dyDescent="0.25">
      <c r="A187" t="s">
        <v>972</v>
      </c>
      <c r="B187" t="s">
        <v>457</v>
      </c>
      <c r="C187" t="s">
        <v>970</v>
      </c>
      <c r="D187" t="s">
        <v>466</v>
      </c>
      <c r="E187" t="s">
        <v>468</v>
      </c>
      <c r="F187" s="75">
        <v>0.76</v>
      </c>
      <c r="G187" s="140">
        <v>60</v>
      </c>
      <c r="H187" s="147">
        <v>68</v>
      </c>
      <c r="I187" t="s">
        <v>1278</v>
      </c>
    </row>
    <row r="188" spans="1:9" x14ac:dyDescent="0.25">
      <c r="A188" t="s">
        <v>973</v>
      </c>
      <c r="B188" t="s">
        <v>457</v>
      </c>
      <c r="C188" t="s">
        <v>970</v>
      </c>
      <c r="D188" t="s">
        <v>459</v>
      </c>
      <c r="E188" t="s">
        <v>459</v>
      </c>
      <c r="F188" s="75"/>
      <c r="G188" s="140">
        <v>58</v>
      </c>
      <c r="H188" s="147">
        <v>68</v>
      </c>
      <c r="I188" t="s">
        <v>974</v>
      </c>
    </row>
    <row r="189" spans="1:9" x14ac:dyDescent="0.25">
      <c r="A189" t="s">
        <v>975</v>
      </c>
      <c r="B189" t="s">
        <v>457</v>
      </c>
      <c r="C189" t="s">
        <v>458</v>
      </c>
      <c r="D189" t="s">
        <v>459</v>
      </c>
      <c r="E189" t="s">
        <v>459</v>
      </c>
      <c r="F189" s="75"/>
      <c r="G189" s="140">
        <v>66</v>
      </c>
      <c r="H189" s="147">
        <v>70</v>
      </c>
      <c r="I189" t="s">
        <v>976</v>
      </c>
    </row>
    <row r="190" spans="1:9" x14ac:dyDescent="0.25">
      <c r="A190" t="s">
        <v>1092</v>
      </c>
      <c r="B190" t="s">
        <v>457</v>
      </c>
      <c r="C190" t="s">
        <v>970</v>
      </c>
      <c r="E190" t="s">
        <v>459</v>
      </c>
      <c r="F190" s="75"/>
      <c r="G190" s="140">
        <v>68</v>
      </c>
      <c r="H190" s="147">
        <v>74</v>
      </c>
      <c r="I190" t="s">
        <v>1093</v>
      </c>
    </row>
    <row r="191" spans="1:9" x14ac:dyDescent="0.25">
      <c r="A191" t="s">
        <v>616</v>
      </c>
      <c r="B191" t="s">
        <v>457</v>
      </c>
      <c r="C191" t="s">
        <v>458</v>
      </c>
      <c r="D191" t="s">
        <v>466</v>
      </c>
      <c r="E191" t="s">
        <v>573</v>
      </c>
      <c r="F191" s="75">
        <v>0.67500000000000004</v>
      </c>
      <c r="G191" s="140">
        <v>65</v>
      </c>
      <c r="H191" s="147">
        <v>68</v>
      </c>
      <c r="I191" t="s">
        <v>617</v>
      </c>
    </row>
    <row r="192" spans="1:9" x14ac:dyDescent="0.25">
      <c r="A192" t="s">
        <v>1094</v>
      </c>
      <c r="B192" t="s">
        <v>457</v>
      </c>
      <c r="C192" t="s">
        <v>472</v>
      </c>
      <c r="E192" t="s">
        <v>170</v>
      </c>
      <c r="F192" s="75"/>
      <c r="G192" s="140">
        <v>60</v>
      </c>
      <c r="H192" s="147">
        <v>95</v>
      </c>
      <c r="I192" t="s">
        <v>1091</v>
      </c>
    </row>
    <row r="193" spans="1:9" x14ac:dyDescent="0.25">
      <c r="A193" t="s">
        <v>1161</v>
      </c>
      <c r="B193" t="s">
        <v>457</v>
      </c>
      <c r="C193" t="s">
        <v>472</v>
      </c>
      <c r="D193" t="s">
        <v>459</v>
      </c>
      <c r="E193" t="s">
        <v>600</v>
      </c>
      <c r="F193" s="75">
        <v>0.73</v>
      </c>
      <c r="G193" s="140">
        <v>48</v>
      </c>
      <c r="H193" s="147">
        <v>56</v>
      </c>
      <c r="I193" t="s">
        <v>1162</v>
      </c>
    </row>
    <row r="194" spans="1:9" x14ac:dyDescent="0.25">
      <c r="A194" t="s">
        <v>1163</v>
      </c>
      <c r="B194" t="s">
        <v>457</v>
      </c>
      <c r="C194" t="s">
        <v>458</v>
      </c>
      <c r="D194" t="s">
        <v>462</v>
      </c>
      <c r="E194" t="s">
        <v>1164</v>
      </c>
      <c r="F194" s="75">
        <v>0.745</v>
      </c>
      <c r="G194" s="140">
        <v>50</v>
      </c>
      <c r="H194" s="147">
        <v>55</v>
      </c>
      <c r="I194" t="s">
        <v>1165</v>
      </c>
    </row>
    <row r="195" spans="1:9" x14ac:dyDescent="0.25">
      <c r="A195" t="s">
        <v>1007</v>
      </c>
      <c r="B195" t="s">
        <v>457</v>
      </c>
      <c r="C195" t="s">
        <v>472</v>
      </c>
      <c r="D195" t="s">
        <v>468</v>
      </c>
      <c r="E195" t="s">
        <v>459</v>
      </c>
      <c r="F195" s="75"/>
      <c r="G195" s="140">
        <v>48</v>
      </c>
      <c r="H195" s="147">
        <v>68</v>
      </c>
      <c r="I195" t="s">
        <v>1008</v>
      </c>
    </row>
    <row r="196" spans="1:9" x14ac:dyDescent="0.25">
      <c r="A196" t="s">
        <v>618</v>
      </c>
      <c r="B196" t="s">
        <v>457</v>
      </c>
      <c r="C196" t="s">
        <v>472</v>
      </c>
      <c r="D196" t="s">
        <v>466</v>
      </c>
      <c r="E196" t="s">
        <v>567</v>
      </c>
      <c r="F196" s="75">
        <v>0.7</v>
      </c>
      <c r="G196" s="140">
        <v>64</v>
      </c>
      <c r="H196" s="147">
        <v>74</v>
      </c>
      <c r="I196" t="s">
        <v>619</v>
      </c>
    </row>
    <row r="197" spans="1:9" x14ac:dyDescent="0.25">
      <c r="A197" t="s">
        <v>1009</v>
      </c>
      <c r="B197" t="s">
        <v>457</v>
      </c>
      <c r="C197" t="s">
        <v>472</v>
      </c>
      <c r="D197" t="s">
        <v>462</v>
      </c>
      <c r="E197" t="s">
        <v>1314</v>
      </c>
      <c r="F197" s="75">
        <v>0.72</v>
      </c>
      <c r="G197" s="140">
        <v>48</v>
      </c>
      <c r="H197" s="147">
        <v>56</v>
      </c>
      <c r="I197" t="s">
        <v>1322</v>
      </c>
    </row>
    <row r="198" spans="1:9" x14ac:dyDescent="0.25">
      <c r="A198" t="s">
        <v>1095</v>
      </c>
      <c r="B198" t="s">
        <v>457</v>
      </c>
      <c r="C198" t="s">
        <v>472</v>
      </c>
      <c r="D198" t="s">
        <v>171</v>
      </c>
      <c r="E198" t="s">
        <v>1323</v>
      </c>
      <c r="F198" s="75">
        <v>0.8</v>
      </c>
      <c r="G198" s="140">
        <v>65</v>
      </c>
      <c r="H198" s="147">
        <v>85</v>
      </c>
      <c r="I198" t="s">
        <v>1324</v>
      </c>
    </row>
    <row r="199" spans="1:9" ht="26.4" x14ac:dyDescent="0.25">
      <c r="A199" t="s">
        <v>1334</v>
      </c>
      <c r="B199" t="s">
        <v>532</v>
      </c>
      <c r="C199" t="s">
        <v>575</v>
      </c>
      <c r="E199" s="60"/>
      <c r="F199" s="75">
        <v>0.9</v>
      </c>
      <c r="G199" s="140">
        <v>64.400000000000006</v>
      </c>
      <c r="H199" s="147">
        <v>82.4</v>
      </c>
      <c r="I199" s="139" t="s">
        <v>1335</v>
      </c>
    </row>
    <row r="200" spans="1:9" ht="26.4" x14ac:dyDescent="0.25">
      <c r="A200" t="s">
        <v>1350</v>
      </c>
      <c r="B200" t="s">
        <v>532</v>
      </c>
      <c r="C200" t="s">
        <v>575</v>
      </c>
      <c r="E200" s="60"/>
      <c r="F200" s="75">
        <v>0.82</v>
      </c>
      <c r="G200" s="140">
        <v>59</v>
      </c>
      <c r="H200" s="147">
        <v>68</v>
      </c>
      <c r="I200" s="139" t="s">
        <v>1351</v>
      </c>
    </row>
    <row r="201" spans="1:9" ht="39.6" x14ac:dyDescent="0.25">
      <c r="A201" t="s">
        <v>1348</v>
      </c>
      <c r="B201" t="s">
        <v>532</v>
      </c>
      <c r="C201" t="s">
        <v>575</v>
      </c>
      <c r="E201" s="60"/>
      <c r="F201" s="75"/>
      <c r="G201" s="140">
        <v>59</v>
      </c>
      <c r="H201" s="147">
        <v>77</v>
      </c>
      <c r="I201" s="139" t="s">
        <v>1349</v>
      </c>
    </row>
    <row r="202" spans="1:9" ht="26.4" x14ac:dyDescent="0.25">
      <c r="A202" t="s">
        <v>1346</v>
      </c>
      <c r="B202" t="s">
        <v>532</v>
      </c>
      <c r="C202" t="s">
        <v>575</v>
      </c>
      <c r="E202" s="60"/>
      <c r="F202" s="75">
        <v>0.81</v>
      </c>
      <c r="G202" s="140">
        <v>59</v>
      </c>
      <c r="H202" s="147">
        <v>68</v>
      </c>
      <c r="I202" s="139" t="s">
        <v>1347</v>
      </c>
    </row>
    <row r="203" spans="1:9" ht="39.6" x14ac:dyDescent="0.25">
      <c r="A203" t="s">
        <v>1336</v>
      </c>
      <c r="B203" t="s">
        <v>532</v>
      </c>
      <c r="C203" t="s">
        <v>575</v>
      </c>
      <c r="E203" s="60"/>
      <c r="F203" s="75">
        <v>0.79</v>
      </c>
      <c r="G203" s="140">
        <v>59</v>
      </c>
      <c r="H203" s="147">
        <v>68</v>
      </c>
      <c r="I203" s="139" t="s">
        <v>1337</v>
      </c>
    </row>
    <row r="204" spans="1:9" ht="39.6" x14ac:dyDescent="0.25">
      <c r="A204" t="s">
        <v>1341</v>
      </c>
      <c r="B204" t="s">
        <v>532</v>
      </c>
      <c r="C204" t="s">
        <v>575</v>
      </c>
      <c r="E204" s="60"/>
      <c r="F204" s="75">
        <v>0.75</v>
      </c>
      <c r="G204" s="140">
        <v>59</v>
      </c>
      <c r="H204" s="147">
        <v>68</v>
      </c>
      <c r="I204" s="139" t="s">
        <v>1342</v>
      </c>
    </row>
    <row r="205" spans="1:9" ht="26.4" x14ac:dyDescent="0.25">
      <c r="A205" t="s">
        <v>1339</v>
      </c>
      <c r="B205" t="s">
        <v>532</v>
      </c>
      <c r="C205" t="s">
        <v>575</v>
      </c>
      <c r="E205" s="60"/>
      <c r="F205" s="75">
        <v>0.75</v>
      </c>
      <c r="G205" s="140">
        <v>59</v>
      </c>
      <c r="H205" s="147">
        <v>68</v>
      </c>
      <c r="I205" s="139" t="s">
        <v>1340</v>
      </c>
    </row>
    <row r="206" spans="1:9" ht="26.4" x14ac:dyDescent="0.25">
      <c r="A206" t="s">
        <v>1338</v>
      </c>
      <c r="B206" t="s">
        <v>532</v>
      </c>
      <c r="C206" t="s">
        <v>575</v>
      </c>
      <c r="D206" t="s">
        <v>459</v>
      </c>
      <c r="E206" t="s">
        <v>466</v>
      </c>
      <c r="F206" s="75">
        <v>0.81</v>
      </c>
      <c r="G206" s="140">
        <v>64</v>
      </c>
      <c r="H206" s="147">
        <v>82</v>
      </c>
      <c r="I206" s="139" t="s">
        <v>1333</v>
      </c>
    </row>
    <row r="207" spans="1:9" x14ac:dyDescent="0.25">
      <c r="A207" t="s">
        <v>1187</v>
      </c>
      <c r="B207" t="s">
        <v>532</v>
      </c>
      <c r="C207" t="s">
        <v>575</v>
      </c>
      <c r="D207" t="s">
        <v>466</v>
      </c>
      <c r="E207" t="s">
        <v>466</v>
      </c>
      <c r="F207" s="75">
        <v>0.86</v>
      </c>
      <c r="G207" s="140">
        <v>64</v>
      </c>
      <c r="H207" s="147">
        <v>75</v>
      </c>
      <c r="I207" t="s">
        <v>1188</v>
      </c>
    </row>
    <row r="208" spans="1:9" ht="26.4" x14ac:dyDescent="0.25">
      <c r="A208" t="s">
        <v>1352</v>
      </c>
      <c r="B208" t="s">
        <v>532</v>
      </c>
      <c r="C208" t="s">
        <v>575</v>
      </c>
      <c r="E208" s="60"/>
      <c r="F208" s="75">
        <v>0.84</v>
      </c>
      <c r="G208" s="140">
        <v>53.6</v>
      </c>
      <c r="H208" s="147">
        <v>59</v>
      </c>
      <c r="I208" s="139" t="s">
        <v>1353</v>
      </c>
    </row>
    <row r="209" spans="1:9" x14ac:dyDescent="0.25">
      <c r="A209" t="s">
        <v>1345</v>
      </c>
      <c r="B209" t="s">
        <v>532</v>
      </c>
      <c r="C209" t="s">
        <v>575</v>
      </c>
      <c r="D209" t="s">
        <v>462</v>
      </c>
      <c r="E209" s="60">
        <v>0.8</v>
      </c>
      <c r="F209" s="75">
        <v>0.8</v>
      </c>
      <c r="G209" s="140">
        <v>48</v>
      </c>
      <c r="H209" s="147">
        <v>59</v>
      </c>
      <c r="I209" t="s">
        <v>1166</v>
      </c>
    </row>
    <row r="210" spans="1:9" x14ac:dyDescent="0.25">
      <c r="A210" t="s">
        <v>1344</v>
      </c>
      <c r="B210" t="s">
        <v>532</v>
      </c>
      <c r="C210" t="s">
        <v>575</v>
      </c>
      <c r="D210" t="s">
        <v>466</v>
      </c>
      <c r="E210" t="s">
        <v>466</v>
      </c>
      <c r="F210" s="75">
        <v>0.83</v>
      </c>
      <c r="G210" s="140">
        <v>54</v>
      </c>
      <c r="H210" s="147">
        <v>59</v>
      </c>
      <c r="I210" t="s">
        <v>1010</v>
      </c>
    </row>
    <row r="211" spans="1:9" x14ac:dyDescent="0.25">
      <c r="A211" t="s">
        <v>1275</v>
      </c>
      <c r="B211" t="s">
        <v>457</v>
      </c>
      <c r="C211" t="s">
        <v>970</v>
      </c>
      <c r="D211" t="s">
        <v>459</v>
      </c>
      <c r="E211" t="s">
        <v>459</v>
      </c>
      <c r="F211" s="75">
        <v>0.8</v>
      </c>
      <c r="G211" s="140">
        <v>75</v>
      </c>
      <c r="H211" s="147">
        <v>85</v>
      </c>
      <c r="I211" t="s">
        <v>1276</v>
      </c>
    </row>
    <row r="212" spans="1:9" x14ac:dyDescent="0.25">
      <c r="A212" t="s">
        <v>1273</v>
      </c>
      <c r="B212" t="s">
        <v>457</v>
      </c>
      <c r="C212" t="s">
        <v>970</v>
      </c>
      <c r="D212" t="s">
        <v>459</v>
      </c>
      <c r="E212" t="s">
        <v>459</v>
      </c>
      <c r="F212" s="75">
        <v>0.77</v>
      </c>
      <c r="G212" s="140">
        <v>75</v>
      </c>
      <c r="H212" s="147">
        <v>82</v>
      </c>
      <c r="I212" t="s">
        <v>1281</v>
      </c>
    </row>
    <row r="213" spans="1:9" x14ac:dyDescent="0.25">
      <c r="A213" t="s">
        <v>977</v>
      </c>
      <c r="B213" t="s">
        <v>457</v>
      </c>
      <c r="C213" t="s">
        <v>458</v>
      </c>
      <c r="D213" t="s">
        <v>462</v>
      </c>
      <c r="E213" t="s">
        <v>466</v>
      </c>
      <c r="F213" s="75">
        <v>0.75</v>
      </c>
      <c r="G213" s="140">
        <v>65</v>
      </c>
      <c r="H213" s="147">
        <v>68</v>
      </c>
      <c r="I213" t="s">
        <v>978</v>
      </c>
    </row>
    <row r="214" spans="1:9" x14ac:dyDescent="0.25">
      <c r="A214" t="s">
        <v>620</v>
      </c>
      <c r="B214" t="s">
        <v>457</v>
      </c>
      <c r="C214" t="s">
        <v>458</v>
      </c>
      <c r="D214" t="s">
        <v>466</v>
      </c>
      <c r="E214" t="s">
        <v>573</v>
      </c>
      <c r="F214" s="75">
        <v>0.67500000000000004</v>
      </c>
      <c r="G214" s="140">
        <v>58</v>
      </c>
      <c r="H214" s="147">
        <v>65</v>
      </c>
      <c r="I214" t="s">
        <v>621</v>
      </c>
    </row>
    <row r="215" spans="1:9" x14ac:dyDescent="0.25">
      <c r="A215" t="s">
        <v>1180</v>
      </c>
      <c r="B215" t="s">
        <v>457</v>
      </c>
      <c r="C215" t="s">
        <v>458</v>
      </c>
      <c r="D215" t="s">
        <v>459</v>
      </c>
      <c r="E215" t="s">
        <v>460</v>
      </c>
      <c r="F215" s="75">
        <v>0.77500000000000002</v>
      </c>
      <c r="G215" s="140">
        <v>72</v>
      </c>
      <c r="H215" s="147">
        <v>77</v>
      </c>
      <c r="I215" t="s">
        <v>1181</v>
      </c>
    </row>
    <row r="216" spans="1:9" x14ac:dyDescent="0.25">
      <c r="A216" t="s">
        <v>622</v>
      </c>
      <c r="B216" t="s">
        <v>457</v>
      </c>
      <c r="C216" t="s">
        <v>472</v>
      </c>
      <c r="D216" t="s">
        <v>466</v>
      </c>
      <c r="E216" t="s">
        <v>623</v>
      </c>
      <c r="F216" s="75">
        <v>0.71</v>
      </c>
      <c r="G216" s="140">
        <v>55</v>
      </c>
      <c r="H216" s="147">
        <v>75</v>
      </c>
      <c r="I216" t="s">
        <v>624</v>
      </c>
    </row>
    <row r="217" spans="1:9" x14ac:dyDescent="0.25">
      <c r="A217" t="s">
        <v>1013</v>
      </c>
      <c r="B217" t="s">
        <v>457</v>
      </c>
      <c r="C217" t="s">
        <v>970</v>
      </c>
      <c r="D217" t="s">
        <v>459</v>
      </c>
      <c r="E217" t="s">
        <v>1270</v>
      </c>
      <c r="F217" s="75">
        <v>0.78500000000000003</v>
      </c>
      <c r="G217" s="140">
        <v>60</v>
      </c>
      <c r="H217" s="147">
        <v>68</v>
      </c>
      <c r="I217" t="s">
        <v>1274</v>
      </c>
    </row>
    <row r="218" spans="1:9" x14ac:dyDescent="0.25">
      <c r="A218" t="s">
        <v>1284</v>
      </c>
      <c r="B218" t="s">
        <v>457</v>
      </c>
      <c r="C218" t="s">
        <v>970</v>
      </c>
      <c r="F218" s="75">
        <v>0.75</v>
      </c>
      <c r="G218" s="140">
        <v>62</v>
      </c>
      <c r="H218" s="147">
        <v>68</v>
      </c>
      <c r="I218" t="s">
        <v>1285</v>
      </c>
    </row>
    <row r="219" spans="1:9" x14ac:dyDescent="0.25">
      <c r="A219" t="s">
        <v>1115</v>
      </c>
      <c r="B219" t="s">
        <v>457</v>
      </c>
      <c r="C219" t="s">
        <v>458</v>
      </c>
      <c r="D219" t="s">
        <v>462</v>
      </c>
      <c r="E219" t="s">
        <v>1116</v>
      </c>
      <c r="F219" s="75">
        <v>0.72</v>
      </c>
      <c r="G219" s="140">
        <v>50</v>
      </c>
      <c r="H219" s="147">
        <v>55</v>
      </c>
      <c r="I219" t="s">
        <v>1117</v>
      </c>
    </row>
    <row r="220" spans="1:9" x14ac:dyDescent="0.25">
      <c r="A220" t="s">
        <v>1118</v>
      </c>
      <c r="B220" t="s">
        <v>457</v>
      </c>
      <c r="C220" t="s">
        <v>472</v>
      </c>
      <c r="D220" t="s">
        <v>459</v>
      </c>
      <c r="E220" t="s">
        <v>1314</v>
      </c>
      <c r="F220" s="75">
        <v>0.72</v>
      </c>
      <c r="G220" s="140">
        <v>50</v>
      </c>
      <c r="H220" s="147">
        <v>58</v>
      </c>
      <c r="I220" t="s">
        <v>1325</v>
      </c>
    </row>
    <row r="221" spans="1:9" x14ac:dyDescent="0.25">
      <c r="A221" t="s">
        <v>625</v>
      </c>
      <c r="B221" t="s">
        <v>457</v>
      </c>
      <c r="C221" t="s">
        <v>458</v>
      </c>
      <c r="D221" t="s">
        <v>459</v>
      </c>
      <c r="E221" t="s">
        <v>1014</v>
      </c>
      <c r="F221" s="75">
        <v>0.82</v>
      </c>
      <c r="G221" s="140">
        <v>65</v>
      </c>
      <c r="H221" s="147">
        <v>69</v>
      </c>
      <c r="I221" t="s">
        <v>626</v>
      </c>
    </row>
    <row r="222" spans="1:9" x14ac:dyDescent="0.25">
      <c r="A222" t="s">
        <v>1015</v>
      </c>
      <c r="B222" t="s">
        <v>457</v>
      </c>
      <c r="C222" t="s">
        <v>458</v>
      </c>
      <c r="D222" t="s">
        <v>459</v>
      </c>
      <c r="E222" t="s">
        <v>460</v>
      </c>
      <c r="F222" s="75">
        <v>0.77500000000000002</v>
      </c>
      <c r="G222" s="140">
        <v>75</v>
      </c>
      <c r="H222" s="147">
        <v>79</v>
      </c>
      <c r="I222" t="s">
        <v>1016</v>
      </c>
    </row>
    <row r="223" spans="1:9" x14ac:dyDescent="0.25">
      <c r="A223" t="s">
        <v>627</v>
      </c>
      <c r="B223" t="s">
        <v>457</v>
      </c>
      <c r="C223" t="s">
        <v>472</v>
      </c>
      <c r="D223" t="s">
        <v>459</v>
      </c>
      <c r="E223" t="s">
        <v>479</v>
      </c>
      <c r="F223" s="75">
        <v>0.74</v>
      </c>
      <c r="G223" s="140">
        <v>62</v>
      </c>
      <c r="H223" s="147">
        <v>72</v>
      </c>
      <c r="I223" t="s">
        <v>628</v>
      </c>
    </row>
    <row r="224" spans="1:9" x14ac:dyDescent="0.25">
      <c r="A224" t="s">
        <v>1127</v>
      </c>
      <c r="B224" t="s">
        <v>457</v>
      </c>
      <c r="C224" t="s">
        <v>472</v>
      </c>
      <c r="D224" t="s">
        <v>466</v>
      </c>
      <c r="E224" t="s">
        <v>1326</v>
      </c>
      <c r="F224" s="75">
        <v>0.75</v>
      </c>
      <c r="G224" s="140">
        <v>60</v>
      </c>
      <c r="H224" s="147">
        <v>70</v>
      </c>
      <c r="I224" t="s">
        <v>1327</v>
      </c>
    </row>
    <row r="225" spans="1:9" x14ac:dyDescent="0.25">
      <c r="A225" t="s">
        <v>1052</v>
      </c>
      <c r="B225" t="s">
        <v>532</v>
      </c>
      <c r="C225" t="s">
        <v>964</v>
      </c>
      <c r="D225" t="s">
        <v>459</v>
      </c>
      <c r="E225" t="s">
        <v>460</v>
      </c>
      <c r="F225" s="75">
        <v>0.77500000000000002</v>
      </c>
      <c r="G225" s="140">
        <v>66</v>
      </c>
      <c r="H225" s="147">
        <v>72</v>
      </c>
      <c r="I225" t="s">
        <v>1053</v>
      </c>
    </row>
    <row r="226" spans="1:9" x14ac:dyDescent="0.25">
      <c r="A226" t="s">
        <v>979</v>
      </c>
      <c r="B226" t="s">
        <v>532</v>
      </c>
      <c r="C226" t="s">
        <v>964</v>
      </c>
      <c r="D226" t="s">
        <v>466</v>
      </c>
      <c r="E226" t="s">
        <v>553</v>
      </c>
      <c r="F226" s="75">
        <v>0.75</v>
      </c>
      <c r="G226" s="140">
        <v>68</v>
      </c>
      <c r="H226" s="147">
        <v>75</v>
      </c>
      <c r="I226" t="s">
        <v>980</v>
      </c>
    </row>
    <row r="227" spans="1:9" x14ac:dyDescent="0.25">
      <c r="A227" t="s">
        <v>629</v>
      </c>
      <c r="B227" t="s">
        <v>457</v>
      </c>
      <c r="C227" t="s">
        <v>465</v>
      </c>
      <c r="D227" t="s">
        <v>459</v>
      </c>
      <c r="E227" t="s">
        <v>466</v>
      </c>
      <c r="F227" s="75"/>
      <c r="G227" s="140">
        <v>64</v>
      </c>
      <c r="H227" s="147">
        <v>72</v>
      </c>
      <c r="I227" t="s">
        <v>1054</v>
      </c>
    </row>
    <row r="228" spans="1:9" x14ac:dyDescent="0.25">
      <c r="A228" t="s">
        <v>630</v>
      </c>
      <c r="B228" t="s">
        <v>457</v>
      </c>
      <c r="C228" t="s">
        <v>458</v>
      </c>
      <c r="D228" t="s">
        <v>473</v>
      </c>
      <c r="E228" t="s">
        <v>460</v>
      </c>
      <c r="F228" s="75">
        <v>0.77500000000000002</v>
      </c>
      <c r="G228" s="140">
        <v>65</v>
      </c>
      <c r="H228" s="147">
        <v>72</v>
      </c>
      <c r="I228" t="s">
        <v>631</v>
      </c>
    </row>
    <row r="229" spans="1:9" x14ac:dyDescent="0.25">
      <c r="A229" t="s">
        <v>632</v>
      </c>
      <c r="B229" t="s">
        <v>457</v>
      </c>
      <c r="C229" t="s">
        <v>472</v>
      </c>
      <c r="D229" t="s">
        <v>459</v>
      </c>
      <c r="E229" t="s">
        <v>485</v>
      </c>
      <c r="F229" s="75">
        <v>0.76</v>
      </c>
      <c r="G229" s="140">
        <v>64</v>
      </c>
      <c r="H229" s="147">
        <v>78</v>
      </c>
      <c r="I229" t="s">
        <v>633</v>
      </c>
    </row>
    <row r="230" spans="1:9" x14ac:dyDescent="0.25">
      <c r="A230" t="s">
        <v>1328</v>
      </c>
      <c r="B230" t="s">
        <v>457</v>
      </c>
      <c r="C230" t="s">
        <v>472</v>
      </c>
      <c r="D230" t="s">
        <v>459</v>
      </c>
      <c r="E230" t="s">
        <v>1329</v>
      </c>
      <c r="F230" s="75">
        <v>0.77500000000000002</v>
      </c>
      <c r="G230" s="140">
        <v>68</v>
      </c>
      <c r="H230" s="147">
        <v>85</v>
      </c>
      <c r="I230" t="s">
        <v>1330</v>
      </c>
    </row>
    <row r="231" spans="1:9" x14ac:dyDescent="0.25">
      <c r="A231" t="s">
        <v>1167</v>
      </c>
      <c r="B231" t="s">
        <v>457</v>
      </c>
      <c r="C231" t="s">
        <v>472</v>
      </c>
      <c r="D231" t="s">
        <v>462</v>
      </c>
      <c r="E231" t="s">
        <v>479</v>
      </c>
      <c r="F231" s="75">
        <v>0.74</v>
      </c>
      <c r="G231" s="140">
        <v>48</v>
      </c>
      <c r="H231" s="147">
        <v>56</v>
      </c>
      <c r="I231" t="s">
        <v>1168</v>
      </c>
    </row>
    <row r="232" spans="1:9" x14ac:dyDescent="0.25">
      <c r="A232" t="s">
        <v>981</v>
      </c>
      <c r="B232" t="s">
        <v>532</v>
      </c>
      <c r="C232" t="s">
        <v>982</v>
      </c>
      <c r="D232" t="s">
        <v>466</v>
      </c>
      <c r="E232" t="s">
        <v>466</v>
      </c>
      <c r="F232" s="75"/>
      <c r="G232" s="140">
        <v>59</v>
      </c>
      <c r="H232" s="147">
        <v>74</v>
      </c>
      <c r="I232" t="s">
        <v>983</v>
      </c>
    </row>
    <row r="233" spans="1:9" x14ac:dyDescent="0.25">
      <c r="A233" s="24" t="s">
        <v>1802</v>
      </c>
      <c r="B233" s="24" t="s">
        <v>457</v>
      </c>
      <c r="C233" s="24" t="s">
        <v>1743</v>
      </c>
      <c r="D233" s="24" t="s">
        <v>468</v>
      </c>
      <c r="E233" s="24" t="s">
        <v>1329</v>
      </c>
      <c r="F233" s="228">
        <v>0.77500000000000002</v>
      </c>
      <c r="G233" s="140">
        <v>64</v>
      </c>
      <c r="H233" s="147">
        <v>74</v>
      </c>
      <c r="I233" s="24" t="s">
        <v>1803</v>
      </c>
    </row>
    <row r="234" spans="1:9" x14ac:dyDescent="0.25">
      <c r="A234" t="s">
        <v>634</v>
      </c>
      <c r="B234" t="s">
        <v>457</v>
      </c>
      <c r="C234" t="s">
        <v>472</v>
      </c>
      <c r="D234" t="s">
        <v>468</v>
      </c>
      <c r="E234" t="s">
        <v>474</v>
      </c>
      <c r="F234" s="75">
        <v>0.75</v>
      </c>
      <c r="G234" s="140">
        <v>64</v>
      </c>
      <c r="H234" s="147">
        <v>75</v>
      </c>
      <c r="I234" t="s">
        <v>635</v>
      </c>
    </row>
    <row r="235" spans="1:9" x14ac:dyDescent="0.25">
      <c r="A235" t="s">
        <v>1128</v>
      </c>
      <c r="B235" t="s">
        <v>457</v>
      </c>
      <c r="C235" t="s">
        <v>472</v>
      </c>
      <c r="D235" t="s">
        <v>466</v>
      </c>
      <c r="E235" t="s">
        <v>1331</v>
      </c>
      <c r="F235" s="75">
        <v>0.69</v>
      </c>
      <c r="G235" s="140">
        <v>64</v>
      </c>
      <c r="H235" s="147">
        <v>72</v>
      </c>
      <c r="I235" t="s">
        <v>1332</v>
      </c>
    </row>
    <row r="236" spans="1:9" x14ac:dyDescent="0.25">
      <c r="A236" t="s">
        <v>636</v>
      </c>
      <c r="B236" t="s">
        <v>457</v>
      </c>
      <c r="C236" t="s">
        <v>472</v>
      </c>
      <c r="D236" t="s">
        <v>466</v>
      </c>
      <c r="E236" t="s">
        <v>567</v>
      </c>
      <c r="F236" s="75">
        <v>0.7</v>
      </c>
      <c r="G236" s="140">
        <v>64</v>
      </c>
      <c r="H236" s="147">
        <v>74</v>
      </c>
      <c r="I236" t="s">
        <v>637</v>
      </c>
    </row>
    <row r="237" spans="1:9" x14ac:dyDescent="0.25">
      <c r="A237" t="s">
        <v>638</v>
      </c>
      <c r="B237" t="s">
        <v>457</v>
      </c>
      <c r="C237" t="s">
        <v>458</v>
      </c>
      <c r="D237" t="s">
        <v>466</v>
      </c>
      <c r="E237" t="s">
        <v>639</v>
      </c>
      <c r="F237" s="75">
        <v>0.7</v>
      </c>
      <c r="G237" s="140">
        <v>66</v>
      </c>
      <c r="H237" s="147">
        <v>70</v>
      </c>
      <c r="I237" t="s">
        <v>640</v>
      </c>
    </row>
    <row r="238" spans="1:9" x14ac:dyDescent="0.25">
      <c r="A238" t="s">
        <v>1017</v>
      </c>
      <c r="B238" t="s">
        <v>532</v>
      </c>
      <c r="C238" t="s">
        <v>955</v>
      </c>
      <c r="D238" t="s">
        <v>468</v>
      </c>
      <c r="E238" t="s">
        <v>459</v>
      </c>
      <c r="F238" s="75">
        <v>0.75</v>
      </c>
      <c r="G238" s="140">
        <v>64</v>
      </c>
      <c r="H238" s="147">
        <v>70</v>
      </c>
      <c r="I238" t="s">
        <v>641</v>
      </c>
    </row>
    <row r="239" spans="1:9" x14ac:dyDescent="0.25">
      <c r="A239" t="s">
        <v>984</v>
      </c>
      <c r="B239" t="s">
        <v>532</v>
      </c>
      <c r="C239" t="s">
        <v>982</v>
      </c>
      <c r="D239" t="s">
        <v>459</v>
      </c>
      <c r="E239" t="s">
        <v>466</v>
      </c>
      <c r="F239" s="75"/>
      <c r="G239" s="140">
        <v>59</v>
      </c>
      <c r="H239" s="147">
        <v>68</v>
      </c>
      <c r="I239" t="s">
        <v>985</v>
      </c>
    </row>
    <row r="240" spans="1:9" x14ac:dyDescent="0.25">
      <c r="A240" t="s">
        <v>1136</v>
      </c>
      <c r="B240" t="s">
        <v>532</v>
      </c>
      <c r="C240" t="s">
        <v>964</v>
      </c>
      <c r="D240" t="s">
        <v>459</v>
      </c>
      <c r="E240" t="s">
        <v>517</v>
      </c>
      <c r="F240" s="75">
        <v>0.7</v>
      </c>
      <c r="G240" s="140">
        <v>65</v>
      </c>
      <c r="H240" s="147">
        <v>70</v>
      </c>
      <c r="I240" t="s">
        <v>1137</v>
      </c>
    </row>
    <row r="241" spans="1:9" x14ac:dyDescent="0.25">
      <c r="A241" t="s">
        <v>1129</v>
      </c>
      <c r="B241" t="s">
        <v>457</v>
      </c>
      <c r="C241" t="s">
        <v>458</v>
      </c>
      <c r="D241" t="s">
        <v>466</v>
      </c>
      <c r="E241" t="s">
        <v>468</v>
      </c>
      <c r="F241" s="75">
        <v>0.7</v>
      </c>
      <c r="G241" s="140">
        <v>65</v>
      </c>
      <c r="H241" s="147">
        <v>70</v>
      </c>
      <c r="I241" t="s">
        <v>1130</v>
      </c>
    </row>
    <row r="242" spans="1:9" x14ac:dyDescent="0.25">
      <c r="A242" t="s">
        <v>1169</v>
      </c>
      <c r="B242" t="s">
        <v>457</v>
      </c>
      <c r="C242" t="s">
        <v>458</v>
      </c>
      <c r="D242" t="s">
        <v>459</v>
      </c>
      <c r="E242" t="s">
        <v>553</v>
      </c>
      <c r="F242" s="75">
        <v>0.75</v>
      </c>
      <c r="G242" s="140">
        <v>50</v>
      </c>
      <c r="H242" s="147">
        <v>55</v>
      </c>
      <c r="I242" t="s">
        <v>1170</v>
      </c>
    </row>
  </sheetData>
  <sheetProtection sheet="1" objects="1" scenarios="1" autoFilter="0"/>
  <sortState ref="A1:G657">
    <sortCondition ref="A1:A657"/>
  </sortState>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Instructions</vt:lpstr>
      <vt:lpstr>Recipe Sheet</vt:lpstr>
      <vt:lpstr>Brewhouse Setup &amp; Calcs</vt:lpstr>
      <vt:lpstr>Grain &amp; Sugar Calcs</vt:lpstr>
      <vt:lpstr>Hop Calcs</vt:lpstr>
      <vt:lpstr>Carbonation</vt:lpstr>
      <vt:lpstr>Grain &amp; Sugar List</vt:lpstr>
      <vt:lpstr>Hops List</vt:lpstr>
      <vt:lpstr>Yeast List</vt:lpstr>
      <vt:lpstr>Beer Category &amp; Style List</vt:lpstr>
      <vt:lpstr>Malt Sheet PPG Calcs</vt:lpstr>
      <vt:lpstr>Conversion Tables</vt:lpstr>
      <vt:lpstr>Common Variables</vt:lpstr>
      <vt:lpstr>'Recipe Sheet'!BeerList_Headers</vt:lpstr>
      <vt:lpstr>BeerList_Headers</vt:lpstr>
      <vt:lpstr>'Recipe Sheet'!Category</vt:lpstr>
      <vt:lpstr>'Brewhouse Setup &amp; Calcs'!Print_Area</vt:lpstr>
      <vt:lpstr>'Recipe Sheet'!Print_Area</vt:lpstr>
      <vt:lpstr>Yeast_Brand</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Calculate Stuff</dc:subject>
  <dc:creator>BEER-N-BBQ by Larry</dc:creator>
  <dc:description>By BEER-N-BBQ by Larry</dc:description>
  <cp:lastModifiedBy>Larry Carpenter</cp:lastModifiedBy>
  <cp:lastPrinted>2018-03-03T23:56:34Z</cp:lastPrinted>
  <dcterms:created xsi:type="dcterms:W3CDTF">2003-11-09T22:26:20Z</dcterms:created>
  <dcterms:modified xsi:type="dcterms:W3CDTF">2018-03-10T20:31:16Z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-516050099</vt:i4>
  </property>
  <property fmtid="{D5CDD505-2E9C-101B-9397-08002B2CF9AE}" pid="3" name="_NewReviewCycle">
    <vt:lpwstr/>
  </property>
  <property fmtid="{D5CDD505-2E9C-101B-9397-08002B2CF9AE}" pid="4" name="_EmailSubject">
    <vt:lpwstr>latest fix for brew template</vt:lpwstr>
  </property>
  <property fmtid="{D5CDD505-2E9C-101B-9397-08002B2CF9AE}" pid="5" name="_AuthorEmail">
    <vt:lpwstr>larry.carpenter@siemens-healthineers.com</vt:lpwstr>
  </property>
  <property fmtid="{D5CDD505-2E9C-101B-9397-08002B2CF9AE}" pid="6" name="_AuthorEmailDisplayName">
    <vt:lpwstr>Carpenter Jr, Larry (HC DI MI PLM-R&amp;D HDE MC-HES)</vt:lpwstr>
  </property>
  <property fmtid="{D5CDD505-2E9C-101B-9397-08002B2CF9AE}" pid="7" name="_PreviousAdHocReviewCycleID">
    <vt:i4>-314337210</vt:i4>
  </property>
  <property fmtid="{D5CDD505-2E9C-101B-9397-08002B2CF9AE}" pid="8" name="_ReviewingToolsShownOnce">
    <vt:lpwstr/>
  </property>
</Properties>
</file>