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43BCABBC-75AE-41FE-8A01-7A39DFB8F6C1}" xr6:coauthVersionLast="40" xr6:coauthVersionMax="40" xr10:uidLastSave="{00000000-0000-0000-0000-000000000000}"/>
  <bookViews>
    <workbookView xWindow="0" yWindow="0" windowWidth="17916" windowHeight="871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List'!$A$1:$W$236</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F231" i="24" l="1"/>
  <c r="F223" i="24"/>
  <c r="F75" i="24"/>
  <c r="F74" i="24"/>
  <c r="F4" i="24"/>
  <c r="F187" i="24"/>
  <c r="F63" i="24"/>
  <c r="F191" i="24"/>
  <c r="F195" i="24"/>
  <c r="F189" i="24"/>
  <c r="F160" i="24"/>
  <c r="F162" i="24"/>
  <c r="F71" i="24"/>
  <c r="F157" i="24"/>
  <c r="F116" i="24"/>
  <c r="F203" i="24"/>
  <c r="F201" i="24"/>
  <c r="F80" i="24"/>
  <c r="F152" i="24"/>
  <c r="F84" i="24"/>
  <c r="F151" i="24"/>
  <c r="F16" i="24"/>
  <c r="F68" i="24"/>
  <c r="F65" i="24"/>
  <c r="F67" i="24"/>
  <c r="F78" i="24"/>
  <c r="F77" i="24"/>
  <c r="F13" i="24"/>
  <c r="F12" i="24"/>
  <c r="F9" i="24"/>
  <c r="F137" i="24"/>
  <c r="F138" i="24"/>
  <c r="L8" i="13" l="1"/>
  <c r="L9" i="13"/>
  <c r="L10" i="13"/>
  <c r="L11" i="13"/>
  <c r="L12" i="13"/>
  <c r="L13" i="13"/>
  <c r="K11" i="28" l="1"/>
  <c r="Q13" i="28" l="1"/>
  <c r="N14" i="28" l="1"/>
  <c r="T20" i="28"/>
  <c r="N33" i="28" l="1"/>
  <c r="T22" i="28" l="1"/>
  <c r="T33" i="28" l="1"/>
  <c r="K12" i="28"/>
  <c r="T28" i="28"/>
  <c r="K9" i="28" s="1"/>
  <c r="E28" i="14" l="1"/>
  <c r="D28" i="14"/>
  <c r="C28" i="14"/>
  <c r="A28" i="14"/>
  <c r="J26" i="28" l="1"/>
  <c r="J27" i="28"/>
  <c r="J28" i="28"/>
  <c r="J29" i="28"/>
  <c r="J21" i="28"/>
  <c r="J22" i="28"/>
  <c r="J23" i="28"/>
  <c r="J24" i="28"/>
  <c r="J25" i="28"/>
  <c r="A10" i="16"/>
  <c r="A11" i="16"/>
  <c r="A12" i="16"/>
  <c r="A13" i="16"/>
  <c r="A14" i="16"/>
  <c r="A15" i="16"/>
  <c r="A7" i="16"/>
  <c r="A8" i="16"/>
  <c r="A9" i="16"/>
  <c r="R16" i="28" l="1"/>
  <c r="R15" i="28"/>
  <c r="N23" i="28" l="1"/>
  <c r="N22" i="28"/>
  <c r="N21" i="28"/>
  <c r="N20" i="28"/>
  <c r="N19" i="28"/>
  <c r="N18" i="28"/>
  <c r="R14" i="28"/>
  <c r="R13" i="28"/>
  <c r="T6" i="28" l="1"/>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4" i="24"/>
  <c r="C21" i="14" l="1"/>
  <c r="Q36" i="28"/>
  <c r="D21" i="14" l="1"/>
  <c r="E48" i="14"/>
  <c r="Q6" i="28"/>
  <c r="T35" i="28"/>
  <c r="J13" i="28"/>
  <c r="J12" i="28" l="1"/>
  <c r="S31" i="28" s="1"/>
  <c r="J11" i="28" l="1"/>
  <c r="J6" i="28"/>
  <c r="M26" i="28"/>
  <c r="G17" i="16" l="1"/>
  <c r="B64" i="14" s="1"/>
  <c r="B63" i="14" s="1"/>
  <c r="L6" i="13" l="1"/>
  <c r="L7" i="13"/>
  <c r="L5" i="13"/>
  <c r="T30" i="28"/>
  <c r="K8" i="28"/>
  <c r="K10" i="28"/>
  <c r="Q7" i="28"/>
  <c r="S7" i="28"/>
  <c r="E21" i="14"/>
  <c r="D64" i="14"/>
  <c r="E64" i="14"/>
  <c r="B61" i="14"/>
  <c r="C19" i="14"/>
  <c r="G4" i="31"/>
  <c r="G3" i="31"/>
  <c r="B10" i="31"/>
  <c r="F6" i="31"/>
  <c r="B5" i="31"/>
  <c r="B6" i="31" s="1"/>
  <c r="B3" i="31"/>
  <c r="L16" i="13" l="1"/>
  <c r="L18" i="13" s="1"/>
  <c r="F8" i="13"/>
  <c r="F9" i="13"/>
  <c r="F10" i="13"/>
  <c r="F11" i="13"/>
  <c r="F12" i="13"/>
  <c r="F13" i="13"/>
  <c r="K15" i="28" l="1"/>
  <c r="K13" i="28"/>
  <c r="J9" i="7"/>
  <c r="J5" i="7"/>
  <c r="J7" i="7" s="1"/>
  <c r="J4" i="7"/>
  <c r="F4" i="7"/>
  <c r="F5" i="7"/>
  <c r="F9" i="7" s="1"/>
  <c r="F11" i="7" s="1"/>
  <c r="B4" i="7"/>
  <c r="P4" i="7"/>
  <c r="J8" i="7" l="1"/>
  <c r="J6" i="7"/>
  <c r="F7" i="7"/>
  <c r="F8" i="7" s="1"/>
  <c r="F6" i="7"/>
  <c r="F12" i="7"/>
  <c r="F10" i="7"/>
  <c r="F13" i="7"/>
  <c r="F15" i="7" s="1"/>
  <c r="F16" i="7" s="1"/>
  <c r="F17" i="7"/>
  <c r="F19" i="7" s="1"/>
  <c r="F20" i="7" s="1"/>
  <c r="F158" i="24"/>
  <c r="J11" i="7" l="1"/>
  <c r="J12" i="7" s="1"/>
  <c r="J10" i="7"/>
  <c r="F14" i="7"/>
  <c r="F18" i="7"/>
  <c r="F144"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36" i="24" l="1"/>
  <c r="F235" i="24"/>
  <c r="F234" i="24"/>
  <c r="F233" i="24"/>
  <c r="F232" i="24"/>
  <c r="F230" i="24"/>
  <c r="F229" i="24"/>
  <c r="F228" i="24"/>
  <c r="F227" i="24"/>
  <c r="F226" i="24"/>
  <c r="F225" i="24"/>
  <c r="F224" i="24"/>
  <c r="F222" i="24"/>
  <c r="F221" i="24"/>
  <c r="F220" i="24"/>
  <c r="F206" i="24"/>
  <c r="F205" i="24"/>
  <c r="F204" i="24"/>
  <c r="F202" i="24"/>
  <c r="F200" i="24"/>
  <c r="F199" i="24"/>
  <c r="F198" i="24"/>
  <c r="F197" i="24"/>
  <c r="F196" i="24"/>
  <c r="F194" i="24"/>
  <c r="F193" i="24"/>
  <c r="F192" i="24"/>
  <c r="F15" i="24"/>
  <c r="F188" i="24"/>
  <c r="F14" i="24"/>
  <c r="F186" i="24"/>
  <c r="F79" i="24"/>
  <c r="F17" i="24"/>
  <c r="F185" i="24"/>
  <c r="F184" i="24"/>
  <c r="F183" i="24"/>
  <c r="F182" i="24"/>
  <c r="F181" i="24"/>
  <c r="F180" i="24"/>
  <c r="F179" i="24"/>
  <c r="F178" i="24"/>
  <c r="F177" i="24"/>
  <c r="F176" i="24"/>
  <c r="F175" i="24"/>
  <c r="F174" i="24"/>
  <c r="F173" i="24"/>
  <c r="F172" i="24"/>
  <c r="F11" i="24"/>
  <c r="F171" i="24"/>
  <c r="F170" i="24"/>
  <c r="F169" i="24"/>
  <c r="F168" i="24"/>
  <c r="F167" i="24"/>
  <c r="F166" i="24"/>
  <c r="F165" i="24"/>
  <c r="F164" i="24"/>
  <c r="F163" i="24"/>
  <c r="F159" i="24"/>
  <c r="F156" i="24"/>
  <c r="F155" i="24"/>
  <c r="F154" i="24"/>
  <c r="F153" i="24"/>
  <c r="F150" i="24"/>
  <c r="F149" i="24"/>
  <c r="F148" i="24"/>
  <c r="F147" i="24"/>
  <c r="F146" i="24"/>
  <c r="F145" i="24"/>
  <c r="F143" i="24"/>
  <c r="F142" i="24"/>
  <c r="F140" i="24"/>
  <c r="F5" i="13" s="1"/>
  <c r="F139" i="24"/>
  <c r="F136" i="24"/>
  <c r="F135" i="24"/>
  <c r="F133" i="24"/>
  <c r="F132" i="24"/>
  <c r="F131" i="24"/>
  <c r="F130" i="24"/>
  <c r="F129" i="24"/>
  <c r="F128" i="24"/>
  <c r="F127" i="24"/>
  <c r="F126" i="24"/>
  <c r="F125" i="24"/>
  <c r="F124" i="24"/>
  <c r="F123" i="24"/>
  <c r="F122" i="24"/>
  <c r="F121" i="24"/>
  <c r="F120" i="24"/>
  <c r="F118" i="24"/>
  <c r="F117" i="24"/>
  <c r="F115" i="24"/>
  <c r="F114" i="24"/>
  <c r="F113" i="24"/>
  <c r="F112" i="24"/>
  <c r="F111" i="24"/>
  <c r="F110" i="24"/>
  <c r="F109" i="24"/>
  <c r="F102" i="24"/>
  <c r="F101" i="24"/>
  <c r="F100" i="24"/>
  <c r="F99" i="24"/>
  <c r="F98" i="24"/>
  <c r="F97" i="24"/>
  <c r="F96" i="24"/>
  <c r="F94" i="24"/>
  <c r="F83" i="24"/>
  <c r="F82" i="24"/>
  <c r="F81"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F7" i="13" l="1"/>
  <c r="F6" i="13"/>
  <c r="B8" i="14"/>
  <c r="O33" i="28" s="1"/>
  <c r="G35" i="7" l="1"/>
  <c r="E6" i="13" l="1"/>
  <c r="E7" i="13"/>
  <c r="E8" i="13"/>
  <c r="E9" i="13"/>
  <c r="E10" i="13"/>
  <c r="E11" i="13"/>
  <c r="E12" i="13"/>
  <c r="E13" i="13"/>
  <c r="E5" i="13"/>
  <c r="G6" i="13" l="1"/>
  <c r="G7" i="13"/>
  <c r="G8" i="13"/>
  <c r="G9" i="13"/>
  <c r="G10" i="13"/>
  <c r="G11" i="13"/>
  <c r="G12" i="13"/>
  <c r="G13" i="13"/>
  <c r="B44" i="14" l="1"/>
  <c r="S10" i="28" s="1"/>
  <c r="C16" i="14" l="1"/>
  <c r="C15" i="14"/>
  <c r="G11" i="5" l="1"/>
  <c r="H7" i="5"/>
  <c r="H11" i="13" l="1"/>
  <c r="H12" i="13"/>
  <c r="H13" i="13"/>
  <c r="E10" i="28" l="1"/>
  <c r="E11" i="28"/>
  <c r="E12" i="28"/>
  <c r="E13" i="28"/>
  <c r="E14" i="28"/>
  <c r="E15" i="28"/>
  <c r="A24" i="28" l="1"/>
  <c r="E7" i="28"/>
  <c r="E8" i="28"/>
  <c r="E9" i="28"/>
  <c r="S8" i="28"/>
  <c r="S36" i="28"/>
  <c r="U25" i="28"/>
  <c r="S25"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3" i="28"/>
  <c r="I9" i="13"/>
  <c r="I10" i="13"/>
  <c r="I11" i="13"/>
  <c r="I12" i="13"/>
  <c r="I13" i="13"/>
  <c r="B7" i="14"/>
  <c r="B5" i="14"/>
  <c r="B6" i="14"/>
  <c r="C4" i="13" s="1"/>
  <c r="B4" i="14"/>
  <c r="N28" i="28" s="1"/>
  <c r="U16" i="28" l="1"/>
  <c r="U15" i="28"/>
  <c r="U13" i="28"/>
  <c r="U14" i="28"/>
  <c r="U9" i="28"/>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20"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C15" i="13"/>
  <c r="B43" i="14" l="1"/>
  <c r="B46" i="14"/>
  <c r="D46" i="14" s="1"/>
  <c r="H15" i="13"/>
  <c r="H14" i="13"/>
  <c r="B41" i="14"/>
  <c r="D41" i="14" s="1"/>
  <c r="I10" i="16"/>
  <c r="I11" i="16"/>
  <c r="D8" i="32" l="1"/>
  <c r="D50" i="32" s="1"/>
  <c r="D8" i="33"/>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I50" i="32" s="1"/>
  <c r="E50" i="32"/>
  <c r="D9" i="33"/>
  <c r="E26" i="33"/>
  <c r="D63" i="14"/>
  <c r="B5" i="7"/>
  <c r="B13" i="7" s="1"/>
  <c r="G6" i="14"/>
  <c r="D47" i="14"/>
  <c r="B62" i="14"/>
  <c r="K10" i="13"/>
  <c r="K9" i="13"/>
  <c r="K8" i="13"/>
  <c r="K7" i="13"/>
  <c r="K5" i="13"/>
  <c r="K6" i="13"/>
  <c r="S26" i="28"/>
  <c r="C16" i="13"/>
  <c r="D61" i="14"/>
  <c r="E31" i="32" l="1"/>
  <c r="F31" i="32" s="1"/>
  <c r="H51" i="33"/>
  <c r="G51" i="33"/>
  <c r="F51" i="33"/>
  <c r="D32" i="33"/>
  <c r="E51" i="33"/>
  <c r="D51" i="33"/>
  <c r="E27" i="33"/>
  <c r="D62" i="14"/>
  <c r="B60" i="14"/>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0" i="14"/>
  <c r="J16" i="28"/>
  <c r="K16" i="28"/>
  <c r="B50" i="14"/>
  <c r="D15" i="13"/>
  <c r="J6" i="13"/>
  <c r="J10" i="13"/>
  <c r="J5" i="13"/>
  <c r="J7" i="13"/>
  <c r="J8" i="13"/>
  <c r="J9" i="13"/>
  <c r="S17" i="28"/>
  <c r="F8" i="28"/>
  <c r="F9" i="28"/>
  <c r="F7" i="28"/>
  <c r="K14" i="13"/>
  <c r="K16" i="13"/>
  <c r="K20" i="13"/>
  <c r="D14" i="13"/>
  <c r="J10" i="28" l="1"/>
  <c r="S32" i="28"/>
  <c r="S27" i="28"/>
  <c r="J9" i="28"/>
  <c r="J19" i="13"/>
  <c r="J15" i="13"/>
  <c r="J18" i="13"/>
  <c r="B51" i="14"/>
  <c r="H16" i="13"/>
  <c r="K7" i="28" s="1"/>
  <c r="D16" i="13"/>
  <c r="J7" i="28" l="1"/>
  <c r="J15" i="28"/>
  <c r="B52" i="14"/>
  <c r="J16" i="13"/>
  <c r="J14" i="13"/>
  <c r="J20" i="13"/>
  <c r="J10" i="16" l="1"/>
  <c r="K10" i="16" s="1"/>
  <c r="J14" i="16"/>
  <c r="K14" i="16" s="1"/>
  <c r="J15" i="16"/>
  <c r="K15" i="16" s="1"/>
  <c r="J7" i="16"/>
  <c r="K7" i="16" s="1"/>
  <c r="J8" i="16"/>
  <c r="K8" i="16" s="1"/>
  <c r="J11" i="16"/>
  <c r="K11" i="16" s="1"/>
  <c r="J12" i="16"/>
  <c r="K12" i="16" s="1"/>
  <c r="J13" i="16"/>
  <c r="K13" i="16" s="1"/>
  <c r="T23" i="28"/>
  <c r="K6" i="28" s="1"/>
  <c r="T24" i="28"/>
  <c r="J9" i="16"/>
  <c r="K9" i="16" s="1"/>
  <c r="S19" i="28"/>
  <c r="J8" i="28"/>
  <c r="B56" i="14"/>
  <c r="S14" i="28" s="1"/>
  <c r="D52" i="14"/>
  <c r="B57" i="14"/>
  <c r="B55" i="14"/>
  <c r="S13" i="28" s="1"/>
  <c r="D55" i="14" l="1"/>
  <c r="D57" i="14"/>
  <c r="D56" i="14"/>
  <c r="B58" i="14"/>
  <c r="B40" i="14" l="1"/>
  <c r="T16" i="28"/>
  <c r="S16" i="28"/>
  <c r="D58" i="14"/>
  <c r="K16" i="16"/>
  <c r="K14" i="28" s="1"/>
  <c r="J14" i="28" l="1"/>
  <c r="D40" i="14"/>
  <c r="B48" i="14"/>
  <c r="S6" i="28"/>
  <c r="E8" i="32" l="1"/>
  <c r="F45" i="32" s="1"/>
  <c r="E8" i="33"/>
  <c r="S12" i="28"/>
  <c r="S15" i="28" s="1"/>
  <c r="D48"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<sst xmlns="http://schemas.openxmlformats.org/spreadsheetml/2006/main" count="3900" uniqueCount="2088">
  <si>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</si>
  <si>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</si>
  <si>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</si>
  <si>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</si>
  <si>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</si>
  <si>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</si>
  <si>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</si>
  <si>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</si>
  <si>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</si>
  <si>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</si>
  <si>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</si>
  <si>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</si>
  <si>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</si>
  <si>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</si>
  <si>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</si>
  <si>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</si>
  <si>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</si>
  <si>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</si>
  <si>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</si>
  <si>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</si>
  <si>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</si>
  <si>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</si>
  <si>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</si>
  <si>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</si>
  <si>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</si>
  <si>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</si>
  <si>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</si>
  <si>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</si>
  <si>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</si>
  <si>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</si>
  <si>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</si>
  <si>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</si>
  <si>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</si>
  <si>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</si>
  <si>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</si>
  <si>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</si>
  <si>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</si>
  <si>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</si>
  <si>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</si>
  <si>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</si>
  <si>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</si>
  <si>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</si>
  <si>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</si>
  <si>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</si>
  <si>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</si>
  <si>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</si>
  <si>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</si>
  <si>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</si>
  <si>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</si>
  <si>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</si>
  <si>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</si>
  <si>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</si>
  <si>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</si>
  <si>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</si>
  <si>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</si>
  <si>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</si>
  <si>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</si>
  <si>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</si>
  <si>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</si>
  <si>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</si>
  <si>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</si>
  <si>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</si>
  <si>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</si>
  <si>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</si>
  <si>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</si>
  <si>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</si>
  <si>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</si>
  <si>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</si>
  <si>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</si>
  <si>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</si>
  <si>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</si>
  <si>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</si>
  <si>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</si>
  <si>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</si>
  <si>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</si>
  <si>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</si>
  <si>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</si>
  <si>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</si>
  <si>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</si>
  <si>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</si>
  <si>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</si>
  <si>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</si>
  <si>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</si>
  <si>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</si>
  <si>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</si>
  <si>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</si>
  <si>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</si>
  <si>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</si>
  <si>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</si>
  <si>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</si>
  <si>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</si>
  <si>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</si>
  <si>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</si>
  <si>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</si>
  <si>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</si>
  <si>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</si>
  <si>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</si>
  <si>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</si>
  <si>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</si>
  <si>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</si>
  <si>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</si>
  <si>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</si>
  <si>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</si>
  <si>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</si>
  <si>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</si>
  <si>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</si>
  <si>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</si>
  <si>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</si>
  <si>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</si>
  <si>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</si>
  <si>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</si>
  <si>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</si>
  <si>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</si>
  <si>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</si>
  <si>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</si>
  <si>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</si>
  <si>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</si>
  <si>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</si>
  <si>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</si>
  <si>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</si>
  <si>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</si>
  <si>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</si>
  <si>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</si>
  <si>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</si>
  <si>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</si>
  <si>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</si>
  <si>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</si>
  <si>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</si>
  <si>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</si>
  <si>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</si>
  <si>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</si>
  <si>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</si>
  <si>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</si>
  <si>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</si>
  <si>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</si>
  <si>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</si>
  <si>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</si>
  <si>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</si>
  <si>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</si>
  <si>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</si>
  <si>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</si>
  <si>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</si>
  <si>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</si>
  <si>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</si>
  <si>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</si>
  <si>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</si>
  <si>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</si>
  <si>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</si>
  <si>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</si>
  <si>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</si>
  <si>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</si>
  <si>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</si>
  <si>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</si>
  <si>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</si>
  <si>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</si>
  <si>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</si>
  <si>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</si>
  <si>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</si>
  <si>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</si>
  <si>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</si>
  <si>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</si>
  <si>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</si>
  <si>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</si>
  <si>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</si>
  <si>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</si>
  <si>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</si>
  <si>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</si>
  <si>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</si>
  <si>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</si>
  <si>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</si>
  <si>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</si>
  <si>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</si>
  <si>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</si>
  <si>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</si>
  <si>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</si>
  <si>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</si>
  <si>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</si>
  <si>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</si>
  <si>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</si>
  <si>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</si>
  <si>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</si>
  <si>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</si>
  <si>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</si>
  <si>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</si>
  <si>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</si>
  <si>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</si>
  <si>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</si>
  <si>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</si>
  <si>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</si>
  <si>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</si>
  <si>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</si>
  <si>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</si>
  <si>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</si>
  <si>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</si>
  <si>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</si>
  <si>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</si>
  <si>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</si>
  <si>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</si>
  <si>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</si>
  <si>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</si>
  <si>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</si>
  <si>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</si>
  <si>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</si>
  <si>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</si>
  <si>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</si>
  <si>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</si>
  <si>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</si>
  <si>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</si>
  <si>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</si>
  <si>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</si>
  <si>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</si>
  <si>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</si>
  <si>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</si>
  <si>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</si>
  <si>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</si>
  <si>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</si>
  <si>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</si>
  <si>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</si>
  <si>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</si>
  <si>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</si>
  <si>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</si>
  <si>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</si>
  <si>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</si>
  <si>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</si>
  <si>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</si>
  <si>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</si>
  <si>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</si>
  <si>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</si>
  <si>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</si>
  <si>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</si>
  <si>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</si>
  <si>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</si>
  <si>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</si>
  <si>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</si>
  <si>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</si>
  <si>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</si>
  <si>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</si>
  <si>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</si>
  <si>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</si>
  <si>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</si>
  <si>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</si>
  <si>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</si>
  <si>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</si>
  <si>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</si>
  <si>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</si>
  <si>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</si>
  <si>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</si>
  <si>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</si>
  <si>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</si>
  <si>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</si>
  <si>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</si>
  <si>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</si>
  <si>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</si>
  <si>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</si>
  <si>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</si>
  <si>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</si>
  <si>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</si>
  <si>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</si>
  <si>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</si>
  <si>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</si>
  <si>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</si>
  <si>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</si>
  <si>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</si>
  <si>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</si>
  <si>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</si>
  <si>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</si>
  <si>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</si>
  <si>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</si>
  <si>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</si>
  <si>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</si>
  <si>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</si>
  <si>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</si>
  <si>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</si>
  <si>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</si>
  <si>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</si>
  <si>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</si>
  <si>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</si>
  <si>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</si>
  <si>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</si>
  <si>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</si>
  <si>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</si>
  <si>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</si>
  <si>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</si>
  <si>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</si>
  <si>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</si>
  <si>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</si>
  <si>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</si>
  <si>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</si>
  <si>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</si>
  <si>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</si>
  <si>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</si>
  <si>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</si>
  <si>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</si>
  <si>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</si>
  <si>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</si>
  <si>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</si>
  <si>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</si>
  <si>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</si>
  <si>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</si>
  <si>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</si>
  <si>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</si>
  <si>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</si>
  <si>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</si>
  <si>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</si>
  <si>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</si>
  <si>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</si>
  <si>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</si>
  <si>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</si>
  <si>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</si>
  <si>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</si>
  <si>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</si>
  <si>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</si>
  <si>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</si>
  <si>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</si>
  <si>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</si>
  <si>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</si>
  <si>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</si>
  <si>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</si>
  <si>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</si>
  <si>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</si>
  <si>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</si>
  <si>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</si>
  <si>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</si>
  <si>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</si>
  <si>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</si>
  <si>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</si>
  <si>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</si>
  <si>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</si>
  <si>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</si>
  <si>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</si>
  <si>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</si>
  <si>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</si>
  <si>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</si>
  <si>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</si>
  <si>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</si>
  <si>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</si>
  <si>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</si>
  <si>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</si>
  <si>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</si>
  <si>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</si>
  <si>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</si>
  <si>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</si>
  <si>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</si>
  <si>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</si>
  <si>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</si>
  <si>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</si>
  <si>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</si>
  <si>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</si>
  <si>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</si>
  <si>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</si>
  <si>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</si>
  <si>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</si>
  <si>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</si>
  <si>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</si>
  <si>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</si>
  <si>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</si>
  <si>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</si>
  <si>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</si>
  <si>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</si>
  <si>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</si>
  <si>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</si>
  <si>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</si>
  <si>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</si>
  <si>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</si>
  <si>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</si>
  <si>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</si>
  <si>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</si>
  <si>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</si>
  <si>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</si>
  <si>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</si>
  <si>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</si>
  <si>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</si>
  <si>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</si>
  <si>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</si>
  <si>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</si>
  <si>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</si>
  <si>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</si>
  <si>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</si>
  <si>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</si>
  <si>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</si>
  <si>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</si>
  <si>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</si>
  <si>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</si>
  <si>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</si>
  <si>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</si>
  <si>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</si>
  <si>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</si>
  <si>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</si>
  <si>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</si>
  <si>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</si>
  <si>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</si>
  <si>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</si>
  <si>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</si>
  <si>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</si>
  <si>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</si>
  <si>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</si>
  <si>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</si>
  <si>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</si>
  <si>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</si>
  <si>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</si>
  <si>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</si>
  <si>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</si>
  <si>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</si>
  <si>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</si>
  <si>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</si>
  <si>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</si>
  <si>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</si>
  <si>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</si>
  <si>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</si>
  <si>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</si>
  <si>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</si>
  <si>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</si>
  <si>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</si>
  <si>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</si>
  <si>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</si>
  <si>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</si>
  <si>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</si>
  <si>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</si>
  <si>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</si>
  <si>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</si>
  <si>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</si>
  <si>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</si>
  <si>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</si>
  <si>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</si>
  <si>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</si>
  <si>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</si>
  <si>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</si>
  <si>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</si>
  <si>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</si>
  <si>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</si>
  <si>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</si>
  <si>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</si>
  <si>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</si>
  <si>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</si>
  <si>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</si>
  <si>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</si>
  <si>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</si>
  <si>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</si>
  <si>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</si>
  <si>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</si>
  <si>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</si>
  <si>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</si>
  <si>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</si>
  <si>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</si>
  <si>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</si>
  <si>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</si>
  <si>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</si>
  <si>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</si>
  <si>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</si>
  <si>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</si>
  <si>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</si>
  <si>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</si>
  <si>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</si>
  <si>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</si>
  <si>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</si>
  <si>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</si>
  <si>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</si>
  <si>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</si>
  <si>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</si>
  <si>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</si>
  <si>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</si>
  <si>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</si>
  <si>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</si>
  <si>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</si>
  <si>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</si>
  <si>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</si>
  <si>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</si>
  <si>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</si>
  <si>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</si>
  <si>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</si>
  <si>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</si>
  <si>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</si>
  <si>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</si>
  <si>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</si>
  <si>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</si>
  <si>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</si>
  <si>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</si>
  <si>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</si>
  <si>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</si>
  <si>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</si>
  <si>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</si>
  <si>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</si>
  <si>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</si>
  <si>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</si>
  <si>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</si>
  <si>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</si>
  <si>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</si>
  <si>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</si>
  <si>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</si>
  <si>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</si>
  <si>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</si>
  <si>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</si>
  <si>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</si>
  <si>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</si>
  <si>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</si>
  <si>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</si>
  <si>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</si>
  <si>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</si>
  <si>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</si>
  <si>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</si>
  <si>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</si>
  <si>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</si>
  <si>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</si>
  <si>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</si>
  <si>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</si>
  <si>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</si>
  <si>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</si>
  <si>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</si>
  <si>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</si>
  <si>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</si>
  <si>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</si>
  <si>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</si>
  <si>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</si>
  <si>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</si>
  <si>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</si>
  <si>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</si>
  <si>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</si>
  <si>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</si>
  <si>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</si>
  <si>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</si>
  <si>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</si>
  <si>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</si>
  <si>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</si>
  <si>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</si>
  <si>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</si>
  <si>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</si>
  <si>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</si>
  <si>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</si>
  <si>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</si>
  <si>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</si>
  <si>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</si>
  <si>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</si>
  <si>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</si>
  <si>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</si>
  <si>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</si>
  <si>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</si>
  <si>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</si>
  <si>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</si>
  <si>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</si>
  <si>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</si>
  <si>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</si>
  <si>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</si>
  <si>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</si>
  <si>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</si>
  <si>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</si>
  <si>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</si>
  <si>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</si>
  <si>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</si>
  <si>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</si>
  <si>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</si>
  <si>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</si>
  <si>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</si>
  <si>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</si>
  <si>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</si>
  <si>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</si>
  <si>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</si>
  <si>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</si>
  <si>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</si>
  <si>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</si>
  <si>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</si>
  <si>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</si>
  <si>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</si>
  <si>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</si>
  <si>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</si>
  <si>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</si>
  <si>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</si>
  <si>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</si>
  <si>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</si>
  <si>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</si>
  <si>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</si>
  <si>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</si>
  <si>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</si>
  <si>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</si>
  <si>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</si>
  <si>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</si>
  <si>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</si>
  <si>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</si>
  <si>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</si>
  <si>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</si>
  <si>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</si>
  <si>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</si>
  <si>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</si>
  <si>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</si>
  <si>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</si>
  <si>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</si>
  <si>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</si>
  <si>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</si>
  <si>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</si>
  <si>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</si>
  <si>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</si>
  <si>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</si>
  <si>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</si>
  <si>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</si>
  <si>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</si>
  <si>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</si>
  <si>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</si>
  <si>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</si>
  <si>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</si>
  <si>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</si>
  <si>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</si>
  <si>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</si>
  <si>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</si>
  <si>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</si>
  <si>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</si>
  <si>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</si>
  <si>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</si>
  <si>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</si>
  <si>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</si>
  <si>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</si>
  <si>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</si>
  <si>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</si>
  <si>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</si>
  <si>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</si>
  <si>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</si>
  <si>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</si>
  <si>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</si>
  <si>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</si>
  <si>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</si>
  <si>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</si>
  <si>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</si>
  <si>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</si>
  <si>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</si>
  <si>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</si>
  <si>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</si>
  <si>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</si>
  <si>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</si>
  <si>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</si>
  <si>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</si>
  <si>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</si>
  <si>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</si>
  <si>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</si>
  <si>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</si>
  <si>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</si>
  <si>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</si>
  <si>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</si>
  <si>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</si>
  <si>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</si>
  <si>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</si>
  <si>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</si>
  <si>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</si>
  <si>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</si>
  <si>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</si>
  <si>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</si>
  <si>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</si>
  <si>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</si>
  <si>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</si>
  <si>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</si>
  <si>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</si>
  <si>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</si>
  <si>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</si>
  <si>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</si>
  <si>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</si>
  <si>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</si>
  <si>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</si>
  <si>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</si>
  <si>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</si>
  <si>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</si>
  <si>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</si>
  <si>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</si>
  <si>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</si>
  <si>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</si>
  <si>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</si>
  <si>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</si>
  <si>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</si>
  <si>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</si>
  <si>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</si>
  <si>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</si>
  <si>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</si>
  <si>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</si>
  <si>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</si>
  <si>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</si>
  <si>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</si>
  <si>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</si>
  <si>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</si>
  <si>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</si>
  <si>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</si>
  <si>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</si>
  <si>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</si>
  <si>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</si>
  <si>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</si>
  <si>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</si>
  <si>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</si>
  <si>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</si>
  <si>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</si>
  <si>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</si>
  <si>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</si>
  <si>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</si>
  <si>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</si>
  <si>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</si>
  <si>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</si>
  <si>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</si>
  <si>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</si>
  <si>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</si>
  <si>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</si>
  <si>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</si>
  <si>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</si>
  <si>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</si>
  <si>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</si>
  <si>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</si>
  <si>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</si>
  <si>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</si>
  <si>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</si>
  <si>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</si>
  <si>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</si>
  <si>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</si>
  <si>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</si>
  <si>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</si>
  <si>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</si>
  <si>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</si>
  <si>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</si>
  <si>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</si>
  <si>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</si>
  <si>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</si>
  <si>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</si>
  <si>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</si>
  <si>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</si>
  <si>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</si>
  <si>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</si>
  <si>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</si>
  <si>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</si>
  <si>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</si>
  <si>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</si>
  <si>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</si>
  <si>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</si>
  <si>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</si>
  <si>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</si>
  <si>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</si>
  <si>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</si>
  <si>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</si>
  <si>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</si>
  <si>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</si>
  <si>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</si>
  <si>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</si>
  <si>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</si>
  <si>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</si>
  <si>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</si>
  <si>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</si>
  <si>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</si>
  <si>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</si>
  <si>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</si>
  <si>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</si>
  <si>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</si>
  <si>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</si>
  <si>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</si>
  <si>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</si>
  <si>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</si>
  <si>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</si>
  <si>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</si>
  <si>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</si>
  <si>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</si>
  <si>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</si>
  <si>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</si>
  <si>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</si>
  <si>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</si>
  <si>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</si>
  <si>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</si>
  <si>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</si>
  <si>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</si>
  <si>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</si>
  <si>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</si>
  <si>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</si>
  <si>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</si>
  <si>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</si>
  <si>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</si>
  <si>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</si>
  <si>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</si>
  <si>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</si>
  <si>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</si>
  <si>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</si>
  <si>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</si>
  <si>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</si>
  <si>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</si>
  <si>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</si>
  <si>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</si>
  <si>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</si>
  <si>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</si>
  <si>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</si>
  <si>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</si>
  <si>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</si>
  <si>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</si>
  <si>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</si>
  <si>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</si>
  <si>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</si>
  <si>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</si>
  <si>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</si>
  <si>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</si>
  <si>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</si>
  <si>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</si>
  <si>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</si>
  <si>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</si>
  <si>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</si>
  <si>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</si>
  <si>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</si>
  <si>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</si>
  <si>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</si>
  <si>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</si>
  <si>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</si>
  <si>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</si>
  <si>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</si>
  <si>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</si>
  <si>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</si>
  <si>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</si>
  <si>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</si>
  <si>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</si>
  <si>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</si>
  <si>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</si>
  <si>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</si>
  <si>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</si>
  <si>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</si>
  <si>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</si>
  <si>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</si>
  <si>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</si>
  <si>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</si>
  <si>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</si>
  <si>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</si>
  <si>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</si>
  <si>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</si>
  <si>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</si>
  <si>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</si>
  <si>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</si>
  <si>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</si>
  <si>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</si>
  <si>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</si>
  <si>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</si>
  <si>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</si>
  <si>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</si>
  <si>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</si>
  <si>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</si>
  <si>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</si>
  <si>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</si>
  <si>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</si>
  <si>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</si>
  <si>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</si>
  <si>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</si>
  <si>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</si>
  <si>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</si>
  <si>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</si>
  <si>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</si>
  <si>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</si>
  <si>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</si>
  <si>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</si>
  <si>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</si>
  <si>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</si>
  <si>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</si>
  <si>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</si>
  <si>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</si>
  <si>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</si>
  <si>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</si>
  <si>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</si>
  <si>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</si>
  <si>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</si>
  <si>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</si>
  <si>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</si>
  <si>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</si>
  <si>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</si>
  <si>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</si>
  <si>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</si>
  <si>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</si>
  <si>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</si>
  <si>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</si>
  <si>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</si>
  <si>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</si>
  <si>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</si>
  <si>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</si>
  <si>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</si>
  <si>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</si>
  <si>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</si>
  <si>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</si>
  <si>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</si>
  <si>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</si>
  <si>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</si>
  <si>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</si>
  <si>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</si>
  <si>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</si>
  <si>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</si>
  <si>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</si>
  <si>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</si>
  <si>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</si>
  <si>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</si>
  <si>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</si>
  <si>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</si>
  <si>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</si>
  <si>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</si>
  <si>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</si>
  <si>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</si>
  <si>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</si>
  <si>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</si>
  <si>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</si>
  <si>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</si>
  <si>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</si>
  <si>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</si>
  <si>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</si>
  <si>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</si>
  <si>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</si>
  <si>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</si>
  <si>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</si>
  <si>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</si>
  <si>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</si>
  <si>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</si>
  <si>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</si>
  <si>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</si>
  <si>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</si>
  <si>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</si>
  <si>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</si>
  <si>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</si>
  <si>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</si>
  <si>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</si>
  <si>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</si>
  <si>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</si>
  <si>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</si>
  <si>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</si>
  <si>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</si>
  <si>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</si>
  <si>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</si>
  <si>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</si>
  <si>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</si>
  <si>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</si>
  <si>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</si>
  <si>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</si>
  <si>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</si>
  <si>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</si>
  <si>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</si>
  <si>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</si>
  <si>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</si>
  <si>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</si>
  <si>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</si>
  <si>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</si>
  <si>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</si>
  <si>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</si>
  <si>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</si>
  <si>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</si>
  <si>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</si>
  <si>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</si>
  <si>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</si>
  <si>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</si>
  <si>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</si>
  <si>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</si>
  <si>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</si>
  <si>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</si>
  <si>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</si>
  <si>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</si>
  <si>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</si>
  <si>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</si>
  <si>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</si>
  <si>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</si>
  <si>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</si>
  <si>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</si>
  <si>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</si>
  <si>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</si>
  <si>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</si>
  <si>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</si>
  <si>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</si>
  <si>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</si>
  <si>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</si>
  <si>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</si>
  <si>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</si>
  <si>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</si>
  <si>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</si>
  <si>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</si>
  <si>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</si>
  <si>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</si>
  <si>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</si>
  <si>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</si>
  <si>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</si>
  <si>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</si>
  <si>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</si>
  <si>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</si>
  <si>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</si>
  <si>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</si>
  <si>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</si>
  <si>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</si>
  <si>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</si>
  <si>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</si>
  <si>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</si>
  <si>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</si>
  <si>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</si>
  <si>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</si>
  <si>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</si>
  <si>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</si>
  <si>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</si>
  <si>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</si>
  <si>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</si>
  <si>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</si>
  <si>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</si>
  <si>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</si>
  <si>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</si>
  <si>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</si>
  <si>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</si>
  <si>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</si>
  <si>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</si>
  <si>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</si>
  <si>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</si>
  <si>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</si>
  <si>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</si>
  <si>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</si>
  <si>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</si>
  <si>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</si>
  <si>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</si>
  <si>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</si>
  <si>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</si>
  <si>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</si>
  <si>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</si>
  <si>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</si>
  <si>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</si>
  <si>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</si>
  <si>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</si>
  <si>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</si>
  <si>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</si>
  <si>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</si>
  <si>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</si>
  <si>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</si>
  <si>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</si>
  <si>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</si>
  <si>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</si>
  <si>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</si>
  <si>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</si>
  <si>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</si>
  <si>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</si>
  <si>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</si>
  <si>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</si>
  <si>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</si>
  <si>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</si>
  <si>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</si>
  <si>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</si>
  <si>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</si>
  <si>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</si>
  <si>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</si>
  <si>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</si>
  <si>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</si>
  <si>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</si>
  <si>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</si>
  <si>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</si>
  <si>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</si>
  <si>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</si>
  <si>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</si>
  <si>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</si>
  <si>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</si>
  <si>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</si>
  <si>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</si>
  <si>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</si>
  <si>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</si>
  <si>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</si>
  <si>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</si>
  <si>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</si>
  <si>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</si>
  <si>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</si>
  <si>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</si>
  <si>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</si>
  <si>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</si>
  <si>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</si>
  <si>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</si>
  <si>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</si>
  <si>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</si>
  <si>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</si>
  <si>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</si>
  <si>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</si>
  <si>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</si>
  <si>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</si>
  <si>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</si>
  <si>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</si>
  <si>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</si>
  <si>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</si>
  <si>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</si>
  <si>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</si>
  <si>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</si>
  <si>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</si>
  <si>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</si>
  <si>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</si>
  <si>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</si>
  <si>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</si>
  <si>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</si>
  <si>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</si>
  <si>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</si>
  <si>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</si>
  <si>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</si>
  <si>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</si>
  <si>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</si>
  <si>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</si>
  <si>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</si>
  <si>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</si>
  <si>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</si>
  <si>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</si>
  <si>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</si>
  <si>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</si>
  <si>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</si>
  <si>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</si>
  <si>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</si>
  <si>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</si>
  <si>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</si>
  <si>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</si>
  <si>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</si>
  <si>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</si>
  <si>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</si>
  <si>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</si>
  <si>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</si>
  <si>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</si>
  <si>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</si>
  <si>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</si>
  <si>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</si>
  <si>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</si>
  <si>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</si>
  <si>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</si>
  <si>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</si>
  <si>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</si>
  <si>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</si>
  <si>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</si>
  <si>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</si>
  <si>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</si>
  <si>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</si>
  <si>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</si>
  <si>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</si>
  <si>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</si>
  <si>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</si>
  <si>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</si>
  <si>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</si>
  <si>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</si>
  <si>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</si>
  <si>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</si>
  <si>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</si>
  <si>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</si>
  <si>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</si>
  <si>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</si>
  <si>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</si>
  <si>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</si>
  <si>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</si>
  <si>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</si>
  <si>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</si>
  <si>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</si>
  <si>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</si>
  <si>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</si>
  <si>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</si>
  <si>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</si>
  <si>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</si>
  <si>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</si>
  <si>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</si>
  <si>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</si>
  <si>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</si>
  <si>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</si>
  <si>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</si>
  <si>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</si>
  <si>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</si>
  <si>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</si>
  <si>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</si>
  <si>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</si>
  <si>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</si>
  <si>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</si>
  <si>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</si>
  <si>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</si>
  <si>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</si>
  <si>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</si>
  <si>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</si>
  <si>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</si>
  <si>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</si>
  <si>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</si>
  <si>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</si>
  <si>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</si>
  <si>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</si>
  <si>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</si>
  <si>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</si>
  <si>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</si>
  <si>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</si>
  <si>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</si>
  <si>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</si>
  <si>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</si>
  <si>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</si>
  <si>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</si>
  <si>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</si>
  <si>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</si>
  <si>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</si>
  <si>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</si>
  <si>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</si>
  <si>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</si>
  <si>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</si>
  <si>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</si>
  <si>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</si>
  <si>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</si>
  <si>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</si>
  <si>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</si>
  <si>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</si>
  <si>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</si>
  <si>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</si>
  <si>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</si>
  <si>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</si>
  <si>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</si>
  <si>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</si>
  <si>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</si>
  <si>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</si>
  <si>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</si>
  <si>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</si>
  <si>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</si>
  <si>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</si>
  <si>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</si>
  <si>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</si>
  <si>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</si>
  <si>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</si>
  <si>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</si>
  <si>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</si>
  <si>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</si>
  <si>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</si>
  <si>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</si>
  <si>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</si>
  <si>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</si>
  <si>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</si>
  <si>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</si>
  <si>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</si>
  <si>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</si>
  <si>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</si>
  <si>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</si>
  <si>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</si>
  <si>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</si>
  <si>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</si>
  <si>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</si>
  <si>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</si>
  <si>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</si>
  <si>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</si>
  <si>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</si>
  <si>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</si>
  <si>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</si>
  <si>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</si>
  <si>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</si>
  <si>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</si>
  <si>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</si>
  <si>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</si>
  <si>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</si>
  <si>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</si>
  <si>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</si>
  <si>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</si>
  <si>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</si>
  <si>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</si>
  <si>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</si>
  <si>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</si>
  <si>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</si>
  <si>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</si>
  <si>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</si>
  <si>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</si>
  <si>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</si>
  <si>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</si>
  <si>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</si>
  <si>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</si>
  <si>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</si>
  <si>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</si>
  <si>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</si>
  <si>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</si>
  <si>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</si>
  <si>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</si>
  <si>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</si>
  <si>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</si>
  <si>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</si>
  <si>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</si>
  <si>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</si>
  <si>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</si>
  <si>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</si>
  <si>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</si>
  <si>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</si>
  <si>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</si>
  <si>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</si>
  <si>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</si>
  <si>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</si>
  <si>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</si>
  <si>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</si>
  <si>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</si>
  <si>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</si>
  <si>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</si>
  <si>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</si>
  <si>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</si>
  <si>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</si>
  <si>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</si>
  <si>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</si>
  <si>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</si>
  <si>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</si>
  <si>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</si>
  <si>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</si>
  <si>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</si>
  <si>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</si>
  <si>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</si>
  <si>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</si>
  <si>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</si>
  <si>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</si>
  <si>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</si>
  <si>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</si>
  <si>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</si>
  <si>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</si>
  <si>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</si>
  <si>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</si>
  <si>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</si>
  <si>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</si>
  <si>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</si>
  <si>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</si>
  <si>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</si>
  <si>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</si>
  <si>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</si>
  <si>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</si>
  <si>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</si>
  <si>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</si>
  <si>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</si>
  <si>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</si>
  <si>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</si>
  <si>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</si>
  <si>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</si>
  <si>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</si>
  <si>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</si>
  <si>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</si>
  <si>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</si>
  <si>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</si>
  <si>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</si>
  <si>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</si>
  <si>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</si>
  <si>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</si>
  <si>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</si>
  <si>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</si>
  <si>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</si>
  <si>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</si>
  <si>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</si>
  <si>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</si>
  <si>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</si>
  <si>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</si>
  <si>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</si>
  <si>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</si>
  <si>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</si>
  <si>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</si>
  <si>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</si>
  <si>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</si>
  <si>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</si>
  <si>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</si>
  <si>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</si>
  <si>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</si>
  <si>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</si>
  <si>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</si>
  <si>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</si>
  <si>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</si>
  <si>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</si>
  <si>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</si>
  <si>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</si>
  <si>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</si>
  <si>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</si>
  <si>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</si>
  <si>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</si>
  <si>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</si>
  <si>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</si>
  <si>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</si>
  <si>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</si>
  <si>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</si>
  <si>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</si>
  <si>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</si>
  <si>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</si>
  <si>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</si>
  <si>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</si>
  <si>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</si>
  <si>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</si>
  <si>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</si>
  <si>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</si>
  <si>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</si>
  <si>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</si>
  <si>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</si>
  <si>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</si>
  <si>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</si>
  <si>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</si>
  <si>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</si>
  <si>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</si>
  <si>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</si>
  <si>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</si>
  <si>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</si>
  <si>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</si>
  <si>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</si>
  <si>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</si>
  <si>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</si>
  <si>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</si>
  <si>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</si>
  <si>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</si>
  <si>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</si>
  <si>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</si>
  <si>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</si>
  <si>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</si>
  <si>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</si>
  <si>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</si>
  <si>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</si>
  <si>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</si>
  <si>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</si>
  <si>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</si>
  <si>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</si>
  <si>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</si>
  <si>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</si>
  <si>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</si>
  <si>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</si>
  <si>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</si>
  <si>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</si>
  <si>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</si>
  <si>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</si>
  <si>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</si>
  <si>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</si>
  <si>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</si>
  <si>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</si>
  <si>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</si>
  <si>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</si>
  <si>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</si>
  <si>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</si>
  <si>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</si>
  <si>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</si>
  <si>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</si>
  <si>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</si>
  <si>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</si>
  <si>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</si>
  <si>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</si>
  <si>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</si>
  <si>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</si>
  <si>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</si>
  <si>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</si>
  <si>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</si>
  <si>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</si>
  <si>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</si>
  <si>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</si>
  <si>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</si>
  <si>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</si>
  <si>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</si>
  <si>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</si>
  <si>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</si>
  <si>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</si>
  <si>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</si>
  <si>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</si>
  <si>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</si>
  <si>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</si>
  <si>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</si>
  <si>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</si>
  <si>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</si>
  <si>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</si>
  <si>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</si>
  <si>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</si>
  <si>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</si>
  <si>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</si>
  <si>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</si>
  <si>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</si>
  <si>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</si>
  <si>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</si>
  <si>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</si>
  <si>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</si>
  <si>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</si>
  <si>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</si>
  <si>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</si>
  <si>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</si>
  <si>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</si>
  <si>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</si>
  <si>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</si>
  <si>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</si>
  <si>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</si>
  <si>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</si>
  <si>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</si>
  <si>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</si>
  <si>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</si>
  <si>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</si>
  <si>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</si>
  <si>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</si>
  <si>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</si>
  <si>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</si>
  <si>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</si>
  <si>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</si>
  <si>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</si>
  <si>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</si>
  <si>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</si>
  <si>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</si>
  <si>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</si>
  <si>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</si>
  <si>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</si>
  <si>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</si>
  <si>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</si>
  <si>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</si>
  <si>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</si>
  <si>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</si>
  <si>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</si>
  <si>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</si>
  <si>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</si>
  <si>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</si>
  <si>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</si>
  <si>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</si>
  <si>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</si>
  <si>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</si>
  <si>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</si>
  <si>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</si>
  <si>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</si>
  <si>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</si>
  <si>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</si>
  <si>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</si>
  <si>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</si>
  <si>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</si>
  <si>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</si>
  <si>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</si>
  <si>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</si>
  <si>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</si>
  <si>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</si>
  <si>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</si>
  <si>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</si>
  <si>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</si>
  <si>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</si>
  <si>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</si>
  <si>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</si>
  <si>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</si>
  <si>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</si>
  <si>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</si>
  <si>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</si>
  <si>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</si>
  <si>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</si>
  <si>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</si>
  <si>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</si>
  <si>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</si>
  <si>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</si>
  <si>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</si>
  <si>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</si>
  <si>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</si>
  <si>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</si>
  <si>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</si>
  <si>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</si>
  <si>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</si>
  <si>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</si>
  <si>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</si>
  <si>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</si>
  <si>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</si>
  <si>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</si>
  <si>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</si>
  <si>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</si>
  <si>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</si>
  <si>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</si>
  <si>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</si>
  <si>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</si>
  <si>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</si>
  <si>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</si>
  <si>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</si>
  <si>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</si>
  <si>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</si>
  <si>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</si>
  <si>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</si>
  <si>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</si>
  <si>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</si>
  <si>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</si>
  <si>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</si>
  <si>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</si>
  <si>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</si>
  <si>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</si>
  <si>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</si>
  <si>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</si>
  <si>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</si>
  <si>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</si>
  <si>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</si>
  <si>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</si>
  <si>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</si>
  <si>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</si>
  <si>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</si>
  <si>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</si>
  <si>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</si>
  <si>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</si>
  <si>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</si>
  <si>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</si>
  <si>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</si>
  <si>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</si>
  <si>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</si>
  <si>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</si>
  <si>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</si>
  <si>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</si>
  <si>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</si>
  <si>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</si>
  <si>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</si>
  <si>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</si>
  <si>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</si>
  <si>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</si>
  <si>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</si>
  <si>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</si>
  <si>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</si>
  <si>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</si>
  <si>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</si>
  <si>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</si>
  <si>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</si>
  <si>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</si>
  <si>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</si>
  <si>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</si>
  <si>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</si>
  <si>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</si>
  <si>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</si>
  <si>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</si>
  <si>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</si>
  <si>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</si>
  <si>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</si>
  <si>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</si>
  <si>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</si>
  <si>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</si>
  <si>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</si>
  <si>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</si>
  <si>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</si>
  <si>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</si>
  <si>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</si>
  <si>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</si>
  <si>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</si>
  <si>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</si>
  <si>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</si>
  <si>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</si>
  <si>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</si>
  <si>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</si>
  <si>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</si>
  <si>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</si>
  <si>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</si>
  <si>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</si>
  <si>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</si>
  <si>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</si>
  <si>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</si>
  <si>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</si>
  <si>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</si>
  <si>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</si>
  <si>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</si>
  <si>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</si>
  <si>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</si>
  <si>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</si>
  <si>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</si>
  <si>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</si>
  <si>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</si>
  <si>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</si>
  <si>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</si>
  <si>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</si>
  <si>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</si>
  <si>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</si>
  <si>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</si>
  <si>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</si>
  <si>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</si>
  <si>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</si>
  <si>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</si>
  <si>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</si>
  <si>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</si>
  <si>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</si>
  <si>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</si>
  <si>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</si>
  <si>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</si>
  <si>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</si>
  <si>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</si>
  <si>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</si>
  <si>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</si>
  <si>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</si>
  <si>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</si>
  <si>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</si>
  <si>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</si>
  <si>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</si>
  <si>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</si>
  <si>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</si>
  <si>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</si>
  <si>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</si>
  <si>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</si>
  <si>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</si>
  <si>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</si>
  <si>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</si>
  <si>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</si>
  <si>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</si>
  <si>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</si>
  <si>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</si>
  <si>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</si>
  <si>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</si>
  <si>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</si>
  <si>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</si>
  <si>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</si>
  <si>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</si>
  <si>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</si>
  <si>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</si>
  <si>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</si>
  <si>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</si>
  <si>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</si>
  <si>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</si>
  <si>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</si>
  <si>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</si>
  <si>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</si>
  <si>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</si>
  <si>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</si>
  <si>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</si>
  <si>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</si>
  <si>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</si>
  <si>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</si>
  <si>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</si>
  <si>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</si>
  <si>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</si>
  <si>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</si>
  <si>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</si>
  <si>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</si>
  <si>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</si>
  <si>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</si>
  <si>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</si>
  <si>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</si>
  <si>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</si>
  <si>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</si>
  <si>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</si>
  <si>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</si>
  <si>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</si>
  <si>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</si>
  <si>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</si>
  <si>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</si>
  <si>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</si>
  <si>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</si>
  <si>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</si>
  <si>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</si>
  <si>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</si>
  <si>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</si>
  <si>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</si>
  <si>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</si>
  <si>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</si>
  <si>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</si>
  <si>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</si>
  <si>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</si>
  <si>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</si>
  <si>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</si>
  <si>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</si>
  <si>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</si>
  <si>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</si>
  <si>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</si>
  <si>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</si>
  <si>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</si>
  <si>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</si>
  <si>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</si>
  <si>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</si>
  <si>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</si>
  <si>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</si>
  <si>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</si>
  <si>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</si>
  <si>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</si>
  <si>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</si>
  <si>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</si>
  <si>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</si>
  <si>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</si>
  <si>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</si>
  <si>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</si>
  <si>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</si>
  <si>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</si>
  <si>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</si>
  <si>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</si>
  <si>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</si>
  <si>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</si>
  <si>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</si>
  <si>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</si>
  <si>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</si>
  <si>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</si>
  <si>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</si>
  <si>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</si>
  <si>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</si>
  <si>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</si>
  <si>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</si>
  <si>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</si>
  <si>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</si>
  <si>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</si>
  <si>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</si>
  <si>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</si>
  <si>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</si>
  <si>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</si>
  <si>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</si>
  <si>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</si>
  <si>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</si>
  <si>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</si>
  <si>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</si>
  <si>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</si>
  <si>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</si>
  <si>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</si>
  <si>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</si>
  <si>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</si>
  <si>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</si>
  <si>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</si>
  <si>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</si>
  <si>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</si>
  <si>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</si>
  <si>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</si>
  <si>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</si>
  <si>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</si>
  <si>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</si>
  <si>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</si>
  <si>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</si>
  <si>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</si>
  <si>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</si>
  <si>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</si>
  <si>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</si>
  <si>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</si>
  <si>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</si>
  <si>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</si>
  <si>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</si>
  <si>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</si>
  <si>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</si>
  <si>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</si>
  <si>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</si>
  <si>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</si>
  <si>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</si>
  <si>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</si>
  <si>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</si>
  <si>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</si>
  <si>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</si>
  <si>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</si>
  <si>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</si>
  <si>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</si>
  <si>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</si>
  <si>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</si>
  <si>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</si>
  <si>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</si>
  <si>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</si>
  <si>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</si>
  <si>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</si>
  <si>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</si>
  <si>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</si>
  <si>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</si>
  <si>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</si>
  <si>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</si>
  <si>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</si>
  <si>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</si>
  <si>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</si>
  <si>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</si>
  <si>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</si>
  <si>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</si>
  <si>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</si>
  <si>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</si>
  <si>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</si>
  <si>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</si>
  <si>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</si>
  <si>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</si>
  <si>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</si>
  <si>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</si>
  <si>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</si>
  <si>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</si>
  <si>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</si>
  <si>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</si>
  <si>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</si>
  <si>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</si>
  <si>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</si>
  <si>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</si>
  <si>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</si>
  <si>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</si>
  <si>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</si>
  <si>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</si>
  <si>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</si>
  <si>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</si>
  <si>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</si>
  <si>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</si>
  <si>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</si>
  <si>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</si>
  <si>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</si>
  <si>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</si>
  <si>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</si>
  <si>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</si>
  <si>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</si>
  <si>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</si>
  <si>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</si>
  <si>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</si>
  <si>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</si>
  <si>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</si>
  <si>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</si>
  <si>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</si>
  <si>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</si>
  <si>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</si>
  <si>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</si>
  <si>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</si>
  <si>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</si>
  <si>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</si>
  <si>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</si>
  <si>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</si>
  <si>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</si>
  <si>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</si>
  <si>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</si>
  <si>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</si>
  <si>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</si>
  <si>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</si>
  <si>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</si>
  <si>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</si>
  <si>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</si>
  <si>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</si>
  <si>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</si>
  <si>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</si>
  <si>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</si>
  <si>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</si>
  <si>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</si>
  <si>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</si>
  <si>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</si>
  <si>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</si>
  <si>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</si>
  <si>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</si>
  <si>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</si>
  <si>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</si>
  <si>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</si>
  <si>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</si>
  <si>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</si>
  <si>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</si>
  <si>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</si>
  <si>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</si>
  <si>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</si>
  <si>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</si>
  <si>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</si>
  <si>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</si>
  <si>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</si>
  <si>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</si>
  <si>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</si>
  <si>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</si>
  <si>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</si>
  <si>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</si>
  <si>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</si>
  <si>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</si>
  <si>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</si>
  <si>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</si>
  <si>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</si>
  <si>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</si>
  <si>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</si>
  <si>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</si>
  <si>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</si>
  <si>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</si>
  <si>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</si>
  <si>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</si>
  <si>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</si>
  <si>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</si>
  <si>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</si>
  <si>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</si>
  <si>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</si>
  <si>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</si>
  <si>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</si>
  <si>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</si>
  <si>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</si>
  <si>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</si>
  <si>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</si>
  <si>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</si>
  <si>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</si>
  <si>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</si>
  <si>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</si>
  <si>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</si>
  <si>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</si>
  <si>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</si>
  <si>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</si>
  <si>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</si>
  <si>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</si>
  <si>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</si>
  <si>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</si>
  <si>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</si>
  <si>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</si>
  <si>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</si>
  <si>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</si>
  <si>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</si>
  <si>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</si>
  <si>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</si>
  <si>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</si>
  <si>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</si>
  <si>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</si>
  <si>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</si>
  <si>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</si>
  <si>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</si>
  <si>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</si>
  <si>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</si>
  <si>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</si>
  <si>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</si>
  <si>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</si>
  <si>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</si>
  <si>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</si>
  <si>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</si>
  <si>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</si>
  <si>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</si>
  <si>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</si>
  <si>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</si>
  <si>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</si>
  <si>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</si>
  <si>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</si>
  <si>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</si>
  <si>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</si>
  <si>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</si>
  <si>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</si>
  <si>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</si>
  <si>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</si>
  <si>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</si>
  <si>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</si>
  <si>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</si>
  <si>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</si>
  <si>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</si>
  <si>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</si>
  <si>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</si>
  <si>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</si>
  <si>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</si>
  <si>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</si>
  <si>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</si>
  <si>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</si>
  <si>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</si>
  <si>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</si>
  <si>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</si>
  <si>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</si>
  <si>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</si>
  <si>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</si>
  <si>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</si>
  <si>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</si>
  <si>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</si>
  <si>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</si>
  <si>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</si>
  <si>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</si>
  <si>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</si>
  <si>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</si>
  <si>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</si>
  <si>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</si>
  <si>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</si>
  <si>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</si>
  <si>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</si>
  <si>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</si>
  <si>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</si>
  <si>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</si>
  <si>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</si>
  <si>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</si>
  <si>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</si>
  <si>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</si>
  <si>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</si>
  <si>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</si>
  <si>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</si>
  <si>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</si>
  <si>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</si>
  <si>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</si>
  <si>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</si>
  <si>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</si>
  <si>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</si>
  <si>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</si>
  <si>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</si>
  <si>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</si>
  <si>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</si>
  <si>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</si>
  <si>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</si>
  <si>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</si>
  <si>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</si>
  <si>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</si>
  <si>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</si>
  <si>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</si>
  <si>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</si>
  <si>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</si>
  <si>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</si>
  <si>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</si>
  <si>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</si>
  <si>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</si>
  <si>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</si>
  <si>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</si>
  <si>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</si>
  <si>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</si>
  <si>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</si>
  <si>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</si>
  <si>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</si>
  <si>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</si>
  <si>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</si>
  <si>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</si>
  <si>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</si>
  <si>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</si>
  <si>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</si>
  <si>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</si>
  <si>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</si>
  <si>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Extract Efficiency
(Grains Only)</t>
  </si>
  <si>
    <t>Batch</t>
  </si>
  <si>
    <t>Brewhouse Eff:</t>
  </si>
  <si>
    <t>NOTES: Recipe adapted from BYO Magazine recipe, modified for my Grainfather, and scaled up to provide 5.5 gallons into the fermenter. 60 min mash. Mash out at 168 for 10 min. Dry hop on day 5.</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</si>
  <si>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</si>
  <si>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</si>
  <si>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</si>
  <si>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</si>
  <si>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</si>
  <si>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</si>
  <si>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</si>
  <si>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</si>
  <si>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</si>
  <si>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</si>
  <si>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</si>
  <si>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</si>
  <si>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</si>
  <si>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</si>
  <si>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</si>
  <si>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</si>
  <si>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</si>
  <si>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</si>
  <si>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</si>
  <si>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</si>
  <si>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</si>
  <si>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</si>
  <si>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</si>
  <si>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</si>
  <si>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</si>
  <si>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</si>
  <si>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</si>
  <si>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</si>
  <si>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</si>
  <si>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</si>
  <si>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</si>
  <si>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</si>
  <si>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</si>
  <si>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</si>
  <si>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</si>
  <si>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</si>
  <si>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</si>
  <si>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</si>
  <si>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</si>
  <si>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Pellet</t>
  </si>
  <si>
    <t>Dry Hop</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</si>
  <si>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</si>
  <si>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</si>
  <si>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</si>
  <si>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</si>
  <si>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</si>
  <si>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 xml:space="preserve">    Min Requirement for designing recipes: Excel 2010 (2016 preferred)</t>
  </si>
  <si>
    <t xml:space="preserve">    Min Requirement for viewing recipes: Excel 2010 (2016 preferred) but Google Sheets and iOS Numbers have worked well enough.</t>
  </si>
  <si>
    <t>3.0.2 - Unlocked more protected cells on EX Water Metric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</si>
</sst>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19">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0" fillId="0" borderId="0" xfId="0" applyAlignment="1">
      <alignment horizontal="center"/>
    </xf>
    <xf numFmtId="0" fontId="2"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Border="1" applyAlignment="1">
      <alignment vertical="center"/>
    </xf>
    <xf numFmtId="0" fontId="0" fillId="9" borderId="0" xfId="0" applyFill="1" applyBorder="1" applyAlignment="1">
      <alignment horizontal="center"/>
    </xf>
    <xf numFmtId="0" fontId="21" fillId="9" borderId="0" xfId="0" applyFont="1" applyFill="1" applyBorder="1" applyAlignment="1">
      <alignment horizontal="left" indent="1"/>
    </xf>
    <xf numFmtId="0" fontId="3" fillId="9" borderId="0" xfId="0" applyFont="1" applyFill="1" applyBorder="1" applyAlignment="1">
      <alignment horizontal="center"/>
    </xf>
    <xf numFmtId="0" fontId="0" fillId="9" borderId="41" xfId="0" applyFill="1" applyBorder="1" applyAlignment="1">
      <alignment horizontal="center" vertical="center"/>
    </xf>
    <xf numFmtId="0" fontId="0" fillId="9" borderId="0" xfId="0" applyFill="1" applyBorder="1" applyAlignment="1">
      <alignment horizontal="right"/>
    </xf>
    <xf numFmtId="0" fontId="22" fillId="9" borderId="0" xfId="0" applyFont="1" applyFill="1" applyBorder="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Border="1" applyAlignment="1">
      <alignment horizontal="right" vertical="center"/>
    </xf>
    <xf numFmtId="0" fontId="22" fillId="9" borderId="0" xfId="0" applyFont="1" applyFill="1" applyBorder="1" applyAlignment="1">
      <alignment horizontal="right"/>
    </xf>
    <xf numFmtId="0" fontId="22" fillId="9" borderId="0" xfId="0" applyFont="1" applyFill="1" applyBorder="1" applyAlignment="1">
      <alignment vertical="center"/>
    </xf>
    <xf numFmtId="0" fontId="0" fillId="9" borderId="0" xfId="0" applyFill="1" applyBorder="1"/>
    <xf numFmtId="0" fontId="23" fillId="9" borderId="0" xfId="0" applyFont="1" applyFill="1" applyBorder="1" applyAlignment="1">
      <alignment vertical="top" wrapText="1"/>
    </xf>
    <xf numFmtId="0" fontId="23" fillId="9" borderId="42" xfId="0" applyFont="1" applyFill="1" applyBorder="1" applyAlignment="1">
      <alignment vertical="top" wrapText="1"/>
    </xf>
    <xf numFmtId="0" fontId="0" fillId="9" borderId="0" xfId="0" applyFill="1" applyBorder="1" applyAlignment="1">
      <alignment horizontal="center" vertical="center"/>
    </xf>
    <xf numFmtId="0" fontId="0" fillId="9" borderId="0" xfId="0" applyFill="1" applyBorder="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Border="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Border="1" applyAlignment="1">
      <alignment vertical="center"/>
    </xf>
    <xf numFmtId="0" fontId="0" fillId="10" borderId="0" xfId="0" applyFill="1" applyBorder="1" applyAlignment="1">
      <alignment horizontal="center" vertical="center"/>
    </xf>
    <xf numFmtId="0" fontId="25" fillId="10" borderId="0" xfId="0" applyFont="1" applyFill="1" applyBorder="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Border="1" applyAlignment="1">
      <alignment vertical="top" wrapText="1"/>
    </xf>
    <xf numFmtId="0" fontId="22" fillId="10" borderId="0" xfId="0" applyFont="1" applyFill="1" applyBorder="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pplyProtection="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Border="1" applyAlignment="1">
      <alignment horizontal="left" indent="1"/>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Border="1" applyAlignment="1">
      <alignment horizontal="center" vertical="center"/>
    </xf>
    <xf numFmtId="0" fontId="12" fillId="10" borderId="0" xfId="0" applyFont="1" applyFill="1" applyBorder="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Border="1" applyAlignment="1">
      <alignment horizontal="right" vertical="center"/>
    </xf>
    <xf numFmtId="0" fontId="21" fillId="11" borderId="0" xfId="0" applyFont="1" applyFill="1" applyBorder="1" applyAlignment="1">
      <alignment horizontal="left" indent="1"/>
    </xf>
    <xf numFmtId="0" fontId="0" fillId="11" borderId="0" xfId="0" applyFill="1" applyBorder="1" applyAlignment="1">
      <alignment horizontal="center"/>
    </xf>
    <xf numFmtId="0" fontId="23" fillId="11" borderId="0" xfId="0" applyFont="1" applyFill="1" applyBorder="1" applyAlignment="1">
      <alignment vertical="top" wrapText="1"/>
    </xf>
    <xf numFmtId="0" fontId="23" fillId="11" borderId="42" xfId="0" applyFont="1" applyFill="1" applyBorder="1" applyAlignment="1">
      <alignment horizontal="left" vertical="center" wrapText="1"/>
    </xf>
    <xf numFmtId="0" fontId="3" fillId="11" borderId="0" xfId="0" applyFont="1" applyFill="1" applyBorder="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Border="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Border="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applyBorder="1"/>
    <xf numFmtId="0" fontId="23" fillId="12" borderId="0" xfId="0" applyFont="1" applyFill="1" applyBorder="1" applyAlignment="1">
      <alignment horizontal="center" vertical="center" wrapText="1"/>
    </xf>
    <xf numFmtId="0" fontId="0" fillId="12" borderId="0" xfId="0" applyFill="1" applyBorder="1" applyAlignment="1">
      <alignment horizontal="center"/>
    </xf>
    <xf numFmtId="0" fontId="3" fillId="12"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Border="1" applyAlignment="1">
      <alignment vertical="center"/>
    </xf>
    <xf numFmtId="0" fontId="3" fillId="9" borderId="0" xfId="3" applyFill="1" applyBorder="1" applyAlignment="1">
      <alignment horizontal="center"/>
    </xf>
    <xf numFmtId="0" fontId="21" fillId="9" borderId="0" xfId="3" applyFont="1" applyFill="1" applyBorder="1" applyAlignment="1">
      <alignment horizontal="left" indent="1"/>
    </xf>
    <xf numFmtId="0" fontId="3" fillId="9" borderId="0" xfId="3" applyFont="1" applyFill="1" applyBorder="1" applyAlignment="1">
      <alignment horizontal="center"/>
    </xf>
    <xf numFmtId="0" fontId="3" fillId="9" borderId="41" xfId="3" applyFill="1" applyBorder="1" applyAlignment="1">
      <alignment horizontal="center" vertical="center"/>
    </xf>
    <xf numFmtId="0" fontId="3" fillId="9" borderId="0" xfId="3" applyFill="1" applyBorder="1" applyAlignment="1">
      <alignment horizontal="right"/>
    </xf>
    <xf numFmtId="0" fontId="22" fillId="9" borderId="0" xfId="3" applyFont="1" applyFill="1" applyBorder="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Border="1" applyAlignment="1">
      <alignment horizontal="right" vertical="center"/>
    </xf>
    <xf numFmtId="0" fontId="22" fillId="9" borderId="0" xfId="3" applyFont="1" applyFill="1" applyBorder="1" applyAlignment="1">
      <alignment horizontal="right"/>
    </xf>
    <xf numFmtId="0" fontId="22" fillId="9" borderId="0" xfId="3" applyFont="1" applyFill="1" applyBorder="1" applyAlignment="1">
      <alignment vertical="center"/>
    </xf>
    <xf numFmtId="0" fontId="3" fillId="9" borderId="0" xfId="3" applyFill="1" applyBorder="1"/>
    <xf numFmtId="0" fontId="23" fillId="9" borderId="0" xfId="3" applyFont="1" applyFill="1" applyBorder="1" applyAlignment="1">
      <alignment vertical="top" wrapText="1"/>
    </xf>
    <xf numFmtId="0" fontId="23" fillId="9" borderId="42" xfId="3" applyFont="1" applyFill="1" applyBorder="1" applyAlignment="1">
      <alignment vertical="top" wrapText="1"/>
    </xf>
    <xf numFmtId="0" fontId="3" fillId="9" borderId="0" xfId="3" applyFill="1" applyBorder="1" applyAlignment="1">
      <alignment horizontal="center" vertical="center"/>
    </xf>
    <xf numFmtId="0" fontId="3" fillId="9" borderId="0" xfId="3" applyFill="1" applyBorder="1" applyAlignment="1">
      <alignment horizontal="right" vertical="center"/>
    </xf>
    <xf numFmtId="0" fontId="25" fillId="9" borderId="0" xfId="3" applyFont="1" applyFill="1" applyBorder="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Border="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Border="1" applyAlignment="1">
      <alignment vertical="center"/>
    </xf>
    <xf numFmtId="0" fontId="3" fillId="10" borderId="0" xfId="3" applyFill="1" applyBorder="1" applyAlignment="1">
      <alignment horizontal="center" vertical="center"/>
    </xf>
    <xf numFmtId="0" fontId="25" fillId="10" borderId="0" xfId="3" applyFont="1" applyFill="1" applyBorder="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Border="1" applyAlignment="1">
      <alignment vertical="top" wrapText="1"/>
    </xf>
    <xf numFmtId="0" fontId="22" fillId="10" borderId="0" xfId="3" applyFont="1" applyFill="1" applyBorder="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pplyProtection="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Border="1" applyAlignment="1">
      <alignment horizontal="left" indent="1"/>
    </xf>
    <xf numFmtId="0" fontId="12" fillId="10" borderId="0" xfId="3" applyFont="1" applyFill="1" applyBorder="1" applyAlignment="1">
      <alignment horizontal="right" vertical="center"/>
    </xf>
    <xf numFmtId="0" fontId="21" fillId="10" borderId="0" xfId="3" applyFont="1" applyFill="1" applyBorder="1" applyAlignment="1">
      <alignment horizontal="center" vertical="center"/>
    </xf>
    <xf numFmtId="0" fontId="12" fillId="10" borderId="0" xfId="3" applyFont="1" applyFill="1" applyBorder="1" applyAlignment="1">
      <alignment horizontal="center" vertical="center"/>
    </xf>
    <xf numFmtId="2" fontId="3" fillId="10" borderId="0" xfId="3" applyNumberFormat="1" applyFill="1" applyBorder="1" applyAlignment="1">
      <alignment horizontal="center" vertical="center"/>
    </xf>
    <xf numFmtId="166" fontId="25" fillId="10" borderId="0" xfId="3" applyNumberFormat="1" applyFont="1" applyFill="1" applyBorder="1" applyAlignment="1">
      <alignment horizontal="center" vertical="center"/>
    </xf>
    <xf numFmtId="0" fontId="12" fillId="10" borderId="0" xfId="3" applyFont="1" applyFill="1" applyBorder="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Border="1" applyAlignment="1">
      <alignment horizontal="right" vertical="center"/>
    </xf>
    <xf numFmtId="0" fontId="21" fillId="11" borderId="0" xfId="3" applyFont="1" applyFill="1" applyBorder="1" applyAlignment="1">
      <alignment horizontal="left" indent="1"/>
    </xf>
    <xf numFmtId="0" fontId="3" fillId="11" borderId="0" xfId="3" applyFill="1" applyBorder="1" applyAlignment="1">
      <alignment horizontal="center"/>
    </xf>
    <xf numFmtId="0" fontId="23" fillId="11" borderId="0" xfId="3" applyFont="1" applyFill="1" applyBorder="1" applyAlignment="1">
      <alignment vertical="top" wrapText="1"/>
    </xf>
    <xf numFmtId="0" fontId="23" fillId="11" borderId="42" xfId="3" applyFont="1" applyFill="1" applyBorder="1" applyAlignment="1">
      <alignment horizontal="left" vertical="center" wrapText="1"/>
    </xf>
    <xf numFmtId="0" fontId="3" fillId="11" borderId="0" xfId="3" applyFont="1" applyFill="1" applyBorder="1" applyAlignment="1">
      <alignment horizontal="right" vertical="center" wrapText="1"/>
    </xf>
    <xf numFmtId="1" fontId="3" fillId="11" borderId="55" xfId="3" applyNumberFormat="1" applyFont="1" applyFill="1" applyBorder="1" applyAlignment="1">
      <alignment horizontal="center" vertical="center"/>
    </xf>
    <xf numFmtId="1" fontId="3" fillId="11" borderId="56" xfId="3" applyNumberFormat="1" applyFon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Font="1" applyAlignment="1">
      <alignment vertical="center"/>
    </xf>
    <xf numFmtId="0" fontId="3" fillId="9" borderId="41" xfId="3" applyFont="1" applyFill="1" applyBorder="1" applyAlignment="1">
      <alignment vertical="center"/>
    </xf>
    <xf numFmtId="0" fontId="21" fillId="9" borderId="0" xfId="3" applyFont="1" applyFill="1" applyBorder="1" applyAlignment="1">
      <alignment horizontal="left" vertical="center" indent="1"/>
    </xf>
    <xf numFmtId="0" fontId="3" fillId="9" borderId="42" xfId="3" applyFont="1" applyFill="1" applyBorder="1" applyAlignment="1">
      <alignment horizontal="center" vertical="center"/>
    </xf>
    <xf numFmtId="0" fontId="3" fillId="0" borderId="0" xfId="3" applyFont="1" applyAlignment="1">
      <alignment horizontal="center" vertical="center"/>
    </xf>
    <xf numFmtId="1" fontId="3" fillId="9" borderId="59" xfId="3" applyNumberFormat="1" applyFon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Border="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3" fillId="12" borderId="0" xfId="3" applyFill="1" applyBorder="1"/>
    <xf numFmtId="0" fontId="23" fillId="12" borderId="0" xfId="3" applyFont="1" applyFill="1" applyBorder="1" applyAlignment="1">
      <alignment horizontal="center" vertical="center" wrapText="1"/>
    </xf>
    <xf numFmtId="0" fontId="3" fillId="12"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3"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2"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Border="1" applyAlignment="1" applyProtection="1">
      <alignment horizontal="center" vertical="center"/>
    </xf>
    <xf numFmtId="0" fontId="12" fillId="10"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0" borderId="1" xfId="3" applyFont="1" applyFill="1" applyBorder="1" applyAlignment="1" applyProtection="1">
      <alignment horizontal="center" vertical="center"/>
      <protection locked="0"/>
    </xf>
    <xf numFmtId="0" fontId="3" fillId="10" borderId="0" xfId="3" applyFont="1" applyFill="1" applyBorder="1" applyAlignment="1" applyProtection="1">
      <alignment horizontal="center" vertical="center"/>
    </xf>
    <xf numFmtId="0" fontId="12" fillId="10" borderId="0" xfId="3" applyFont="1" applyFill="1" applyBorder="1" applyAlignment="1" applyProtection="1">
      <alignment horizontal="right" vertical="center"/>
    </xf>
    <xf numFmtId="2" fontId="14" fillId="14"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pplyProtection="1">
      <alignment horizontal="center" vertical="center" shrinkToFit="1"/>
    </xf>
    <xf numFmtId="167" fontId="14" fillId="7" borderId="1" xfId="0" applyNumberFormat="1" applyFont="1" applyFill="1" applyBorder="1" applyAlignment="1" applyProtection="1">
      <alignment horizontal="center" vertical="center" shrinkToFit="1"/>
    </xf>
    <xf numFmtId="164" fontId="14" fillId="7" borderId="8" xfId="0" applyNumberFormat="1" applyFont="1" applyFill="1" applyBorder="1" applyAlignment="1" applyProtection="1">
      <alignment horizontal="center" vertical="center" shrinkToFit="1"/>
    </xf>
    <xf numFmtId="166" fontId="14" fillId="7" borderId="1" xfId="0" applyNumberFormat="1" applyFont="1" applyFill="1" applyBorder="1" applyAlignment="1" applyProtection="1">
      <alignment horizontal="center" vertical="center" shrinkToFit="1"/>
    </xf>
    <xf numFmtId="1" fontId="14" fillId="7" borderId="1" xfId="0" applyNumberFormat="1" applyFont="1" applyFill="1" applyBorder="1" applyAlignment="1" applyProtection="1">
      <alignment horizontal="center" vertical="center" shrinkToFit="1"/>
    </xf>
    <xf numFmtId="166" fontId="14" fillId="7" borderId="1" xfId="1" applyNumberFormat="1" applyFont="1" applyFill="1" applyBorder="1" applyAlignment="1" applyProtection="1">
      <alignment horizontal="center" vertical="center" shrinkToFit="1"/>
    </xf>
    <xf numFmtId="0" fontId="2" fillId="0" borderId="9" xfId="0" applyFont="1" applyBorder="1" applyAlignment="1">
      <alignment horizontal="center" vertical="center" wrapText="1"/>
    </xf>
    <xf numFmtId="0" fontId="2" fillId="0" borderId="0" xfId="0" applyFont="1" applyBorder="1" applyAlignment="1">
      <alignment horizontal="center"/>
    </xf>
    <xf numFmtId="2" fontId="3" fillId="5" borderId="10" xfId="0" applyNumberFormat="1" applyFont="1" applyFill="1" applyBorder="1" applyAlignment="1">
      <alignment horizontal="center"/>
    </xf>
    <xf numFmtId="166" fontId="3" fillId="0" borderId="0" xfId="0" applyNumberFormat="1" applyFont="1" applyFill="1" applyBorder="1" applyAlignment="1">
      <alignment horizontal="center"/>
    </xf>
    <xf numFmtId="166" fontId="3" fillId="0" borderId="9" xfId="0" applyNumberFormat="1" applyFont="1" applyFill="1" applyBorder="1" applyAlignment="1">
      <alignment horizontal="center"/>
    </xf>
    <xf numFmtId="166" fontId="0" fillId="5" borderId="10" xfId="0" applyNumberFormat="1" applyFill="1" applyBorder="1" applyAlignment="1" applyProtection="1">
      <alignment horizontal="center"/>
    </xf>
    <xf numFmtId="0" fontId="3" fillId="0" borderId="9" xfId="0" applyFont="1" applyBorder="1" applyAlignment="1">
      <alignment horizontal="center"/>
    </xf>
    <xf numFmtId="0" fontId="0" fillId="0" borderId="0" xfId="0" applyAlignment="1">
      <alignment horizontal="center"/>
    </xf>
    <xf numFmtId="9" fontId="0" fillId="0" borderId="1" xfId="4" applyFont="1" applyFill="1" applyBorder="1" applyAlignment="1" applyProtection="1">
      <alignment horizontal="center" vertical="center"/>
      <protection locked="0"/>
    </xf>
    <xf numFmtId="0" fontId="3" fillId="0" borderId="0" xfId="0" quotePrefix="1" applyFont="1"/>
    <xf numFmtId="0" fontId="3" fillId="0" borderId="1" xfId="3" applyFill="1" applyBorder="1" applyAlignment="1" applyProtection="1">
      <alignment horizontal="center" vertical="center"/>
      <protection locked="0"/>
    </xf>
    <xf numFmtId="0" fontId="14" fillId="0" borderId="6" xfId="0" applyFont="1" applyBorder="1" applyAlignment="1">
      <alignment horizontal="center"/>
    </xf>
    <xf numFmtId="0" fontId="14" fillId="0" borderId="4" xfId="0" applyFont="1" applyBorder="1" applyAlignment="1">
      <alignment horizontal="center"/>
    </xf>
    <xf numFmtId="2" fontId="14" fillId="0" borderId="1" xfId="0" applyNumberFormat="1" applyFont="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7" borderId="1" xfId="0" applyFont="1" applyFill="1" applyBorder="1" applyAlignment="1">
      <alignment horizontal="center" shrinkToFit="1"/>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6" borderId="6" xfId="0" applyFont="1" applyFill="1" applyBorder="1" applyAlignment="1" applyProtection="1">
      <alignment horizontal="center"/>
      <protection locked="0"/>
    </xf>
    <xf numFmtId="0" fontId="14" fillId="6" borderId="3"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6" borderId="1" xfId="0" applyFont="1" applyFill="1" applyBorder="1" applyAlignment="1" applyProtection="1">
      <alignment horizontal="center"/>
      <protection locked="0"/>
    </xf>
    <xf numFmtId="0" fontId="16" fillId="0" borderId="1" xfId="0"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Border="1" applyAlignment="1">
      <alignment horizontal="right"/>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0" borderId="9" xfId="0" applyFont="1" applyBorder="1" applyAlignment="1">
      <alignment horizontal="center"/>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4" fillId="0" borderId="6" xfId="0" applyFont="1" applyBorder="1" applyAlignment="1">
      <alignment horizontal="right" vertical="center"/>
    </xf>
    <xf numFmtId="0" fontId="14" fillId="0" borderId="4" xfId="0" applyFont="1" applyBorder="1" applyAlignment="1">
      <alignment horizontal="right" vertical="center"/>
    </xf>
    <xf numFmtId="0" fontId="14" fillId="0" borderId="1" xfId="0" applyFont="1" applyBorder="1" applyAlignment="1">
      <alignment horizontal="right" shrinkToFi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6" fillId="0" borderId="6" xfId="0" applyFont="1" applyFill="1" applyBorder="1" applyAlignment="1">
      <alignment horizontal="center"/>
    </xf>
    <xf numFmtId="0" fontId="16" fillId="0" borderId="3" xfId="0" applyFont="1" applyFill="1" applyBorder="1" applyAlignment="1">
      <alignment horizontal="center"/>
    </xf>
    <xf numFmtId="0" fontId="16" fillId="0" borderId="4" xfId="0" applyFont="1" applyFill="1" applyBorder="1" applyAlignment="1">
      <alignment horizontal="center"/>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164" fontId="14" fillId="7" borderId="1" xfId="0" applyNumberFormat="1" applyFont="1" applyFill="1" applyBorder="1" applyAlignment="1" applyProtection="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4" fillId="6" borderId="0" xfId="0" applyFont="1" applyFill="1" applyBorder="1" applyAlignment="1" applyProtection="1">
      <alignment horizontal="center" vertical="center" wrapText="1"/>
      <protection locked="0"/>
    </xf>
    <xf numFmtId="0" fontId="16" fillId="0" borderId="12" xfId="0" applyFont="1" applyBorder="1" applyAlignment="1">
      <alignment horizontal="center" vertical="center" wrapText="1"/>
    </xf>
    <xf numFmtId="0" fontId="14" fillId="7" borderId="3" xfId="0" applyFont="1" applyFill="1" applyBorder="1" applyAlignment="1">
      <alignment horizontal="center" shrinkToFit="1"/>
    </xf>
    <xf numFmtId="0" fontId="16" fillId="7" borderId="12" xfId="0" applyFont="1" applyFill="1" applyBorder="1" applyAlignment="1">
      <alignment horizontal="center"/>
    </xf>
    <xf numFmtId="0" fontId="16" fillId="7" borderId="8" xfId="0" applyFont="1" applyFill="1" applyBorder="1" applyAlignment="1">
      <alignment horizontal="center"/>
    </xf>
    <xf numFmtId="0" fontId="3" fillId="0" borderId="24" xfId="0" applyFont="1" applyFill="1" applyBorder="1" applyAlignment="1">
      <alignment horizontal="left"/>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2" xfId="0" applyFont="1" applyFill="1" applyBorder="1" applyAlignment="1">
      <alignment horizontal="left"/>
    </xf>
    <xf numFmtId="0" fontId="3" fillId="0" borderId="1" xfId="0" applyFont="1" applyFill="1" applyBorder="1" applyAlignment="1"/>
    <xf numFmtId="0" fontId="3" fillId="0" borderId="22" xfId="0" applyFont="1" applyFill="1" applyBorder="1" applyAlignment="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3" fillId="0" borderId="1" xfId="0" applyFont="1" applyBorder="1" applyAlignment="1">
      <alignment horizontal="left"/>
    </xf>
    <xf numFmtId="0" fontId="3" fillId="0" borderId="22"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3" fillId="0" borderId="1" xfId="0" applyFont="1" applyBorder="1" applyAlignment="1"/>
    <xf numFmtId="0" fontId="3" fillId="0" borderId="22" xfId="0" applyFont="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Border="1" applyAlignment="1">
      <alignment horizontal="center"/>
    </xf>
    <xf numFmtId="0" fontId="9" fillId="0" borderId="0" xfId="2" applyAlignment="1" applyProtection="1">
      <alignment horizontal="center"/>
    </xf>
    <xf numFmtId="0" fontId="0" fillId="0" borderId="15" xfId="0"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Border="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Border="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Border="1" applyAlignment="1">
      <alignment horizontal="center" wrapText="1"/>
    </xf>
    <xf numFmtId="0" fontId="3" fillId="11" borderId="53" xfId="0" applyFont="1" applyFill="1" applyBorder="1" applyAlignment="1">
      <alignment horizontal="center" wrapText="1"/>
    </xf>
    <xf numFmtId="0" fontId="0" fillId="11" borderId="0" xfId="0" applyFill="1" applyBorder="1" applyAlignment="1">
      <alignment horizontal="center" wrapText="1"/>
    </xf>
    <xf numFmtId="0" fontId="0" fillId="11" borderId="0" xfId="0" applyFill="1" applyBorder="1" applyAlignment="1">
      <alignment horizontal="center"/>
    </xf>
    <xf numFmtId="0" fontId="0" fillId="11" borderId="53" xfId="0" applyFill="1" applyBorder="1" applyAlignment="1">
      <alignment horizontal="center"/>
    </xf>
    <xf numFmtId="0" fontId="28" fillId="11" borderId="0" xfId="0" applyFont="1" applyFill="1" applyBorder="1" applyAlignment="1">
      <alignment horizontal="center" wrapText="1"/>
    </xf>
    <xf numFmtId="0" fontId="28" fillId="11" borderId="30" xfId="0" applyFont="1" applyFill="1" applyBorder="1" applyAlignment="1">
      <alignment horizontal="center" wrapText="1"/>
    </xf>
    <xf numFmtId="0" fontId="12" fillId="11" borderId="0" xfId="0" applyFont="1" applyFill="1" applyBorder="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Border="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26" fillId="10" borderId="11" xfId="0" applyFont="1" applyFill="1" applyBorder="1" applyAlignment="1">
      <alignment horizontal="left" vertical="top" wrapText="1"/>
    </xf>
    <xf numFmtId="0" fontId="17" fillId="0" borderId="0" xfId="0" applyFont="1" applyBorder="1" applyAlignment="1">
      <alignment horizontal="center"/>
    </xf>
    <xf numFmtId="0" fontId="0" fillId="9" borderId="0" xfId="0" applyFill="1" applyBorder="1" applyAlignment="1">
      <alignment horizontal="left"/>
    </xf>
    <xf numFmtId="0" fontId="20" fillId="9" borderId="42" xfId="0" applyFont="1" applyFill="1" applyBorder="1" applyAlignment="1">
      <alignment horizontal="center" vertical="center"/>
    </xf>
    <xf numFmtId="0" fontId="3" fillId="9" borderId="0" xfId="0" applyFont="1" applyFill="1" applyBorder="1" applyAlignment="1">
      <alignment horizontal="left"/>
    </xf>
    <xf numFmtId="0" fontId="23" fillId="9" borderId="0" xfId="0" applyFont="1" applyFill="1" applyBorder="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0" fontId="12" fillId="9" borderId="66" xfId="3" applyFont="1" applyFill="1" applyBorder="1" applyAlignment="1">
      <alignment horizontal="center" vertical="center"/>
    </xf>
    <xf numFmtId="0" fontId="3" fillId="0" borderId="67" xfId="3" applyBorder="1"/>
    <xf numFmtId="0" fontId="23" fillId="9" borderId="0" xfId="3" applyFont="1" applyFill="1" applyBorder="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Border="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ont="1" applyFill="1" applyBorder="1" applyAlignment="1">
      <alignment horizontal="center" wrapText="1"/>
    </xf>
    <xf numFmtId="0" fontId="3" fillId="11" borderId="53" xfId="3" applyFont="1" applyFill="1" applyBorder="1" applyAlignment="1">
      <alignment horizontal="center" wrapText="1"/>
    </xf>
    <xf numFmtId="0" fontId="3" fillId="11" borderId="0" xfId="3" applyFill="1" applyBorder="1" applyAlignment="1">
      <alignment horizontal="center" wrapText="1"/>
    </xf>
    <xf numFmtId="0" fontId="3" fillId="11" borderId="0" xfId="3" applyFill="1" applyBorder="1" applyAlignment="1">
      <alignment horizontal="center"/>
    </xf>
    <xf numFmtId="0" fontId="3" fillId="11" borderId="53" xfId="3" applyFill="1" applyBorder="1" applyAlignment="1">
      <alignment horizontal="center"/>
    </xf>
    <xf numFmtId="0" fontId="28" fillId="11" borderId="0" xfId="3" applyFont="1" applyFill="1" applyBorder="1" applyAlignment="1">
      <alignment horizontal="center" wrapText="1"/>
    </xf>
    <xf numFmtId="0" fontId="28" fillId="11" borderId="30" xfId="3" applyFont="1" applyFill="1" applyBorder="1" applyAlignment="1">
      <alignment horizontal="center" wrapText="1"/>
    </xf>
    <xf numFmtId="0" fontId="12" fillId="11" borderId="0" xfId="3" applyFont="1" applyFill="1" applyBorder="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Border="1" applyAlignment="1">
      <alignment horizontal="center"/>
    </xf>
    <xf numFmtId="0" fontId="3" fillId="9" borderId="54" xfId="3" applyFont="1" applyFill="1" applyBorder="1" applyAlignment="1">
      <alignment horizontal="center"/>
    </xf>
    <xf numFmtId="2" fontId="3" fillId="9" borderId="60" xfId="3" applyNumberFormat="1" applyFont="1" applyFill="1" applyBorder="1" applyAlignment="1">
      <alignment horizontal="center" vertical="center"/>
    </xf>
    <xf numFmtId="0" fontId="3" fillId="0" borderId="61" xfId="3" applyBorder="1"/>
    <xf numFmtId="0" fontId="26" fillId="10" borderId="11" xfId="3" applyFont="1" applyFill="1" applyBorder="1" applyAlignment="1">
      <alignment horizontal="left" vertical="top" wrapText="1"/>
    </xf>
    <xf numFmtId="0" fontId="17" fillId="0" borderId="0" xfId="3" applyFont="1" applyBorder="1" applyAlignment="1">
      <alignment horizontal="center"/>
    </xf>
    <xf numFmtId="0" fontId="3" fillId="9" borderId="0" xfId="3" applyFill="1" applyBorder="1" applyAlignment="1">
      <alignment horizontal="left"/>
    </xf>
    <xf numFmtId="0" fontId="20" fillId="9" borderId="42" xfId="3" applyFont="1" applyFill="1" applyBorder="1" applyAlignment="1">
      <alignment horizontal="center" vertical="center"/>
    </xf>
    <xf numFmtId="0" fontId="3" fillId="9" borderId="0" xfId="3" applyFont="1" applyFill="1" applyBorder="1" applyAlignment="1">
      <alignment horizontal="left"/>
    </xf>
    <xf numFmtId="0" fontId="23" fillId="9" borderId="0" xfId="3" applyFont="1" applyFill="1" applyBorder="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6" totalsRowShown="0" headerRowDxfId="15">
  <autoFilter ref="A1:H236" xr:uid="{00000000-0009-0000-0100-000002000000}"/>
  <sortState ref="A2:H236">
    <sortCondition ref="A2:A236"/>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table" Target="../tables/table1.xm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5"/>
  <sheetViews>
    <sheetView tabSelected="1" topLeftCell="A31" zoomScaleNormal="100" workbookViewId="0">
      <selection activeCell="B33" sqref="B33"/>
    </sheetView>
  </sheetViews>
  <sheetFormatPr defaultRowHeight="13.2" x14ac:dyDescent="0.25"/>
  <cols>
    <col min="1" max="1" width="10.109375" bestFit="1" customWidth="1"/>
    <col min="2" max="2" width="111.21875" customWidth="1"/>
  </cols>
  <sheetData>
    <row r="2" spans="2:2" x14ac:dyDescent="0.25">
      <c r="B2" s="54" t="s">
        <v>1209</v>
      </c>
    </row>
    <row r="3" spans="2:2" x14ac:dyDescent="0.25">
      <c r="B3" s="23" t="s">
        <v>1202</v>
      </c>
    </row>
    <row r="4" spans="2:2" x14ac:dyDescent="0.25">
      <c r="B4" s="130" t="s">
        <v>1345</v>
      </c>
    </row>
    <row r="5" spans="2:2" x14ac:dyDescent="0.25">
      <c r="B5" s="23" t="s">
        <v>2084</v>
      </c>
    </row>
    <row r="6" spans="2:2" x14ac:dyDescent="0.25">
      <c r="B6" s="23" t="s">
        <v>2085</v>
      </c>
    </row>
    <row r="7" spans="2:2" x14ac:dyDescent="0.25">
      <c r="B7" s="23" t="s">
        <v>2086</v>
      </c>
    </row>
    <row r="8" spans="2:2" x14ac:dyDescent="0.25">
      <c r="B8" s="23" t="s">
        <v>1203</v>
      </c>
    </row>
    <row r="9" spans="2:2" x14ac:dyDescent="0.25">
      <c r="B9" s="23" t="s">
        <v>1204</v>
      </c>
    </row>
    <row r="10" spans="2:2" x14ac:dyDescent="0.25">
      <c r="B10" s="23" t="s">
        <v>1205</v>
      </c>
    </row>
    <row r="11" spans="2:2" x14ac:dyDescent="0.25">
      <c r="B11" s="23" t="s">
        <v>1206</v>
      </c>
    </row>
    <row r="12" spans="2:2" x14ac:dyDescent="0.25">
      <c r="B12" s="23" t="s">
        <v>2081</v>
      </c>
    </row>
    <row r="13" spans="2:2" x14ac:dyDescent="0.25">
      <c r="B13" s="23" t="s">
        <v>2082</v>
      </c>
    </row>
    <row r="14" spans="2:2" x14ac:dyDescent="0.25">
      <c r="B14" s="23" t="s">
        <v>2083</v>
      </c>
    </row>
    <row r="15" spans="2:2" x14ac:dyDescent="0.25">
      <c r="B15" s="23" t="s">
        <v>1210</v>
      </c>
    </row>
    <row r="16" spans="2:2" x14ac:dyDescent="0.25">
      <c r="B16" s="79" t="s">
        <v>142</v>
      </c>
    </row>
    <row r="19" spans="1:2" x14ac:dyDescent="0.25">
      <c r="B19" s="54" t="s">
        <v>1207</v>
      </c>
    </row>
    <row r="20" spans="1:2" x14ac:dyDescent="0.25">
      <c r="B20" s="23" t="s">
        <v>1208</v>
      </c>
    </row>
    <row r="21" spans="1:2" ht="66" x14ac:dyDescent="0.25">
      <c r="A21" s="78">
        <v>42838</v>
      </c>
      <c r="B21" s="77" t="s">
        <v>1225</v>
      </c>
    </row>
    <row r="22" spans="1:2" x14ac:dyDescent="0.25">
      <c r="A22" s="98">
        <v>42840</v>
      </c>
      <c r="B22" s="23" t="s">
        <v>1226</v>
      </c>
    </row>
    <row r="23" spans="1:2" x14ac:dyDescent="0.25">
      <c r="A23" s="98">
        <v>42845</v>
      </c>
      <c r="B23" s="23" t="s">
        <v>1227</v>
      </c>
    </row>
    <row r="24" spans="1:2" x14ac:dyDescent="0.25">
      <c r="A24" s="98">
        <v>42850</v>
      </c>
      <c r="B24" s="23" t="s">
        <v>1301</v>
      </c>
    </row>
    <row r="25" spans="1:2" x14ac:dyDescent="0.25">
      <c r="A25" s="98">
        <v>42854</v>
      </c>
      <c r="B25" s="23" t="s">
        <v>1312</v>
      </c>
    </row>
    <row r="26" spans="1:2" ht="52.8" x14ac:dyDescent="0.25">
      <c r="A26" s="102">
        <v>42931</v>
      </c>
      <c r="B26" s="77" t="s">
        <v>1344</v>
      </c>
    </row>
    <row r="27" spans="1:2" ht="132" x14ac:dyDescent="0.25">
      <c r="A27" s="102">
        <v>42983</v>
      </c>
      <c r="B27" s="77" t="s">
        <v>1667</v>
      </c>
    </row>
    <row r="28" spans="1:2" ht="145.19999999999999" x14ac:dyDescent="0.25">
      <c r="A28" s="102">
        <v>43048</v>
      </c>
      <c r="B28" s="77" t="s">
        <v>1747</v>
      </c>
    </row>
    <row r="29" spans="1:2" ht="26.4" x14ac:dyDescent="0.25">
      <c r="A29" s="102">
        <v>43189</v>
      </c>
      <c r="B29" s="77" t="s">
        <v>1748</v>
      </c>
    </row>
    <row r="30" spans="1:2" ht="26.4" x14ac:dyDescent="0.25">
      <c r="A30" s="102">
        <v>43267</v>
      </c>
      <c r="B30" s="77" t="s">
        <v>1753</v>
      </c>
    </row>
    <row r="31" spans="1:2" x14ac:dyDescent="0.25">
      <c r="A31" s="98">
        <v>43386</v>
      </c>
      <c r="B31" s="77" t="s">
        <v>1762</v>
      </c>
    </row>
    <row r="32" spans="1:2" ht="52.8" x14ac:dyDescent="0.25">
      <c r="A32" s="102">
        <v>43435</v>
      </c>
      <c r="B32" s="77" t="s">
        <v>1763</v>
      </c>
    </row>
    <row r="33" spans="1:2" ht="316.8" x14ac:dyDescent="0.25">
      <c r="A33" s="102">
        <v>43478</v>
      </c>
      <c r="B33" s="542" t="s">
        <v>2077</v>
      </c>
    </row>
    <row r="34" spans="1:2" x14ac:dyDescent="0.25">
      <c r="A34" s="98">
        <v>43480</v>
      </c>
      <c r="B34" s="628" t="s">
        <v>2080</v>
      </c>
    </row>
    <row r="35" spans="1:2" x14ac:dyDescent="0.25">
      <c r="A35" s="98">
        <v>43481</v>
      </c>
      <c r="B35" s="77" t="s">
        <v>2087</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zoomScaleNormal="100" workbookViewId="0">
      <selection activeCell="N12" sqref="N12"/>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7.3320312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92" t="s">
        <v>148</v>
      </c>
      <c r="B1" s="675" t="s">
        <v>707</v>
      </c>
      <c r="C1" s="675"/>
      <c r="D1" s="675"/>
      <c r="E1" s="675"/>
      <c r="F1" s="193"/>
      <c r="G1" s="193"/>
      <c r="H1" s="192" t="s">
        <v>128</v>
      </c>
      <c r="I1" s="675" t="s">
        <v>135</v>
      </c>
      <c r="J1" s="675"/>
      <c r="K1" s="675"/>
      <c r="L1" s="675"/>
      <c r="M1" s="675"/>
      <c r="P1" s="193"/>
      <c r="Q1" s="655" t="s">
        <v>143</v>
      </c>
      <c r="R1" s="656"/>
      <c r="S1" s="656"/>
      <c r="T1" s="656"/>
      <c r="U1" s="657"/>
      <c r="V1" s="224"/>
      <c r="W1" s="546"/>
      <c r="X1" s="546"/>
      <c r="Y1" s="546"/>
      <c r="Z1" s="161"/>
    </row>
    <row r="2" spans="1:33" ht="13.2" customHeight="1" x14ac:dyDescent="0.25">
      <c r="A2" s="194" t="s">
        <v>127</v>
      </c>
      <c r="B2" s="717" t="s">
        <v>708</v>
      </c>
      <c r="C2" s="717"/>
      <c r="D2" s="717"/>
      <c r="E2" s="717"/>
      <c r="F2" s="193"/>
      <c r="G2" s="193"/>
      <c r="H2" s="192" t="s">
        <v>129</v>
      </c>
      <c r="I2" s="676"/>
      <c r="J2" s="676"/>
      <c r="K2" s="676"/>
      <c r="L2" s="676"/>
      <c r="M2" s="676"/>
      <c r="P2" s="193"/>
      <c r="Q2" s="658" t="s">
        <v>142</v>
      </c>
      <c r="R2" s="659"/>
      <c r="S2" s="659"/>
      <c r="T2" s="659"/>
      <c r="U2" s="660"/>
    </row>
    <row r="3" spans="1:33" ht="7.2" customHeight="1" x14ac:dyDescent="0.25">
      <c r="A3" s="193"/>
      <c r="B3" s="193"/>
      <c r="C3" s="193"/>
      <c r="D3" s="193"/>
      <c r="E3" s="193"/>
      <c r="F3" s="193"/>
      <c r="G3" s="193"/>
      <c r="H3" s="193"/>
      <c r="I3" s="193"/>
      <c r="J3" s="193"/>
      <c r="K3" s="193"/>
      <c r="L3" s="193"/>
      <c r="M3" s="193"/>
      <c r="N3" s="193"/>
      <c r="O3" s="193"/>
      <c r="P3" s="193"/>
      <c r="Q3" s="193"/>
      <c r="R3" s="193"/>
      <c r="S3" s="193"/>
      <c r="T3" s="193"/>
      <c r="U3" s="193"/>
    </row>
    <row r="4" spans="1:33" x14ac:dyDescent="0.25">
      <c r="A4" s="665" t="s">
        <v>1170</v>
      </c>
      <c r="B4" s="666"/>
      <c r="C4" s="666"/>
      <c r="D4" s="666"/>
      <c r="E4" s="666"/>
      <c r="F4" s="667"/>
      <c r="G4" s="193"/>
      <c r="H4" s="669" t="s">
        <v>1816</v>
      </c>
      <c r="I4" s="669"/>
      <c r="J4" s="669"/>
      <c r="K4" s="669"/>
      <c r="L4" s="197"/>
      <c r="M4" s="669" t="s">
        <v>2015</v>
      </c>
      <c r="N4" s="669"/>
      <c r="O4" s="669"/>
      <c r="P4" s="193"/>
      <c r="Q4" s="665" t="s">
        <v>1798</v>
      </c>
      <c r="R4" s="666"/>
      <c r="S4" s="666"/>
      <c r="T4" s="666"/>
      <c r="U4" s="667"/>
    </row>
    <row r="5" spans="1:33" ht="13.2" customHeight="1" x14ac:dyDescent="0.25">
      <c r="A5" s="670" t="s">
        <v>66</v>
      </c>
      <c r="B5" s="703"/>
      <c r="C5" s="703"/>
      <c r="D5" s="671"/>
      <c r="E5" s="232" t="s">
        <v>145</v>
      </c>
      <c r="F5" s="680" t="s">
        <v>1191</v>
      </c>
      <c r="G5" s="193"/>
      <c r="H5" s="572"/>
      <c r="I5" s="573"/>
      <c r="J5" s="574" t="s">
        <v>1790</v>
      </c>
      <c r="K5" s="575" t="s">
        <v>139</v>
      </c>
      <c r="L5" s="568"/>
      <c r="M5" s="682" t="s">
        <v>1780</v>
      </c>
      <c r="N5" s="682"/>
      <c r="O5" s="682"/>
      <c r="P5" s="193"/>
      <c r="Q5" s="663" t="s">
        <v>132</v>
      </c>
      <c r="R5" s="664"/>
      <c r="S5" s="217" t="s">
        <v>1790</v>
      </c>
      <c r="T5" s="218" t="s">
        <v>139</v>
      </c>
      <c r="U5" s="217" t="s">
        <v>100</v>
      </c>
      <c r="V5" s="193"/>
      <c r="W5" s="193"/>
      <c r="X5" s="193"/>
      <c r="Y5" s="193"/>
    </row>
    <row r="6" spans="1:33" ht="13.2" customHeight="1" x14ac:dyDescent="0.25">
      <c r="A6" s="718"/>
      <c r="B6" s="704"/>
      <c r="C6" s="704"/>
      <c r="D6" s="705"/>
      <c r="E6" s="196" t="str">
        <f>'Brewhouse Setup &amp; Calcs'!$B$6</f>
        <v>lb</v>
      </c>
      <c r="F6" s="681"/>
      <c r="G6" s="193"/>
      <c r="H6" s="677" t="s">
        <v>1811</v>
      </c>
      <c r="I6" s="678"/>
      <c r="J6" s="613">
        <f>'Brewhouse Setup &amp; Calcs'!B17</f>
        <v>0.78600000000000003</v>
      </c>
      <c r="K6" s="613" t="str">
        <f>IF(S18="Hydrometer",T23,T24)</f>
        <v/>
      </c>
      <c r="M6" s="685" t="s">
        <v>2016</v>
      </c>
      <c r="N6" s="683" t="s">
        <v>2013</v>
      </c>
      <c r="O6" s="683" t="s">
        <v>2014</v>
      </c>
      <c r="P6" s="193"/>
      <c r="Q6" s="630" t="str">
        <f>'Brewhouse Setup &amp; Calcs'!A40</f>
        <v>Total Water Req'd</v>
      </c>
      <c r="R6" s="631"/>
      <c r="S6" s="202">
        <f>'Brewhouse Setup &amp; Calcs'!B40</f>
        <v>35.906708000000002</v>
      </c>
      <c r="T6" s="239">
        <f>T9+T12</f>
        <v>0</v>
      </c>
      <c r="U6" s="199" t="str">
        <f>'Brewhouse Setup &amp; Calcs'!$B$5</f>
        <v>qt</v>
      </c>
      <c r="V6" s="193"/>
      <c r="W6" s="193"/>
      <c r="X6" s="193"/>
      <c r="Y6" s="193"/>
    </row>
    <row r="7" spans="1:33" ht="13.2" customHeight="1" x14ac:dyDescent="0.25">
      <c r="A7" s="651" t="str">
        <f>IF(ISBLANK('Grain &amp; Sugar Calcs'!B5),"",'Grain &amp; Sugar Calcs'!B5)</f>
        <v>Pale Malt: Brewers Malt, 2-row (Briess)</v>
      </c>
      <c r="B7" s="719"/>
      <c r="C7" s="719"/>
      <c r="D7" s="652"/>
      <c r="E7" s="200">
        <f>IF(ISBLANK('Grain &amp; Sugar Calcs'!C5),"",'Grain &amp; Sugar Calcs'!C5)</f>
        <v>10.25</v>
      </c>
      <c r="F7" s="201">
        <f>IF('Grain &amp; Sugar Calcs'!D5=0,"",'Grain &amp; Sugar Calcs'!D5)</f>
        <v>0.74545454545454548</v>
      </c>
      <c r="G7" s="193"/>
      <c r="H7" s="679" t="s">
        <v>2037</v>
      </c>
      <c r="I7" s="679"/>
      <c r="J7" s="613">
        <f>IF(OR(NOT(ISNUMBER($J$9)),NOT(ISNUMBER($J$11)),'Grain &amp; Sugar Calcs'!H16=0),"",(($J$9-1)*1000)/IF('Brewhouse Setup &amp; Calcs'!$B$2="Metric",('Grain &amp; Sugar Calcs'!$H$16/$J$11*4*1.056688),('Grain &amp; Sugar Calcs'!$H$16/$J$11*4)))</f>
        <v>0.69584953038607444</v>
      </c>
      <c r="K7" s="614" t="str">
        <f>IF(NOT(ISNUMBER($K$9)),"",(($K$9-1)*1000*$K$11)/IF('Brewhouse Setup &amp; Calcs'!$B$2="Metric",('Grain &amp; Sugar Calcs'!$H$16/$J$11*4*1.056688)*$J$11,('Grain &amp; Sugar Calcs'!$H$16/$J$11*4)*$J$11))</f>
        <v/>
      </c>
      <c r="M7" s="686"/>
      <c r="N7" s="684"/>
      <c r="O7" s="684"/>
      <c r="P7" s="193"/>
      <c r="Q7" s="630" t="str">
        <f>'Brewhouse Setup &amp; Calcs'!A13</f>
        <v>Ambient Grain Temp</v>
      </c>
      <c r="R7" s="631"/>
      <c r="S7" s="198">
        <f>'Brewhouse Setup &amp; Calcs'!B13</f>
        <v>68</v>
      </c>
      <c r="T7" s="212"/>
      <c r="U7" s="199" t="str">
        <f>'Brewhouse Setup &amp; Calcs'!$B$4</f>
        <v>°F</v>
      </c>
      <c r="V7" s="193"/>
      <c r="W7" s="193"/>
      <c r="X7" s="193"/>
      <c r="Y7" s="193"/>
    </row>
    <row r="8" spans="1:33" ht="13.2" customHeight="1" x14ac:dyDescent="0.25">
      <c r="A8" s="636" t="str">
        <f>IF(ISBLANK('Grain &amp; Sugar Calcs'!B6),"",'Grain &amp; Sugar Calcs'!B6)</f>
        <v>Pale Ale Malt: Pale Ale Malt (Rahr)</v>
      </c>
      <c r="B8" s="636"/>
      <c r="C8" s="636"/>
      <c r="D8" s="636"/>
      <c r="E8" s="202">
        <f>IF(ISBLANK('Grain &amp; Sugar Calcs'!C6),"",'Grain &amp; Sugar Calcs'!C6)</f>
        <v>3</v>
      </c>
      <c r="F8" s="201">
        <f>IF('Grain &amp; Sugar Calcs'!D6=0,"",'Grain &amp; Sugar Calcs'!D6)</f>
        <v>0.21818181818181817</v>
      </c>
      <c r="G8" s="193"/>
      <c r="H8" s="687" t="s">
        <v>1804</v>
      </c>
      <c r="I8" s="688"/>
      <c r="J8" s="615">
        <f>'Grain &amp; Sugar Calcs'!J20</f>
        <v>1.0566824637654366</v>
      </c>
      <c r="K8" s="615" t="str">
        <f>IF(S18="Hydrometer",T20,T22)</f>
        <v/>
      </c>
      <c r="M8" s="543" t="s">
        <v>1837</v>
      </c>
      <c r="N8" s="208">
        <v>37</v>
      </c>
      <c r="O8" s="225">
        <f>IFERROR(IF('Brewhouse Setup &amp; Calcs'!$B$2="US Customary",'Water-English'!D51,'Water-Metric'!D52),"")</f>
        <v>37</v>
      </c>
      <c r="P8" s="193"/>
      <c r="Q8" s="630" t="str">
        <f>'Brewhouse Setup &amp; Calcs'!A14</f>
        <v>Desired Mash Temp</v>
      </c>
      <c r="R8" s="631"/>
      <c r="S8" s="198">
        <f>'Brewhouse Setup &amp; Calcs'!B14</f>
        <v>150</v>
      </c>
      <c r="T8" s="212"/>
      <c r="U8" s="199" t="str">
        <f>'Brewhouse Setup &amp; Calcs'!$B$4</f>
        <v>°F</v>
      </c>
      <c r="V8" s="193"/>
      <c r="W8" s="193"/>
      <c r="X8" s="193"/>
      <c r="Y8" s="193"/>
      <c r="AF8" s="569"/>
      <c r="AG8" s="569"/>
    </row>
    <row r="9" spans="1:33" x14ac:dyDescent="0.25">
      <c r="A9" s="636" t="str">
        <f>IF(ISBLANK('Grain &amp; Sugar Calcs'!B7),"",'Grain &amp; Sugar Calcs'!B7)</f>
        <v>Caramel Malt: Caramel Malt 40L (Briess)</v>
      </c>
      <c r="B9" s="636"/>
      <c r="C9" s="636"/>
      <c r="D9" s="636"/>
      <c r="E9" s="202">
        <f>IF(ISBLANK('Grain &amp; Sugar Calcs'!C7),"",'Grain &amp; Sugar Calcs'!C7)</f>
        <v>0.5</v>
      </c>
      <c r="F9" s="201">
        <f>IF('Grain &amp; Sugar Calcs'!D7=0,"",'Grain &amp; Sugar Calcs'!D7)</f>
        <v>3.6363636363636362E-2</v>
      </c>
      <c r="G9" s="193"/>
      <c r="H9" s="661" t="s">
        <v>1801</v>
      </c>
      <c r="I9" s="661"/>
      <c r="J9" s="615">
        <f>'Grain &amp; Sugar Calcs'!K20</f>
        <v>1.0646521775647682</v>
      </c>
      <c r="K9" s="615" t="str">
        <f>IF(S18="Hydrometer",T28,T30)</f>
        <v/>
      </c>
      <c r="M9" s="543" t="s">
        <v>1838</v>
      </c>
      <c r="N9" s="208">
        <v>12</v>
      </c>
      <c r="O9" s="225">
        <f>IFERROR(IF('Brewhouse Setup &amp; Calcs'!$B$2="US Customary",'Water-English'!E51,'Water-Metric'!E52),"")</f>
        <v>12</v>
      </c>
      <c r="P9" s="193"/>
      <c r="Q9" s="630" t="str">
        <f>'Brewhouse Setup &amp; Calcs'!A43</f>
        <v>Strike Water Volume</v>
      </c>
      <c r="R9" s="631"/>
      <c r="S9" s="202">
        <f>'Brewhouse Setup &amp; Calcs'!B43</f>
        <v>20.625</v>
      </c>
      <c r="T9" s="242"/>
      <c r="U9" s="199" t="str">
        <f>'Brewhouse Setup &amp; Calcs'!$B$5</f>
        <v>qt</v>
      </c>
      <c r="V9" s="193"/>
      <c r="W9" s="193"/>
      <c r="X9" s="193"/>
      <c r="Y9" s="193"/>
      <c r="AE9" s="257"/>
    </row>
    <row r="10" spans="1:33" s="27" customFormat="1" x14ac:dyDescent="0.25">
      <c r="A10" s="636" t="str">
        <f>IF(ISBLANK('Grain &amp; Sugar Calcs'!B8),"",'Grain &amp; Sugar Calcs'!B8)</f>
        <v/>
      </c>
      <c r="B10" s="636"/>
      <c r="C10" s="636"/>
      <c r="D10" s="636"/>
      <c r="E10" s="202" t="str">
        <f>IF(ISBLANK('Grain &amp; Sugar Calcs'!C8),"",'Grain &amp; Sugar Calcs'!C8)</f>
        <v/>
      </c>
      <c r="F10" s="201" t="str">
        <f>IF('Grain &amp; Sugar Calcs'!D8=0,"",'Grain &amp; Sugar Calcs'!D8)</f>
        <v/>
      </c>
      <c r="G10" s="193"/>
      <c r="H10" s="661" t="s">
        <v>1802</v>
      </c>
      <c r="I10" s="661"/>
      <c r="J10" s="615">
        <f>IF(NOT(ISNUMBER(J13)),"",1+('Grain &amp; Sugar Calcs'!K16*(1-J13)/1000))</f>
        <v>1.0122839137373059</v>
      </c>
      <c r="K10" s="615" t="str">
        <f>IF(S18="Hydrometer",T33,T35)</f>
        <v/>
      </c>
      <c r="L10"/>
      <c r="M10" s="543" t="s">
        <v>1839</v>
      </c>
      <c r="N10" s="208">
        <v>9</v>
      </c>
      <c r="O10" s="225">
        <f>IFERROR(IF('Brewhouse Setup &amp; Calcs'!$B$2="US Customary",'Water-English'!F51,'Water-Metric'!F52),"")</f>
        <v>9</v>
      </c>
      <c r="P10" s="203"/>
      <c r="Q10" s="630" t="str">
        <f>'Brewhouse Setup &amp; Calcs'!A44</f>
        <v>Strike Water Temp</v>
      </c>
      <c r="R10" s="631"/>
      <c r="S10" s="198">
        <f>IF(ISBLANK(T7),'Brewhouse Setup &amp; Calcs'!B44,(IF('Brewhouse Setup &amp; Calcs'!B2="US Customary",0.2,0.41)/'Brewhouse Setup &amp; Calcs'!B15)*('Brewhouse Setup &amp; Calcs'!B14-T7)+'Brewhouse Setup &amp; Calcs'!B14)</f>
        <v>160.93333333333334</v>
      </c>
      <c r="T10" s="243"/>
      <c r="U10" s="199" t="str">
        <f>'Brewhouse Setup &amp; Calcs'!$B$4</f>
        <v>°F</v>
      </c>
      <c r="V10" s="193"/>
      <c r="W10" s="193"/>
      <c r="X10" s="193"/>
      <c r="Y10" s="193"/>
      <c r="AE10" s="257"/>
    </row>
    <row r="11" spans="1:33" x14ac:dyDescent="0.25">
      <c r="A11" s="636" t="str">
        <f>IF(ISBLANK('Grain &amp; Sugar Calcs'!B9),"",'Grain &amp; Sugar Calcs'!B9)</f>
        <v/>
      </c>
      <c r="B11" s="636"/>
      <c r="C11" s="636"/>
      <c r="D11" s="636"/>
      <c r="E11" s="202" t="str">
        <f>IF(ISBLANK('Grain &amp; Sugar Calcs'!C9),"",'Grain &amp; Sugar Calcs'!C9)</f>
        <v/>
      </c>
      <c r="F11" s="201" t="str">
        <f>IF('Grain &amp; Sugar Calcs'!D9=0,"",'Grain &amp; Sugar Calcs'!D9)</f>
        <v/>
      </c>
      <c r="G11" s="193"/>
      <c r="H11" s="661" t="s">
        <v>1805</v>
      </c>
      <c r="I11" s="661"/>
      <c r="J11" s="616">
        <f>J12+'Brewhouse Setup &amp; Calcs'!B33</f>
        <v>22</v>
      </c>
      <c r="K11" s="616" t="str">
        <f>IF(ISBLANK(T31),"",T31)</f>
        <v/>
      </c>
      <c r="M11" s="543" t="s">
        <v>2012</v>
      </c>
      <c r="N11" s="208">
        <v>16</v>
      </c>
      <c r="O11" s="225">
        <f>IFERROR(IF('Brewhouse Setup &amp; Calcs'!$B$2="US Customary",'Water-English'!G51,'Water-Metric'!G52),"")</f>
        <v>16</v>
      </c>
      <c r="P11" s="193"/>
      <c r="Q11" s="699" t="s">
        <v>1944</v>
      </c>
      <c r="R11" s="700"/>
      <c r="S11" s="198">
        <f>IFERROR(IF('Brewhouse Setup &amp; Calcs'!$B$2="Metric",'Water-Metric'!$F$32,'Water-English'!$F$31),"")</f>
        <v>5.7487799551184109</v>
      </c>
      <c r="T11" s="243"/>
      <c r="U11" s="204"/>
      <c r="V11" s="193"/>
      <c r="W11" s="193"/>
      <c r="X11" s="193"/>
      <c r="Y11" s="193"/>
      <c r="AE11" s="257"/>
    </row>
    <row r="12" spans="1:33" x14ac:dyDescent="0.25">
      <c r="A12" s="636" t="str">
        <f>IF(ISBLANK('Grain &amp; Sugar Calcs'!B10),"",'Grain &amp; Sugar Calcs'!B10)</f>
        <v/>
      </c>
      <c r="B12" s="636"/>
      <c r="C12" s="636"/>
      <c r="D12" s="636"/>
      <c r="E12" s="202" t="str">
        <f>IF(ISBLANK('Grain &amp; Sugar Calcs'!C10),"",'Grain &amp; Sugar Calcs'!C10)</f>
        <v/>
      </c>
      <c r="F12" s="201" t="str">
        <f>IF('Grain &amp; Sugar Calcs'!D10=0,"",'Grain &amp; Sugar Calcs'!D10)</f>
        <v/>
      </c>
      <c r="G12" s="193"/>
      <c r="H12" s="662" t="s">
        <v>1803</v>
      </c>
      <c r="I12" s="662"/>
      <c r="J12" s="616">
        <f>'Brewhouse Setup &amp; Calcs'!$B$12</f>
        <v>20</v>
      </c>
      <c r="K12" s="616" t="str">
        <f>IF(ISBLANK(T36),"",T36)</f>
        <v/>
      </c>
      <c r="M12" s="543" t="s">
        <v>1841</v>
      </c>
      <c r="N12" s="208">
        <v>25</v>
      </c>
      <c r="O12" s="225">
        <f>IFERROR(IF('Brewhouse Setup &amp; Calcs'!$B$2="US Customary",'Water-English'!H51,'Water-Metric'!H52),"")</f>
        <v>25</v>
      </c>
      <c r="P12" s="193"/>
      <c r="Q12" s="630" t="s">
        <v>1813</v>
      </c>
      <c r="R12" s="631"/>
      <c r="S12" s="202">
        <f>'Brewhouse Setup &amp; Calcs'!B48</f>
        <v>15.281708000000002</v>
      </c>
      <c r="T12" s="242"/>
      <c r="U12" s="199" t="str">
        <f>'Brewhouse Setup &amp; Calcs'!$B$5</f>
        <v>qt</v>
      </c>
      <c r="V12" s="193"/>
      <c r="W12" s="193"/>
      <c r="X12" s="193"/>
      <c r="Y12" s="193"/>
      <c r="AE12" s="257"/>
    </row>
    <row r="13" spans="1:33" ht="13.2" customHeight="1" x14ac:dyDescent="0.25">
      <c r="A13" s="636" t="str">
        <f>IF(ISBLANK('Grain &amp; Sugar Calcs'!B11),"",'Grain &amp; Sugar Calcs'!B11)</f>
        <v/>
      </c>
      <c r="B13" s="636"/>
      <c r="C13" s="636"/>
      <c r="D13" s="636"/>
      <c r="E13" s="202" t="str">
        <f>IF(ISBLANK('Grain &amp; Sugar Calcs'!C11),"",'Grain &amp; Sugar Calcs'!C11)</f>
        <v/>
      </c>
      <c r="F13" s="201" t="str">
        <f>IF('Grain &amp; Sugar Calcs'!D11=0,"",'Grain &amp; Sugar Calcs'!D11)</f>
        <v/>
      </c>
      <c r="G13" s="193"/>
      <c r="H13" s="701" t="s">
        <v>1224</v>
      </c>
      <c r="I13" s="701"/>
      <c r="J13" s="614">
        <f>IF(ISBLANK(M27),"",VLOOKUP(M27,yeast_table[#All],6,FALSE))</f>
        <v>0.81</v>
      </c>
      <c r="K13" s="614" t="str">
        <f>IF(NOT(ISNUMBER(K10)),"",(K9-K10)/(K9-1))</f>
        <v/>
      </c>
      <c r="M13" s="571" t="s">
        <v>2017</v>
      </c>
      <c r="N13" s="208">
        <v>102</v>
      </c>
      <c r="O13" s="577"/>
      <c r="P13" s="193"/>
      <c r="Q13" s="693" t="str">
        <f>CONCATENATE('Brewhouse Setup &amp; Calcs'!B27,IF(OR('Brewhouse Setup &amp; Calcs'!B27="BIAB",'Brewhouse Setup &amp; Calcs'!B27="Extract"),"",CONCATENATE(CHAR(10),"Sparge")))</f>
        <v>Batch
Sparge</v>
      </c>
      <c r="R13" s="230" t="str">
        <f>IF('Brewhouse Setup &amp; Calcs'!$B$27="Batch","Add","-")</f>
        <v>Add</v>
      </c>
      <c r="S13" s="202">
        <f>IF('Brewhouse Setup &amp; Calcs'!$B$27="Batch",'Brewhouse Setup &amp; Calcs'!$B$55,"-")</f>
        <v>1.1096040000000009</v>
      </c>
      <c r="T13" s="242"/>
      <c r="U13" s="199" t="str">
        <f>IF('Brewhouse Setup &amp; Calcs'!$B$27="Batch",'Brewhouse Setup &amp; Calcs'!$B$5,"-")</f>
        <v>qt</v>
      </c>
      <c r="V13" s="193"/>
      <c r="W13" s="193"/>
      <c r="X13" s="193"/>
      <c r="Y13" s="193"/>
      <c r="AE13" s="257"/>
    </row>
    <row r="14" spans="1:33" x14ac:dyDescent="0.25">
      <c r="A14" s="636" t="str">
        <f>IF(ISBLANK('Grain &amp; Sugar Calcs'!B12),"",'Grain &amp; Sugar Calcs'!B12)</f>
        <v/>
      </c>
      <c r="B14" s="636"/>
      <c r="C14" s="636"/>
      <c r="D14" s="636"/>
      <c r="E14" s="202" t="str">
        <f>IF(ISBLANK('Grain &amp; Sugar Calcs'!C12),"",'Grain &amp; Sugar Calcs'!C12)</f>
        <v/>
      </c>
      <c r="F14" s="201" t="str">
        <f>IF('Grain &amp; Sugar Calcs'!D12=0,"",'Grain &amp; Sugar Calcs'!D12)</f>
        <v/>
      </c>
      <c r="G14" s="193"/>
      <c r="H14" s="661" t="s">
        <v>1190</v>
      </c>
      <c r="I14" s="661"/>
      <c r="J14" s="617">
        <f>'Hop Calcs'!K16</f>
        <v>58.513998781528841</v>
      </c>
      <c r="K14" s="617" t="str">
        <f>IF(ISBLANK(T26),"",'Hop Calcs'!K16*S26/T26)</f>
        <v/>
      </c>
      <c r="M14" s="581" t="s">
        <v>2021</v>
      </c>
      <c r="N14" s="576">
        <f>IFERROR(N11/N12,"")</f>
        <v>0.64</v>
      </c>
      <c r="O14" s="576">
        <f>IFERROR(IF('Brewhouse Setup &amp; Calcs'!$B$2="US Customary",'Water-English'!I51,'Water-Metric'!I52),"")</f>
        <v>0.64</v>
      </c>
      <c r="P14" s="193"/>
      <c r="Q14" s="694"/>
      <c r="R14" s="230" t="str">
        <f>IF('Brewhouse Setup &amp; Calcs'!$B$27="Batch","Drain","-")</f>
        <v>Drain</v>
      </c>
      <c r="S14" s="202">
        <f>IF('Brewhouse Setup &amp; Calcs'!$B$27="Batch",'Brewhouse Setup &amp; Calcs'!$B$56,"-")</f>
        <v>14.172104000000001</v>
      </c>
      <c r="T14" s="242"/>
      <c r="U14" s="199" t="str">
        <f>IF('Brewhouse Setup &amp; Calcs'!$B$27="Batch",'Brewhouse Setup &amp; Calcs'!$B$5,"-")</f>
        <v>qt</v>
      </c>
      <c r="V14" s="193"/>
      <c r="W14" s="193"/>
      <c r="X14" s="193"/>
      <c r="Y14" s="193"/>
    </row>
    <row r="15" spans="1:33" x14ac:dyDescent="0.25">
      <c r="A15" s="636" t="str">
        <f>IF(ISBLANK('Grain &amp; Sugar Calcs'!B13),"",'Grain &amp; Sugar Calcs'!B13)</f>
        <v/>
      </c>
      <c r="B15" s="636"/>
      <c r="C15" s="636"/>
      <c r="D15" s="636"/>
      <c r="E15" s="202" t="str">
        <f>IF(ISBLANK('Grain &amp; Sugar Calcs'!C13),"",'Grain &amp; Sugar Calcs'!C13)</f>
        <v/>
      </c>
      <c r="F15" s="201" t="str">
        <f>IF('Grain &amp; Sugar Calcs'!D13=0,"",'Grain &amp; Sugar Calcs'!D13)</f>
        <v/>
      </c>
      <c r="G15" s="193"/>
      <c r="H15" s="661" t="s">
        <v>134</v>
      </c>
      <c r="I15" s="661"/>
      <c r="J15" s="613">
        <f>IF(NOT(ISNUMBER(J10)),"",(J9-J10)*(46.0688/44.0098)/J10/0.794)</f>
        <v>6.820290025243797E-2</v>
      </c>
      <c r="K15" s="613" t="str">
        <f>IF(NOT(ISNUMBER(K10)),"",(K9-K10)*(46.0688/44.0098)/K10/0.794)</f>
        <v/>
      </c>
      <c r="M15" s="193"/>
      <c r="N15" s="570"/>
      <c r="O15" s="570"/>
      <c r="P15" s="193"/>
      <c r="Q15" s="694"/>
      <c r="R15" s="230" t="str">
        <f>IF('Brewhouse Setup &amp; Calcs'!$B$27="Batch","Add/Drain",IF('Brewhouse Setup &amp; Calcs'!$B$27="Fly","Time Req'd","-"))</f>
        <v>Add/Drain</v>
      </c>
      <c r="S15" s="202">
        <f>IF('Brewhouse Setup &amp; Calcs'!$B$27="Batch",'Brewhouse Setup &amp; Calcs'!$B$57,IF('Brewhouse Setup &amp; Calcs'!$B$27="Fly",$S$12/$S$16,"-"))</f>
        <v>14.172104000000001</v>
      </c>
      <c r="T15" s="242"/>
      <c r="U15" s="199" t="str">
        <f>IF('Brewhouse Setup &amp; Calcs'!$B$27="Batch",'Brewhouse Setup &amp; Calcs'!$B$5,IF('Brewhouse Setup &amp; Calcs'!$B$27="Fly","min","-"))</f>
        <v>qt</v>
      </c>
      <c r="V15" s="193"/>
      <c r="W15" s="193"/>
      <c r="X15" s="193"/>
      <c r="Y15" s="193"/>
    </row>
    <row r="16" spans="1:33" x14ac:dyDescent="0.25">
      <c r="A16" s="193"/>
      <c r="B16" s="193"/>
      <c r="C16" s="193"/>
      <c r="D16" s="193"/>
      <c r="E16" s="193"/>
      <c r="F16" s="193"/>
      <c r="G16" s="193"/>
      <c r="H16" s="661" t="s">
        <v>1350</v>
      </c>
      <c r="I16" s="661"/>
      <c r="J16" s="618">
        <f>'Grain &amp; Sugar Calcs'!L18</f>
        <v>6.1478687544093047</v>
      </c>
      <c r="K16" s="616" t="str">
        <f>IF(ISBLANK(T26),"",'Grain &amp; Sugar Calcs'!L18*(S26/T26))</f>
        <v/>
      </c>
      <c r="M16" s="669" t="s">
        <v>2011</v>
      </c>
      <c r="N16" s="669"/>
      <c r="O16" s="669"/>
      <c r="P16" s="193"/>
      <c r="Q16" s="695"/>
      <c r="R16" s="230" t="str">
        <f>IF('Brewhouse Setup &amp; Calcs'!$B$27="Batch","Add/Drain",IF('Brewhouse Setup &amp; Calcs'!$B$27="Fly","Flow Rate","-"))</f>
        <v>Add/Drain</v>
      </c>
      <c r="S16" s="202">
        <f>IF('Brewhouse Setup &amp; Calcs'!$B$27="Batch",'Brewhouse Setup &amp; Calcs'!$B$58,IF('Brewhouse Setup &amp; Calcs'!$B$27="Fly",'Brewhouse Setup &amp; Calcs'!$B$28,"-"))</f>
        <v>0</v>
      </c>
      <c r="T16" s="608" t="str">
        <f>IF(OR(ISBLANK($T$12),ISBLANK($T$15)),"",IF('Brewhouse Setup &amp; Calcs'!$B$27="Batch",'Brewhouse Setup &amp; Calcs'!B58,IF('Brewhouse Setup &amp; Calcs'!$B$27="Fly",$T$12/$T$15,"")))</f>
        <v/>
      </c>
      <c r="U16" s="199" t="str">
        <f>IF('Brewhouse Setup &amp; Calcs'!$B$27="Batch",'Brewhouse Setup &amp; Calcs'!$B$5,IF('Brewhouse Setup &amp; Calcs'!$B$27="Fly",CONCATENATE('Brewhouse Setup &amp; Calcs'!$B$5,"/min"),"-"))</f>
        <v>qt</v>
      </c>
      <c r="V16" s="193"/>
      <c r="W16" s="193"/>
      <c r="X16" s="193"/>
      <c r="Y16" s="193"/>
    </row>
    <row r="17" spans="1:33" x14ac:dyDescent="0.25">
      <c r="M17" s="579"/>
      <c r="N17" s="575" t="s">
        <v>1955</v>
      </c>
      <c r="O17" s="575" t="s">
        <v>1956</v>
      </c>
      <c r="P17" s="193"/>
      <c r="Q17" s="630" t="s">
        <v>106</v>
      </c>
      <c r="R17" s="631"/>
      <c r="S17" s="239">
        <f>'Brewhouse Setup &amp; Calcs'!B60</f>
        <v>28.344208000000002</v>
      </c>
      <c r="T17" s="242"/>
      <c r="U17" s="199" t="str">
        <f>'Brewhouse Setup &amp; Calcs'!B5</f>
        <v>qt</v>
      </c>
      <c r="V17" s="195"/>
      <c r="W17" s="197"/>
      <c r="X17" s="197"/>
      <c r="Y17" s="197"/>
    </row>
    <row r="18" spans="1:33" ht="13.2" customHeight="1" x14ac:dyDescent="0.25">
      <c r="A18" s="665" t="s">
        <v>130</v>
      </c>
      <c r="B18" s="666"/>
      <c r="C18" s="666"/>
      <c r="D18" s="666"/>
      <c r="E18" s="666"/>
      <c r="F18" s="666"/>
      <c r="G18" s="666"/>
      <c r="H18" s="666"/>
      <c r="I18" s="666"/>
      <c r="J18" s="666"/>
      <c r="K18" s="667"/>
      <c r="M18" s="543" t="s">
        <v>1893</v>
      </c>
      <c r="N18" s="226">
        <f>IF('Brewhouse Setup &amp; Calcs'!$B$2="US Customary",'Water-English'!$D$36,'Water-Metric'!$D$37)</f>
        <v>0</v>
      </c>
      <c r="O18" s="226">
        <f>IFERROR(IF('Brewhouse Setup &amp; Calcs'!$B$2="US Customary",'Water-English'!$D$38,'Water-Metric'!$D$39),"")</f>
        <v>0</v>
      </c>
      <c r="P18" s="193"/>
      <c r="Q18" s="630" t="s">
        <v>1800</v>
      </c>
      <c r="R18" s="631"/>
      <c r="S18" s="672" t="s">
        <v>2031</v>
      </c>
      <c r="T18" s="672"/>
      <c r="U18" s="672"/>
      <c r="X18" s="23"/>
      <c r="Y18" s="69"/>
    </row>
    <row r="19" spans="1:33" x14ac:dyDescent="0.25">
      <c r="A19" s="670" t="str">
        <f>'Hop Calcs'!E5</f>
        <v>Species</v>
      </c>
      <c r="B19" s="703"/>
      <c r="C19" s="703"/>
      <c r="D19" s="671"/>
      <c r="E19" s="681" t="str">
        <f>'Hop Calcs'!D5</f>
        <v>Type</v>
      </c>
      <c r="F19" s="681" t="str">
        <f>'Hop Calcs'!F5</f>
        <v>Alpha (%)</v>
      </c>
      <c r="G19" s="670" t="str">
        <f>'Hop Calcs'!G5</f>
        <v>Qty</v>
      </c>
      <c r="H19" s="671"/>
      <c r="I19" s="706" t="s">
        <v>1194</v>
      </c>
      <c r="J19" s="703" t="str">
        <f>'Hop Calcs'!C5</f>
        <v>Time (min)</v>
      </c>
      <c r="K19" s="671"/>
      <c r="M19" s="543" t="s">
        <v>1957</v>
      </c>
      <c r="N19" s="226">
        <f>IF('Brewhouse Setup &amp; Calcs'!$B$2="US Customary",'Water-English'!$E$36,'Water-Metric'!$E$37)</f>
        <v>0</v>
      </c>
      <c r="O19" s="226">
        <f>IFERROR(IF('Brewhouse Setup &amp; Calcs'!$B$2="US Customary",'Water-English'!$E$38,'Water-Metric'!$E$39),"")</f>
        <v>0</v>
      </c>
      <c r="P19" s="193"/>
      <c r="Q19" s="633" t="s">
        <v>1794</v>
      </c>
      <c r="R19" s="227" t="s">
        <v>1791</v>
      </c>
      <c r="S19" s="673">
        <f>'Grain &amp; Sugar Calcs'!J20</f>
        <v>1.0566824637654366</v>
      </c>
      <c r="T19" s="220"/>
      <c r="U19" s="219" t="s">
        <v>19</v>
      </c>
      <c r="X19" s="23"/>
      <c r="Y19" s="69"/>
    </row>
    <row r="20" spans="1:33" x14ac:dyDescent="0.25">
      <c r="A20" s="670"/>
      <c r="B20" s="703"/>
      <c r="C20" s="703"/>
      <c r="D20" s="671"/>
      <c r="E20" s="702"/>
      <c r="F20" s="702"/>
      <c r="G20" s="720" t="str">
        <f>'Brewhouse Setup &amp; Calcs'!B7</f>
        <v>oz</v>
      </c>
      <c r="H20" s="721"/>
      <c r="I20" s="707"/>
      <c r="J20" s="704"/>
      <c r="K20" s="705"/>
      <c r="M20" s="543" t="s">
        <v>1958</v>
      </c>
      <c r="N20" s="226">
        <f>IF('Brewhouse Setup &amp; Calcs'!$B$2="US Customary",'Water-English'!$F$36,'Water-Metric'!$F$37)</f>
        <v>0</v>
      </c>
      <c r="O20" s="226">
        <f>IFERROR(IF('Brewhouse Setup &amp; Calcs'!$B$2="US Customary",'Water-English'!$F$38,'Water-Metric'!$F$39),"")</f>
        <v>0</v>
      </c>
      <c r="P20" s="193"/>
      <c r="Q20" s="634"/>
      <c r="R20" s="221" t="s">
        <v>1792</v>
      </c>
      <c r="S20" s="673"/>
      <c r="T20" s="206"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11"/>
      <c r="X20" s="23"/>
      <c r="Y20" s="69"/>
    </row>
    <row r="21" spans="1:33" ht="13.2" customHeight="1" x14ac:dyDescent="0.25">
      <c r="A21" s="636" t="str">
        <f>IF('Hop Calcs'!E7=0,"",'Hop Calcs'!E7)</f>
        <v>Centennial</v>
      </c>
      <c r="B21" s="636"/>
      <c r="C21" s="636"/>
      <c r="D21" s="636"/>
      <c r="E21" s="231" t="str">
        <f>IF('Hop Calcs'!D7=0,"",'Hop Calcs'!D7)</f>
        <v>Pellet</v>
      </c>
      <c r="F21" s="198">
        <f>IF('Hop Calcs'!F7=0,"",'Hop Calcs'!F7)</f>
        <v>10.8</v>
      </c>
      <c r="G21" s="649">
        <f>IF('Hop Calcs'!G7=0,"",'Hop Calcs'!G7)</f>
        <v>1.1559999999999999</v>
      </c>
      <c r="H21" s="650"/>
      <c r="I21" s="198">
        <f>'Hop Calcs'!H7</f>
        <v>12.4848</v>
      </c>
      <c r="J21" s="651">
        <f>IF(ISBLANK('Hop Calcs'!C7),"",IF('Hop Calcs'!C7="Hop Stand",CONCATENATE('Hop Calcs'!C7," (",'Hop Calcs'!B7,")"),'Hop Calcs'!C7))</f>
        <v>45</v>
      </c>
      <c r="K21" s="652"/>
      <c r="M21" s="543" t="s">
        <v>1913</v>
      </c>
      <c r="N21" s="226">
        <f>IF('Brewhouse Setup &amp; Calcs'!$B$2="US Customary",'Water-English'!$D$43,'Water-Metric'!$D$44)</f>
        <v>0</v>
      </c>
      <c r="O21" s="226">
        <f>IFERROR(IF('Brewhouse Setup &amp; Calcs'!$B$2="US Customary",'Water-English'!$D$45,'Water-Metric'!$D$46),"")</f>
        <v>0</v>
      </c>
      <c r="P21" s="193"/>
      <c r="Q21" s="634"/>
      <c r="R21" s="227" t="s">
        <v>1795</v>
      </c>
      <c r="S21" s="673"/>
      <c r="T21" s="205"/>
      <c r="U21" s="210" t="s">
        <v>141</v>
      </c>
    </row>
    <row r="22" spans="1:33" x14ac:dyDescent="0.25">
      <c r="A22" s="636" t="str">
        <f>IF('Hop Calcs'!E8=0,"",'Hop Calcs'!E8)</f>
        <v>Centennial</v>
      </c>
      <c r="B22" s="636"/>
      <c r="C22" s="636"/>
      <c r="D22" s="636"/>
      <c r="E22" s="231" t="str">
        <f>IF('Hop Calcs'!D8=0,"",'Hop Calcs'!D8)</f>
        <v>Pellet</v>
      </c>
      <c r="F22" s="198">
        <f>IF('Hop Calcs'!F8=0,"",'Hop Calcs'!F8)</f>
        <v>10.8</v>
      </c>
      <c r="G22" s="649">
        <f>IF('Hop Calcs'!G8=0,"",'Hop Calcs'!G8)</f>
        <v>1.1559999999999999</v>
      </c>
      <c r="H22" s="650"/>
      <c r="I22" s="198">
        <f>'Hop Calcs'!H8</f>
        <v>12.4848</v>
      </c>
      <c r="J22" s="651">
        <f>IF(ISBLANK('Hop Calcs'!C8),"",IF('Hop Calcs'!C8="Hop Stand",CONCATENATE('Hop Calcs'!C8," (",'Hop Calcs'!B8,")"),'Hop Calcs'!C8))</f>
        <v>30</v>
      </c>
      <c r="K22" s="652"/>
      <c r="M22" s="543" t="s">
        <v>1914</v>
      </c>
      <c r="N22" s="226">
        <f>IF('Brewhouse Setup &amp; Calcs'!$B$2="US Customary",'Water-English'!$E$43,'Water-Metric'!$E$44)</f>
        <v>0</v>
      </c>
      <c r="O22" s="226">
        <f>IFERROR(IF('Brewhouse Setup &amp; Calcs'!$B$2="US Customary",'Water-English'!$E$45,'Water-Metric'!$E$46),"")</f>
        <v>0</v>
      </c>
      <c r="P22" s="193"/>
      <c r="Q22" s="635"/>
      <c r="R22" s="221" t="s">
        <v>1792</v>
      </c>
      <c r="S22" s="674"/>
      <c r="T22" s="206" t="str">
        <f>IF(T21="","",(T21/(258.6-((T21/258.2)*227.1)))+1)</f>
        <v/>
      </c>
      <c r="U22" s="204"/>
    </row>
    <row r="23" spans="1:33" ht="13.2" customHeight="1" x14ac:dyDescent="0.25">
      <c r="A23" s="636" t="str">
        <f>IF('Hop Calcs'!E9=0,"",'Hop Calcs'!E9)</f>
        <v>Centennial</v>
      </c>
      <c r="B23" s="636"/>
      <c r="C23" s="636"/>
      <c r="D23" s="636"/>
      <c r="E23" s="231" t="str">
        <f>IF('Hop Calcs'!D9=0,"",'Hop Calcs'!D9)</f>
        <v>Pellet</v>
      </c>
      <c r="F23" s="198">
        <f>IF('Hop Calcs'!F9=0,"",'Hop Calcs'!F9)</f>
        <v>10.8</v>
      </c>
      <c r="G23" s="649">
        <f>IF('Hop Calcs'!G9=0,"",'Hop Calcs'!G9)</f>
        <v>3.69</v>
      </c>
      <c r="H23" s="650"/>
      <c r="I23" s="198">
        <f>'Hop Calcs'!H9</f>
        <v>39.852000000000004</v>
      </c>
      <c r="J23" s="651" t="str">
        <f>IF(ISBLANK('Hop Calcs'!C9),"",IF('Hop Calcs'!C9="Hop Stand",CONCATENATE('Hop Calcs'!C9," (",'Hop Calcs'!B9,")"),'Hop Calcs'!C9))</f>
        <v>Dry Hop</v>
      </c>
      <c r="K23" s="652"/>
      <c r="M23" s="543" t="s">
        <v>1915</v>
      </c>
      <c r="N23" s="226">
        <f>IF('Brewhouse Setup &amp; Calcs'!$B$2="US Customary",'Water-English'!$F$43,'Water-Metric'!$F$44)</f>
        <v>0</v>
      </c>
      <c r="O23" s="226">
        <f>IFERROR(IF('Brewhouse Setup &amp; Calcs'!$B$2="US Customary",'Water-English'!$F$45,'Water-Metric'!$F$46),"")</f>
        <v>0</v>
      </c>
      <c r="P23" s="193"/>
      <c r="Q23" s="632" t="s">
        <v>2035</v>
      </c>
      <c r="R23" s="632"/>
      <c r="S23" s="668">
        <f>'Brewhouse Setup &amp; Calcs'!B17</f>
        <v>0.78600000000000003</v>
      </c>
      <c r="T23" s="214" t="str">
        <f>IF(OR('Grain &amp; Sugar Calcs'!$J$14=0,NOT(ISNUMBER($T$20)),NOT(ISNUMBER($T$17))),"",((($T$20-1)*1000)-'Grain &amp; Sugar Calcs'!$J$15)/('Grain &amp; Sugar Calcs'!$H$14/IF('Brewhouse Setup &amp; Calcs'!$B$5="Liters",(1.056688*$T$17/4),($T$17/4))))</f>
        <v/>
      </c>
      <c r="U23" s="222" t="s">
        <v>1791</v>
      </c>
    </row>
    <row r="24" spans="1:33" ht="13.2" customHeight="1" x14ac:dyDescent="0.25">
      <c r="A24" s="636" t="str">
        <f>IF('Hop Calcs'!E10=0,"",'Hop Calcs'!E10)</f>
        <v/>
      </c>
      <c r="B24" s="636"/>
      <c r="C24" s="636"/>
      <c r="D24" s="636"/>
      <c r="E24" s="231" t="str">
        <f>IF('Hop Calcs'!D10=0,"",'Hop Calcs'!D10)</f>
        <v/>
      </c>
      <c r="F24" s="198" t="str">
        <f>IF('Hop Calcs'!F10=0,"",'Hop Calcs'!F10)</f>
        <v/>
      </c>
      <c r="G24" s="649" t="str">
        <f>IF('Hop Calcs'!G10=0,"",'Hop Calcs'!G10)</f>
        <v/>
      </c>
      <c r="H24" s="650"/>
      <c r="I24" s="198" t="str">
        <f>'Hop Calcs'!H10</f>
        <v/>
      </c>
      <c r="J24" s="651" t="str">
        <f>IF(ISBLANK('Hop Calcs'!C10),"",IF('Hop Calcs'!C10="Hop Stand",CONCATENATE('Hop Calcs'!C10," (",'Hop Calcs'!B10,")"),'Hop Calcs'!C10))</f>
        <v/>
      </c>
      <c r="K24" s="652"/>
      <c r="P24" s="213"/>
      <c r="Q24" s="632"/>
      <c r="R24" s="632"/>
      <c r="S24" s="668"/>
      <c r="T24" s="214" t="str">
        <f>IF(OR('Grain &amp; Sugar Calcs'!$J$14=0,NOT(ISNUMBER($T$22)),NOT(ISNUMBER($T$17))),"",((($T$22-1)*1000)-'Grain &amp; Sugar Calcs'!$J$15)/('Grain &amp; Sugar Calcs'!$H$14/IF('Brewhouse Setup &amp; Calcs'!$B$5="Liters",(1.056688*$T$17/4),($T$17/4))))</f>
        <v/>
      </c>
      <c r="U24" s="223" t="s">
        <v>1810</v>
      </c>
      <c r="AG24" s="193"/>
    </row>
    <row r="25" spans="1:33" ht="13.2" customHeight="1" x14ac:dyDescent="0.25">
      <c r="A25" s="636" t="str">
        <f>IF('Hop Calcs'!E11=0,"",'Hop Calcs'!E11)</f>
        <v/>
      </c>
      <c r="B25" s="636"/>
      <c r="C25" s="636"/>
      <c r="D25" s="636"/>
      <c r="E25" s="231" t="str">
        <f>IF('Hop Calcs'!D11=0,"",'Hop Calcs'!D11)</f>
        <v/>
      </c>
      <c r="F25" s="198" t="str">
        <f>IF('Hop Calcs'!F11=0,"",'Hop Calcs'!F11)</f>
        <v/>
      </c>
      <c r="G25" s="649" t="str">
        <f>IF('Hop Calcs'!G11=0,"",'Hop Calcs'!G11)</f>
        <v/>
      </c>
      <c r="H25" s="650"/>
      <c r="I25" s="198" t="str">
        <f>'Hop Calcs'!H11</f>
        <v/>
      </c>
      <c r="J25" s="651" t="str">
        <f>IF(ISBLANK('Hop Calcs'!C11),"",IF('Hop Calcs'!C11="Hop Stand",CONCATENATE('Hop Calcs'!C11," (",'Hop Calcs'!B11,")"),'Hop Calcs'!C11))</f>
        <v/>
      </c>
      <c r="K25" s="652"/>
      <c r="M25" s="665" t="s">
        <v>1196</v>
      </c>
      <c r="N25" s="666"/>
      <c r="O25" s="667"/>
      <c r="P25" s="193"/>
      <c r="Q25" s="696" t="s">
        <v>111</v>
      </c>
      <c r="R25" s="697"/>
      <c r="S25" s="207">
        <f>'Brewhouse Setup &amp; Calcs'!$B$18</f>
        <v>75</v>
      </c>
      <c r="T25" s="208"/>
      <c r="U25" s="229" t="str">
        <f>'Brewhouse Setup &amp; Calcs'!C18</f>
        <v>min</v>
      </c>
      <c r="AG25" s="193"/>
    </row>
    <row r="26" spans="1:33" x14ac:dyDescent="0.25">
      <c r="A26" s="636" t="str">
        <f>IF('Hop Calcs'!E12=0,"",'Hop Calcs'!E12)</f>
        <v/>
      </c>
      <c r="B26" s="636"/>
      <c r="C26" s="636"/>
      <c r="D26" s="636"/>
      <c r="E26" s="231" t="str">
        <f>IF('Hop Calcs'!D12=0,"",'Hop Calcs'!D12)</f>
        <v/>
      </c>
      <c r="F26" s="199" t="str">
        <f>IF('Hop Calcs'!F12=0,"",'Hop Calcs'!F12)</f>
        <v/>
      </c>
      <c r="G26" s="649" t="str">
        <f>IF('Hop Calcs'!G12=0,"",'Hop Calcs'!G12)</f>
        <v/>
      </c>
      <c r="H26" s="650"/>
      <c r="I26" s="198" t="str">
        <f>'Hop Calcs'!H12</f>
        <v/>
      </c>
      <c r="J26" s="651" t="str">
        <f>IF(ISBLANK('Hop Calcs'!C12),"",IF('Hop Calcs'!C12="Hop Stand",CONCATENATE('Hop Calcs'!C12," (",'Hop Calcs'!B12,")"),'Hop Calcs'!C12))</f>
        <v/>
      </c>
      <c r="K26" s="652"/>
      <c r="M26" s="708" t="str">
        <f>IF(ISBLANK(M27),"",VLOOKUP(M27,yeast_table[#All],3))</f>
        <v>Fermentis</v>
      </c>
      <c r="N26" s="709"/>
      <c r="O26" s="710"/>
      <c r="P26" s="193"/>
      <c r="Q26" s="630" t="s">
        <v>107</v>
      </c>
      <c r="R26" s="631"/>
      <c r="S26" s="239">
        <f>'Brewhouse Setup &amp; Calcs'!B63</f>
        <v>24.850200000000001</v>
      </c>
      <c r="T26" s="242"/>
      <c r="U26" s="202" t="str">
        <f>'Brewhouse Setup &amp; Calcs'!C63</f>
        <v>qt</v>
      </c>
      <c r="AG26" s="193"/>
    </row>
    <row r="27" spans="1:33" x14ac:dyDescent="0.25">
      <c r="A27" s="636" t="str">
        <f>IF('Hop Calcs'!E13=0,"",'Hop Calcs'!E13)</f>
        <v/>
      </c>
      <c r="B27" s="636"/>
      <c r="C27" s="636"/>
      <c r="D27" s="636"/>
      <c r="E27" s="231" t="str">
        <f>IF('Hop Calcs'!D13=0,"",'Hop Calcs'!D13)</f>
        <v/>
      </c>
      <c r="F27" s="199" t="str">
        <f>IF('Hop Calcs'!F13=0,"",'Hop Calcs'!F13)</f>
        <v/>
      </c>
      <c r="G27" s="649" t="str">
        <f>IF('Hop Calcs'!G13=0,"",'Hop Calcs'!G13)</f>
        <v/>
      </c>
      <c r="H27" s="650"/>
      <c r="I27" s="198" t="str">
        <f>'Hop Calcs'!H13</f>
        <v/>
      </c>
      <c r="J27" s="651" t="str">
        <f>IF(ISBLANK('Hop Calcs'!C13),"",IF('Hop Calcs'!C13="Hop Stand",CONCATENATE('Hop Calcs'!C13," (",'Hop Calcs'!B13,")"),'Hop Calcs'!C13))</f>
        <v/>
      </c>
      <c r="K27" s="652"/>
      <c r="M27" s="711" t="s">
        <v>1296</v>
      </c>
      <c r="N27" s="712"/>
      <c r="O27" s="713"/>
      <c r="P27" s="193"/>
      <c r="Q27" s="692" t="s">
        <v>1799</v>
      </c>
      <c r="R27" s="227" t="s">
        <v>1791</v>
      </c>
      <c r="S27" s="698">
        <f>'Grain &amp; Sugar Calcs'!K20</f>
        <v>1.0646521775647682</v>
      </c>
      <c r="T27" s="209"/>
      <c r="U27" s="219" t="s">
        <v>19</v>
      </c>
    </row>
    <row r="28" spans="1:33" ht="13.2" customHeight="1" x14ac:dyDescent="0.25">
      <c r="A28" s="636" t="str">
        <f>IF('Hop Calcs'!E14=0,"",'Hop Calcs'!E14)</f>
        <v/>
      </c>
      <c r="B28" s="636"/>
      <c r="C28" s="636"/>
      <c r="D28" s="636"/>
      <c r="E28" s="231" t="str">
        <f>IF('Hop Calcs'!D14=0,"",'Hop Calcs'!D14)</f>
        <v/>
      </c>
      <c r="F28" s="199" t="str">
        <f>IF('Hop Calcs'!F14=0,"",'Hop Calcs'!F14)</f>
        <v/>
      </c>
      <c r="G28" s="649" t="str">
        <f>IF('Hop Calcs'!G14=0,"",'Hop Calcs'!G14)</f>
        <v/>
      </c>
      <c r="H28" s="650"/>
      <c r="I28" s="198" t="str">
        <f>'Hop Calcs'!H14</f>
        <v/>
      </c>
      <c r="J28" s="651" t="str">
        <f>IF(ISBLANK('Hop Calcs'!C14),"",IF('Hop Calcs'!C14="Hop Stand",CONCATENATE('Hop Calcs'!C14," (",'Hop Calcs'!B14,")"),'Hop Calcs'!C14))</f>
        <v/>
      </c>
      <c r="K28" s="652"/>
      <c r="M28" s="578" t="s">
        <v>1796</v>
      </c>
      <c r="N28" s="580" t="str">
        <f>CONCATENATE(IF(ISBLANK(M27),"",(IF('Brewhouse Setup &amp; Calcs'!$B$4="°C",ROUND(5/9*(VLOOKUP(M27,yeast_table[#All],7,FALSE)-32),1),VLOOKUP(M27,yeast_table[#All],7,FALSE)))),"-",IF(ISBLANK(M27),"",(IF('Brewhouse Setup &amp; Calcs'!$B$4="°C",ROUND(5/9*(VLOOKUP(M27,yeast_table[#All],8,FALSE)-32),1),VLOOKUP(M27,yeast_table[#All],8,FALSE)))))</f>
        <v>64-82</v>
      </c>
      <c r="O28" s="215" t="str">
        <f>'Brewhouse Setup &amp; Calcs'!$B$4</f>
        <v>°F</v>
      </c>
      <c r="P28" s="193"/>
      <c r="Q28" s="692"/>
      <c r="R28" s="221" t="s">
        <v>1792</v>
      </c>
      <c r="S28" s="686"/>
      <c r="T28" s="206"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11"/>
    </row>
    <row r="29" spans="1:33" ht="13.2" customHeight="1" x14ac:dyDescent="0.25">
      <c r="A29" s="636" t="str">
        <f>IF('Hop Calcs'!E15=0,"",'Hop Calcs'!E15)</f>
        <v/>
      </c>
      <c r="B29" s="636"/>
      <c r="C29" s="636"/>
      <c r="D29" s="636"/>
      <c r="E29" s="231" t="str">
        <f>IF('Hop Calcs'!D15=0,"",'Hop Calcs'!D15)</f>
        <v/>
      </c>
      <c r="F29" s="199" t="str">
        <f>IF('Hop Calcs'!F15=0,"",'Hop Calcs'!F15)</f>
        <v/>
      </c>
      <c r="G29" s="649" t="str">
        <f>IF('Hop Calcs'!G15=0,"",'Hop Calcs'!G15)</f>
        <v/>
      </c>
      <c r="H29" s="650"/>
      <c r="I29" s="198" t="str">
        <f>'Hop Calcs'!H15</f>
        <v/>
      </c>
      <c r="J29" s="651" t="str">
        <f>IF(ISBLANK('Hop Calcs'!C15),"",IF('Hop Calcs'!C15="Hop Stand",CONCATENATE('Hop Calcs'!C15," (",'Hop Calcs'!B15,")"),'Hop Calcs'!C15))</f>
        <v/>
      </c>
      <c r="K29" s="652"/>
      <c r="L29" s="193"/>
      <c r="P29" s="193"/>
      <c r="Q29" s="692"/>
      <c r="R29" s="227" t="s">
        <v>1795</v>
      </c>
      <c r="S29" s="686"/>
      <c r="T29" s="205"/>
      <c r="U29" s="210" t="s">
        <v>141</v>
      </c>
      <c r="AD29" s="257"/>
    </row>
    <row r="30" spans="1:33" ht="13.2" customHeight="1" x14ac:dyDescent="0.25">
      <c r="M30" s="714" t="s">
        <v>1636</v>
      </c>
      <c r="N30" s="715"/>
      <c r="O30" s="716"/>
      <c r="P30" s="193"/>
      <c r="Q30" s="692"/>
      <c r="R30" s="221" t="s">
        <v>1792</v>
      </c>
      <c r="S30" s="686"/>
      <c r="T30" s="206" t="str">
        <f>IF(T29="","",(T29/(258.6-((T29/258.2)*227.1)))+1)</f>
        <v/>
      </c>
      <c r="U30" s="204"/>
      <c r="AD30" s="544"/>
    </row>
    <row r="31" spans="1:33" ht="13.2" customHeight="1" x14ac:dyDescent="0.25">
      <c r="A31" s="654" t="s">
        <v>133</v>
      </c>
      <c r="B31" s="654"/>
      <c r="C31" s="654"/>
      <c r="D31" s="654"/>
      <c r="E31" s="689" t="s">
        <v>2020</v>
      </c>
      <c r="F31" s="691"/>
      <c r="G31" s="689" t="s">
        <v>1797</v>
      </c>
      <c r="H31" s="690"/>
      <c r="I31" s="691"/>
      <c r="M31" s="210" t="s">
        <v>2018</v>
      </c>
      <c r="N31" s="583">
        <v>2.5</v>
      </c>
      <c r="O31" s="204"/>
      <c r="P31" s="193"/>
      <c r="Q31" s="630" t="s">
        <v>1806</v>
      </c>
      <c r="R31" s="631"/>
      <c r="S31" s="216">
        <f>J12+'Brewhouse Setup &amp; Calcs'!B33</f>
        <v>22</v>
      </c>
      <c r="T31" s="212"/>
      <c r="U31" s="199" t="str">
        <f>'Brewhouse Setup &amp; Calcs'!$B$5</f>
        <v>qt</v>
      </c>
      <c r="AD31" s="547"/>
    </row>
    <row r="32" spans="1:33" x14ac:dyDescent="0.25">
      <c r="A32" s="653"/>
      <c r="B32" s="653"/>
      <c r="C32" s="653"/>
      <c r="D32" s="653"/>
      <c r="E32" s="646"/>
      <c r="F32" s="648"/>
      <c r="G32" s="646"/>
      <c r="H32" s="647"/>
      <c r="I32" s="648"/>
      <c r="M32" s="210" t="s">
        <v>1182</v>
      </c>
      <c r="N32" s="583">
        <v>38</v>
      </c>
      <c r="O32" s="199" t="str">
        <f>'Brewhouse Setup &amp; Calcs'!$B$4</f>
        <v>°F</v>
      </c>
      <c r="P32" s="193"/>
      <c r="Q32" s="633" t="s">
        <v>2023</v>
      </c>
      <c r="R32" s="227" t="s">
        <v>1791</v>
      </c>
      <c r="S32" s="698">
        <f>IF(NOT(ISNUMBER(J13)),"",1+('Grain &amp; Sugar Calcs'!K16*(1-J13)/1000))</f>
        <v>1.0122839137373059</v>
      </c>
      <c r="T32" s="220"/>
      <c r="U32" s="219" t="s">
        <v>19</v>
      </c>
    </row>
    <row r="33" spans="1:25" ht="13.2" customHeight="1" x14ac:dyDescent="0.25">
      <c r="A33" s="653"/>
      <c r="B33" s="653"/>
      <c r="C33" s="653"/>
      <c r="D33" s="653"/>
      <c r="E33" s="646"/>
      <c r="F33" s="648"/>
      <c r="G33" s="646"/>
      <c r="H33" s="647"/>
      <c r="I33" s="648"/>
      <c r="M33" s="210" t="s">
        <v>2019</v>
      </c>
      <c r="N33" s="226">
        <f>IF(OR(ISBLANK(N31),ISBLANK(N32)),"",IF('Brewhouse Setup &amp; Calcs'!$B$2="US Customary",(-16.6999 - 0.0101059*N32 + 0.00116512*N32^2 + 0.173354*N32*N31 + 4.24267*N31 - 0.0684226*N31^2),(-16.6999 - 0.0101059*(9/5*N32+32) + 0.00116512*(9/5*N32+32)^2 + 0.173354*(9/5*N32+32)*N31 + 4.24267*N31 - 0.0684226*N31^2)*6.894757))</f>
        <v>11.246172830000003</v>
      </c>
      <c r="O33" s="199" t="str">
        <f>'Brewhouse Setup &amp; Calcs'!B8</f>
        <v>PSI</v>
      </c>
      <c r="P33" s="193"/>
      <c r="Q33" s="634"/>
      <c r="R33" s="221" t="s">
        <v>1792</v>
      </c>
      <c r="S33" s="686"/>
      <c r="T33" s="206"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11"/>
    </row>
    <row r="34" spans="1:25" ht="13.2" customHeight="1" x14ac:dyDescent="0.25">
      <c r="A34" s="653"/>
      <c r="B34" s="653"/>
      <c r="C34" s="653"/>
      <c r="D34" s="653"/>
      <c r="E34" s="646"/>
      <c r="F34" s="648"/>
      <c r="G34" s="646"/>
      <c r="H34" s="647"/>
      <c r="I34" s="648"/>
      <c r="P34" s="193"/>
      <c r="Q34" s="634"/>
      <c r="R34" s="227" t="s">
        <v>1795</v>
      </c>
      <c r="S34" s="686"/>
      <c r="T34" s="205"/>
      <c r="U34" s="210" t="s">
        <v>141</v>
      </c>
    </row>
    <row r="35" spans="1:25" x14ac:dyDescent="0.25">
      <c r="A35" s="653"/>
      <c r="B35" s="653"/>
      <c r="C35" s="653"/>
      <c r="D35" s="653"/>
      <c r="E35" s="646"/>
      <c r="F35" s="648"/>
      <c r="G35" s="646"/>
      <c r="H35" s="647"/>
      <c r="I35" s="648"/>
      <c r="P35" s="193"/>
      <c r="Q35" s="635"/>
      <c r="R35" s="221" t="s">
        <v>1792</v>
      </c>
      <c r="S35" s="686"/>
      <c r="T35" s="206" t="str">
        <f>IF(T34=0, "", 1 - 0.000856829*(T29/'Brewhouse Setup &amp; Calcs'!B36) + 0.00349412*(T34/'Brewhouse Setup &amp; Calcs'!B36))</f>
        <v/>
      </c>
      <c r="U35" s="204"/>
    </row>
    <row r="36" spans="1:25" ht="13.2" customHeight="1" x14ac:dyDescent="0.25">
      <c r="A36" s="653"/>
      <c r="B36" s="653"/>
      <c r="C36" s="653"/>
      <c r="D36" s="653"/>
      <c r="E36" s="646"/>
      <c r="F36" s="648"/>
      <c r="G36" s="646"/>
      <c r="H36" s="647"/>
      <c r="I36" s="648"/>
      <c r="L36" s="193"/>
      <c r="M36" s="193"/>
      <c r="N36" s="193"/>
      <c r="O36" s="193"/>
      <c r="P36" s="193"/>
      <c r="Q36" s="630" t="str">
        <f>'Brewhouse Setup &amp; Calcs'!A12</f>
        <v>Target Batch Size</v>
      </c>
      <c r="R36" s="631"/>
      <c r="S36" s="216">
        <f>'Brewhouse Setup &amp; Calcs'!$B$12</f>
        <v>20</v>
      </c>
      <c r="T36" s="212"/>
      <c r="U36" s="199" t="str">
        <f>'Brewhouse Setup &amp; Calcs'!$B$5</f>
        <v>qt</v>
      </c>
      <c r="V36" s="193"/>
      <c r="W36" s="193"/>
      <c r="X36" s="193"/>
      <c r="Y36" s="193"/>
    </row>
    <row r="37" spans="1:25" ht="6.6" customHeight="1" x14ac:dyDescent="0.25">
      <c r="P37" s="193"/>
      <c r="Q37" s="193"/>
      <c r="R37" s="193"/>
      <c r="S37" s="193"/>
      <c r="T37" s="193"/>
      <c r="U37" s="193"/>
    </row>
    <row r="38" spans="1:25" ht="13.2" customHeight="1" x14ac:dyDescent="0.25">
      <c r="A38" s="637" t="s">
        <v>2038</v>
      </c>
      <c r="B38" s="638"/>
      <c r="C38" s="638"/>
      <c r="D38" s="638"/>
      <c r="E38" s="638"/>
      <c r="F38" s="638"/>
      <c r="G38" s="638"/>
      <c r="H38" s="638"/>
      <c r="I38" s="638"/>
      <c r="J38" s="638"/>
      <c r="K38" s="638"/>
      <c r="L38" s="638"/>
      <c r="M38" s="638"/>
      <c r="N38" s="638"/>
      <c r="O38" s="639"/>
      <c r="P38" s="193"/>
    </row>
    <row r="39" spans="1:25" x14ac:dyDescent="0.25">
      <c r="A39" s="640"/>
      <c r="B39" s="641"/>
      <c r="C39" s="641"/>
      <c r="D39" s="641"/>
      <c r="E39" s="641"/>
      <c r="F39" s="641"/>
      <c r="G39" s="641"/>
      <c r="H39" s="641"/>
      <c r="I39" s="641"/>
      <c r="J39" s="641"/>
      <c r="K39" s="641"/>
      <c r="L39" s="641"/>
      <c r="M39" s="641"/>
      <c r="N39" s="641"/>
      <c r="O39" s="642"/>
      <c r="P39" s="193"/>
    </row>
    <row r="40" spans="1:25" x14ac:dyDescent="0.25">
      <c r="A40" s="640"/>
      <c r="B40" s="641"/>
      <c r="C40" s="641"/>
      <c r="D40" s="641"/>
      <c r="E40" s="641"/>
      <c r="F40" s="641"/>
      <c r="G40" s="641"/>
      <c r="H40" s="641"/>
      <c r="I40" s="641"/>
      <c r="J40" s="641"/>
      <c r="K40" s="641"/>
      <c r="L40" s="641"/>
      <c r="M40" s="641"/>
      <c r="N40" s="641"/>
      <c r="O40" s="642"/>
      <c r="P40" s="193"/>
      <c r="V40" s="193"/>
      <c r="W40" s="193"/>
      <c r="X40" s="193"/>
      <c r="Y40" s="193"/>
    </row>
    <row r="41" spans="1:25" ht="13.2" customHeight="1" x14ac:dyDescent="0.25">
      <c r="A41" s="640"/>
      <c r="B41" s="641"/>
      <c r="C41" s="641"/>
      <c r="D41" s="641"/>
      <c r="E41" s="641"/>
      <c r="F41" s="641"/>
      <c r="G41" s="641"/>
      <c r="H41" s="641"/>
      <c r="I41" s="641"/>
      <c r="J41" s="641"/>
      <c r="K41" s="641"/>
      <c r="L41" s="641"/>
      <c r="M41" s="641"/>
      <c r="N41" s="641"/>
      <c r="O41" s="642"/>
      <c r="P41" s="193"/>
      <c r="Q41" s="193"/>
      <c r="V41" s="193"/>
      <c r="W41" s="193"/>
      <c r="X41" s="193"/>
      <c r="Y41" s="193"/>
    </row>
    <row r="42" spans="1:25" x14ac:dyDescent="0.25">
      <c r="A42" s="643"/>
      <c r="B42" s="644"/>
      <c r="C42" s="644"/>
      <c r="D42" s="644"/>
      <c r="E42" s="644"/>
      <c r="F42" s="644"/>
      <c r="G42" s="644"/>
      <c r="H42" s="644"/>
      <c r="I42" s="644"/>
      <c r="J42" s="644"/>
      <c r="K42" s="644"/>
      <c r="L42" s="644"/>
      <c r="M42" s="644"/>
      <c r="N42" s="644"/>
      <c r="O42" s="645"/>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9">
    <mergeCell ref="A33:D33"/>
    <mergeCell ref="J28:K28"/>
    <mergeCell ref="B1:E1"/>
    <mergeCell ref="B2:E2"/>
    <mergeCell ref="A5:D6"/>
    <mergeCell ref="A4:F4"/>
    <mergeCell ref="A7:D7"/>
    <mergeCell ref="A8:D8"/>
    <mergeCell ref="A9:D9"/>
    <mergeCell ref="A10:D10"/>
    <mergeCell ref="A11:D11"/>
    <mergeCell ref="G22:H22"/>
    <mergeCell ref="G21:H21"/>
    <mergeCell ref="G20:H20"/>
    <mergeCell ref="H15:I15"/>
    <mergeCell ref="A22:D22"/>
    <mergeCell ref="A21:D21"/>
    <mergeCell ref="A23:D23"/>
    <mergeCell ref="A14:D14"/>
    <mergeCell ref="E31:F31"/>
    <mergeCell ref="A26:D26"/>
    <mergeCell ref="A27:D27"/>
    <mergeCell ref="A28:D28"/>
    <mergeCell ref="S27:S30"/>
    <mergeCell ref="S32:S35"/>
    <mergeCell ref="Q9:R9"/>
    <mergeCell ref="Q10:R10"/>
    <mergeCell ref="Q11:R11"/>
    <mergeCell ref="Q12:R12"/>
    <mergeCell ref="Q17:R17"/>
    <mergeCell ref="J29:K29"/>
    <mergeCell ref="H14:I14"/>
    <mergeCell ref="H13:I13"/>
    <mergeCell ref="A18:K18"/>
    <mergeCell ref="F19:F20"/>
    <mergeCell ref="E19:E20"/>
    <mergeCell ref="M16:O16"/>
    <mergeCell ref="A25:D25"/>
    <mergeCell ref="A19:D20"/>
    <mergeCell ref="J19:K20"/>
    <mergeCell ref="I19:I20"/>
    <mergeCell ref="A12:D12"/>
    <mergeCell ref="A13:D13"/>
    <mergeCell ref="M25:O25"/>
    <mergeCell ref="M26:O26"/>
    <mergeCell ref="M27:O27"/>
    <mergeCell ref="M30:O30"/>
    <mergeCell ref="Q6:R6"/>
    <mergeCell ref="Q7:R7"/>
    <mergeCell ref="Q8:R8"/>
    <mergeCell ref="E33:F33"/>
    <mergeCell ref="E35:F35"/>
    <mergeCell ref="E34:F34"/>
    <mergeCell ref="J26:K26"/>
    <mergeCell ref="J27:K27"/>
    <mergeCell ref="F5:F6"/>
    <mergeCell ref="M5:O5"/>
    <mergeCell ref="N6:N7"/>
    <mergeCell ref="O6:O7"/>
    <mergeCell ref="M6:M7"/>
    <mergeCell ref="H8:I8"/>
    <mergeCell ref="G31:I31"/>
    <mergeCell ref="G32:I32"/>
    <mergeCell ref="G33:I33"/>
    <mergeCell ref="E32:F32"/>
    <mergeCell ref="Q31:R31"/>
    <mergeCell ref="Q27:Q30"/>
    <mergeCell ref="Q32:Q35"/>
    <mergeCell ref="Q13:Q16"/>
    <mergeCell ref="Q18:R18"/>
    <mergeCell ref="Q25:R25"/>
    <mergeCell ref="Q1:U1"/>
    <mergeCell ref="Q2:U2"/>
    <mergeCell ref="H11:I11"/>
    <mergeCell ref="H12:I12"/>
    <mergeCell ref="Q5:R5"/>
    <mergeCell ref="Q4:U4"/>
    <mergeCell ref="S23:S24"/>
    <mergeCell ref="H9:I9"/>
    <mergeCell ref="H10:I10"/>
    <mergeCell ref="H4:K4"/>
    <mergeCell ref="J23:K23"/>
    <mergeCell ref="J24:K24"/>
    <mergeCell ref="J22:K22"/>
    <mergeCell ref="J21:K21"/>
    <mergeCell ref="H16:I16"/>
    <mergeCell ref="G19:H19"/>
    <mergeCell ref="S18:U18"/>
    <mergeCell ref="S19:S22"/>
    <mergeCell ref="I1:M1"/>
    <mergeCell ref="I2:M2"/>
    <mergeCell ref="M4:O4"/>
    <mergeCell ref="H6:I6"/>
    <mergeCell ref="H7:I7"/>
    <mergeCell ref="G23:H23"/>
    <mergeCell ref="Q26:R26"/>
    <mergeCell ref="Q23:R24"/>
    <mergeCell ref="Q36:R36"/>
    <mergeCell ref="Q19:Q22"/>
    <mergeCell ref="A15:D15"/>
    <mergeCell ref="A38:O42"/>
    <mergeCell ref="G36:I36"/>
    <mergeCell ref="G35:I35"/>
    <mergeCell ref="G34:I34"/>
    <mergeCell ref="G29:H29"/>
    <mergeCell ref="G28:H28"/>
    <mergeCell ref="G27:H27"/>
    <mergeCell ref="G26:H26"/>
    <mergeCell ref="G24:H24"/>
    <mergeCell ref="A24:D24"/>
    <mergeCell ref="G25:H25"/>
    <mergeCell ref="J25:K25"/>
    <mergeCell ref="A34:D34"/>
    <mergeCell ref="A35:D35"/>
    <mergeCell ref="E36:F36"/>
    <mergeCell ref="A29:D29"/>
    <mergeCell ref="A36:D36"/>
    <mergeCell ref="A31:D31"/>
    <mergeCell ref="A32:D32"/>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disablePrompts="1"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scale="99"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disablePrompts="1"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workbookViewId="0">
      <selection activeCell="B19" sqref="B19"/>
    </sheetView>
  </sheetViews>
  <sheetFormatPr defaultRowHeight="13.2" x14ac:dyDescent="0.25"/>
  <cols>
    <col min="1" max="1" width="32.88671875" customWidth="1"/>
    <col min="2" max="2" width="6.6640625" style="32" customWidth="1"/>
    <col min="3" max="3" width="8.44140625" style="32" bestFit="1" customWidth="1"/>
    <col min="4" max="4" width="6.5546875" style="159" customWidth="1"/>
    <col min="5" max="5" width="10" style="159" customWidth="1"/>
    <col min="6" max="6" width="14.44140625" customWidth="1"/>
    <col min="8" max="8" width="79.5546875" customWidth="1"/>
    <col min="9" max="9" width="86.5546875" customWidth="1"/>
  </cols>
  <sheetData>
    <row r="1" spans="1:9" x14ac:dyDescent="0.25">
      <c r="B1" s="52"/>
      <c r="C1" s="52"/>
    </row>
    <row r="2" spans="1:9" x14ac:dyDescent="0.25">
      <c r="A2" s="57" t="s">
        <v>1186</v>
      </c>
      <c r="B2" s="772" t="s">
        <v>2022</v>
      </c>
      <c r="C2" s="773"/>
      <c r="D2"/>
      <c r="E2" s="161"/>
      <c r="F2" s="775" t="s">
        <v>1638</v>
      </c>
      <c r="G2" s="730"/>
      <c r="H2" s="730"/>
    </row>
    <row r="3" spans="1:9" x14ac:dyDescent="0.25">
      <c r="A3" s="61" t="s">
        <v>132</v>
      </c>
      <c r="B3" s="60" t="s">
        <v>104</v>
      </c>
      <c r="C3"/>
      <c r="D3"/>
      <c r="E3"/>
      <c r="F3" s="776" t="s">
        <v>1345</v>
      </c>
      <c r="G3" s="776"/>
      <c r="H3" s="776"/>
    </row>
    <row r="4" spans="1:9" x14ac:dyDescent="0.25">
      <c r="A4" s="63" t="s">
        <v>1182</v>
      </c>
      <c r="B4" s="70" t="str">
        <f>IF($B$2="US Customary","°F", IF($B$2="Metric","°C",))</f>
        <v>°F</v>
      </c>
      <c r="C4" s="62"/>
    </row>
    <row r="5" spans="1:9" x14ac:dyDescent="0.25">
      <c r="A5" s="63" t="s">
        <v>1183</v>
      </c>
      <c r="B5" s="70" t="str">
        <f>IF($B$2="US Customary","qt", IF($B$2="Metric","Liters",))</f>
        <v>qt</v>
      </c>
      <c r="C5" s="62"/>
      <c r="F5" s="771" t="s">
        <v>1321</v>
      </c>
      <c r="G5" s="771"/>
    </row>
    <row r="6" spans="1:9" x14ac:dyDescent="0.25">
      <c r="A6" s="63" t="s">
        <v>1184</v>
      </c>
      <c r="B6" s="70" t="str">
        <f>IF($B$2="US Customary","lb", IF($B$2="Metric","kg",))</f>
        <v>lb</v>
      </c>
      <c r="C6" s="62"/>
      <c r="F6" s="110" t="s">
        <v>1322</v>
      </c>
      <c r="G6" s="26" t="str">
        <f>IF(B47&lt;=B25*B26,"PASS","FAIL")</f>
        <v>PASS</v>
      </c>
    </row>
    <row r="7" spans="1:9" x14ac:dyDescent="0.25">
      <c r="A7" s="63" t="s">
        <v>1185</v>
      </c>
      <c r="B7" s="70" t="str">
        <f>IF($B$2="US Customary","oz", IF($B$2="Metric","grams",))</f>
        <v>oz</v>
      </c>
      <c r="C7" s="62"/>
      <c r="F7" s="113" t="s">
        <v>1323</v>
      </c>
      <c r="G7" s="26" t="str">
        <f>IF(B60&lt;=(B30*B29),"PASS","FAIL")</f>
        <v>PASS</v>
      </c>
    </row>
    <row r="8" spans="1:9" x14ac:dyDescent="0.25">
      <c r="A8" s="140" t="s">
        <v>1637</v>
      </c>
      <c r="B8" s="89" t="str">
        <f>IF($B$2="US Customary","PSI", IF($B$2="Metric","kPa",))</f>
        <v>PSI</v>
      </c>
      <c r="C8" s="108"/>
    </row>
    <row r="9" spans="1:9" ht="13.8" thickBot="1" x14ac:dyDescent="0.3">
      <c r="A9" s="112"/>
      <c r="B9"/>
      <c r="C9" s="139"/>
    </row>
    <row r="10" spans="1:9" ht="13.8" thickTop="1" x14ac:dyDescent="0.25">
      <c r="A10" s="756" t="s">
        <v>1174</v>
      </c>
      <c r="B10" s="757"/>
      <c r="C10" s="757"/>
      <c r="D10" s="757"/>
      <c r="E10" s="757"/>
      <c r="F10" s="757"/>
      <c r="G10" s="757"/>
      <c r="H10" s="774"/>
      <c r="I10" s="778" t="s">
        <v>1782</v>
      </c>
    </row>
    <row r="11" spans="1:9" x14ac:dyDescent="0.25">
      <c r="A11" s="114" t="s">
        <v>1324</v>
      </c>
      <c r="B11" s="107" t="s">
        <v>104</v>
      </c>
      <c r="C11" s="107" t="s">
        <v>100</v>
      </c>
      <c r="D11" s="158" t="s">
        <v>104</v>
      </c>
      <c r="E11" s="158" t="s">
        <v>100</v>
      </c>
      <c r="F11" s="759" t="s">
        <v>67</v>
      </c>
      <c r="G11" s="759"/>
      <c r="H11" s="760"/>
      <c r="I11" s="779"/>
    </row>
    <row r="12" spans="1:9" x14ac:dyDescent="0.25">
      <c r="A12" s="115" t="s">
        <v>1817</v>
      </c>
      <c r="B12" s="109">
        <v>20</v>
      </c>
      <c r="C12" s="106" t="str">
        <f>$B$5</f>
        <v>qt</v>
      </c>
      <c r="D12" s="71">
        <f>IF($B$2="US Customary",B12/4,"")</f>
        <v>5</v>
      </c>
      <c r="E12" s="89" t="str">
        <f>IF($B$2="US Customary","US Gal","")</f>
        <v>US Gal</v>
      </c>
      <c r="F12" s="724" t="s">
        <v>2033</v>
      </c>
      <c r="G12" s="724"/>
      <c r="H12" s="725"/>
      <c r="I12" s="595"/>
    </row>
    <row r="13" spans="1:9" x14ac:dyDescent="0.25">
      <c r="A13" s="115" t="s">
        <v>103</v>
      </c>
      <c r="B13" s="44">
        <v>68</v>
      </c>
      <c r="C13" s="89" t="str">
        <f>'Brewhouse Setup &amp; Calcs'!$B$4</f>
        <v>°F</v>
      </c>
      <c r="D13" s="743"/>
      <c r="E13" s="729"/>
      <c r="F13" s="751" t="s">
        <v>1819</v>
      </c>
      <c r="G13" s="751"/>
      <c r="H13" s="752"/>
      <c r="I13" s="596"/>
    </row>
    <row r="14" spans="1:9" x14ac:dyDescent="0.25">
      <c r="A14" s="115" t="s">
        <v>147</v>
      </c>
      <c r="B14" s="44">
        <v>150</v>
      </c>
      <c r="C14" s="89" t="str">
        <f>'Brewhouse Setup &amp; Calcs'!$B$4</f>
        <v>°F</v>
      </c>
      <c r="D14" s="768"/>
      <c r="E14" s="770"/>
      <c r="F14" s="751" t="s">
        <v>1820</v>
      </c>
      <c r="G14" s="751"/>
      <c r="H14" s="752"/>
      <c r="I14" s="596"/>
    </row>
    <row r="15" spans="1:9" x14ac:dyDescent="0.25">
      <c r="A15" s="115" t="s">
        <v>101</v>
      </c>
      <c r="B15" s="109">
        <v>1.5</v>
      </c>
      <c r="C15" s="89" t="str">
        <f>IF($B$2="Metric","L/kg","qt/lb")</f>
        <v>qt/lb</v>
      </c>
      <c r="D15" s="71">
        <f>IF($B$2="US Customary",B15/4,"")</f>
        <v>0.375</v>
      </c>
      <c r="E15" s="89" t="str">
        <f>IF($B$2="US Customary","USGal/lb","")</f>
        <v>USGal/lb</v>
      </c>
      <c r="F15" s="751" t="s">
        <v>146</v>
      </c>
      <c r="G15" s="751"/>
      <c r="H15" s="752"/>
      <c r="I15" s="596"/>
    </row>
    <row r="16" spans="1:9" x14ac:dyDescent="0.25">
      <c r="A16" s="115" t="s">
        <v>1818</v>
      </c>
      <c r="B16" s="109">
        <v>0.55000000000000004</v>
      </c>
      <c r="C16" s="89" t="str">
        <f>IF($B$2="Metric","L/kg","qt/lb")</f>
        <v>qt/lb</v>
      </c>
      <c r="D16" s="71">
        <f>IF($B$2="US Customary",B16/4,"")</f>
        <v>0.13750000000000001</v>
      </c>
      <c r="E16" s="89" t="str">
        <f>IF($B$2="US Customary","USGal/lb","")</f>
        <v>USGal/lb</v>
      </c>
      <c r="F16" s="751" t="s">
        <v>1821</v>
      </c>
      <c r="G16" s="751"/>
      <c r="H16" s="752"/>
      <c r="I16" s="602" t="s">
        <v>1822</v>
      </c>
    </row>
    <row r="17" spans="1:9" x14ac:dyDescent="0.25">
      <c r="A17" s="116" t="s">
        <v>96</v>
      </c>
      <c r="B17" s="38">
        <v>0.78600000000000003</v>
      </c>
      <c r="C17" s="89" t="s">
        <v>105</v>
      </c>
      <c r="D17" s="743"/>
      <c r="E17" s="729"/>
      <c r="F17" s="751" t="s">
        <v>1823</v>
      </c>
      <c r="G17" s="751"/>
      <c r="H17" s="752"/>
      <c r="I17" s="596"/>
    </row>
    <row r="18" spans="1:9" x14ac:dyDescent="0.25">
      <c r="A18" s="115" t="s">
        <v>111</v>
      </c>
      <c r="B18" s="39">
        <v>75</v>
      </c>
      <c r="C18" s="89" t="s">
        <v>1197</v>
      </c>
      <c r="D18" s="777"/>
      <c r="E18" s="731"/>
      <c r="F18" s="724" t="s">
        <v>1824</v>
      </c>
      <c r="G18" s="724"/>
      <c r="H18" s="725"/>
      <c r="I18" s="596"/>
    </row>
    <row r="19" spans="1:9" x14ac:dyDescent="0.25">
      <c r="A19" s="115" t="s">
        <v>109</v>
      </c>
      <c r="B19" s="188">
        <v>2</v>
      </c>
      <c r="C19" s="89" t="str">
        <f>IF($B$2="Metric","L/hr","qt/hr")</f>
        <v>qt/hr</v>
      </c>
      <c r="D19" s="777"/>
      <c r="E19" s="731"/>
      <c r="F19" s="724" t="s">
        <v>1781</v>
      </c>
      <c r="G19" s="724"/>
      <c r="H19" s="725"/>
      <c r="I19" s="602" t="s">
        <v>2032</v>
      </c>
    </row>
    <row r="20" spans="1:9" x14ac:dyDescent="0.25">
      <c r="A20" s="115" t="s">
        <v>1201</v>
      </c>
      <c r="B20" s="40">
        <v>210.6</v>
      </c>
      <c r="C20" s="89" t="str">
        <f>$B$4</f>
        <v>°F</v>
      </c>
      <c r="D20" s="768"/>
      <c r="E20" s="770"/>
      <c r="F20" s="724" t="s">
        <v>1178</v>
      </c>
      <c r="G20" s="724"/>
      <c r="H20" s="725"/>
      <c r="I20" s="596"/>
    </row>
    <row r="21" spans="1:9" ht="13.8" thickBot="1" x14ac:dyDescent="0.3">
      <c r="A21" s="117" t="s">
        <v>1789</v>
      </c>
      <c r="B21" s="234">
        <v>0.1</v>
      </c>
      <c r="C21" s="121" t="str">
        <f>IF($B$2="Metric","L/g","qt/oz")</f>
        <v>qt/oz</v>
      </c>
      <c r="D21" s="162">
        <f>IF($B$2="US Customary",B21/4*16,"")</f>
        <v>0.4</v>
      </c>
      <c r="E21" s="121" t="str">
        <f>IF($B$2="US Customary","USGal/lb","")</f>
        <v>USGal/lb</v>
      </c>
      <c r="F21" s="722" t="s">
        <v>1825</v>
      </c>
      <c r="G21" s="722"/>
      <c r="H21" s="723"/>
      <c r="I21" s="601" t="s">
        <v>2034</v>
      </c>
    </row>
    <row r="22" spans="1:9" ht="14.4" thickTop="1" thickBot="1" x14ac:dyDescent="0.3">
      <c r="B22"/>
      <c r="C22" s="108"/>
      <c r="I22" s="189"/>
    </row>
    <row r="23" spans="1:9" ht="13.8" thickTop="1" x14ac:dyDescent="0.25">
      <c r="A23" s="756" t="s">
        <v>1325</v>
      </c>
      <c r="B23" s="757"/>
      <c r="C23" s="757"/>
      <c r="D23" s="757"/>
      <c r="E23" s="757"/>
      <c r="F23" s="757"/>
      <c r="G23" s="757"/>
      <c r="H23" s="758"/>
      <c r="I23" s="778" t="s">
        <v>1782</v>
      </c>
    </row>
    <row r="24" spans="1:9" x14ac:dyDescent="0.25">
      <c r="A24" s="114" t="s">
        <v>1324</v>
      </c>
      <c r="B24" s="107" t="s">
        <v>104</v>
      </c>
      <c r="C24" s="107" t="s">
        <v>100</v>
      </c>
      <c r="D24" s="158" t="s">
        <v>104</v>
      </c>
      <c r="E24" s="158" t="s">
        <v>100</v>
      </c>
      <c r="F24" s="759" t="s">
        <v>67</v>
      </c>
      <c r="G24" s="759"/>
      <c r="H24" s="760"/>
      <c r="I24" s="779"/>
    </row>
    <row r="25" spans="1:9" x14ac:dyDescent="0.25">
      <c r="A25" s="118" t="s">
        <v>108</v>
      </c>
      <c r="B25" s="36">
        <v>32</v>
      </c>
      <c r="C25" s="106" t="str">
        <f>$B$5</f>
        <v>qt</v>
      </c>
      <c r="D25" s="128">
        <f>IF($B$2="US Customary",B25/4,"")</f>
        <v>8</v>
      </c>
      <c r="E25" s="89" t="str">
        <f>IF($B$2="US Customary","US Gal","")</f>
        <v>US Gal</v>
      </c>
      <c r="F25" s="761" t="s">
        <v>1175</v>
      </c>
      <c r="G25" s="761"/>
      <c r="H25" s="762"/>
      <c r="I25" s="597" t="s">
        <v>1830</v>
      </c>
    </row>
    <row r="26" spans="1:9" x14ac:dyDescent="0.25">
      <c r="A26" s="118" t="s">
        <v>124</v>
      </c>
      <c r="B26" s="37">
        <v>0.95</v>
      </c>
      <c r="C26" s="111" t="s">
        <v>105</v>
      </c>
      <c r="D26" s="740"/>
      <c r="E26" s="748"/>
      <c r="F26" s="761" t="s">
        <v>1176</v>
      </c>
      <c r="G26" s="761"/>
      <c r="H26" s="762"/>
      <c r="I26" s="597"/>
    </row>
    <row r="27" spans="1:9" ht="12.6" customHeight="1" x14ac:dyDescent="0.25">
      <c r="A27" s="118" t="s">
        <v>2024</v>
      </c>
      <c r="B27" s="584" t="s">
        <v>2036</v>
      </c>
      <c r="C27" s="740"/>
      <c r="D27" s="741"/>
      <c r="E27" s="748"/>
      <c r="F27" s="761" t="s">
        <v>2026</v>
      </c>
      <c r="G27" s="761"/>
      <c r="H27" s="762"/>
      <c r="I27" s="597"/>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61" t="s">
        <v>2025</v>
      </c>
      <c r="G28" s="761"/>
      <c r="H28" s="762"/>
      <c r="I28" s="597"/>
    </row>
    <row r="29" spans="1:9" x14ac:dyDescent="0.25">
      <c r="A29" s="115" t="s">
        <v>110</v>
      </c>
      <c r="B29" s="36">
        <v>32</v>
      </c>
      <c r="C29" s="106" t="str">
        <f>$B$5</f>
        <v>qt</v>
      </c>
      <c r="D29" s="128">
        <f>IF($B$2="US Customary",B29/4,"")</f>
        <v>8</v>
      </c>
      <c r="E29" s="89" t="str">
        <f>IF($B$2="US Customary","US Gal","")</f>
        <v>US Gal</v>
      </c>
      <c r="F29" s="761" t="s">
        <v>1177</v>
      </c>
      <c r="G29" s="761"/>
      <c r="H29" s="762"/>
      <c r="I29" s="597" t="s">
        <v>1831</v>
      </c>
    </row>
    <row r="30" spans="1:9" x14ac:dyDescent="0.25">
      <c r="A30" s="115" t="s">
        <v>1171</v>
      </c>
      <c r="B30" s="37">
        <v>0.9</v>
      </c>
      <c r="C30" s="111" t="s">
        <v>105</v>
      </c>
      <c r="D30" s="740"/>
      <c r="E30" s="748"/>
      <c r="F30" s="761" t="s">
        <v>1179</v>
      </c>
      <c r="G30" s="761"/>
      <c r="H30" s="762"/>
      <c r="I30" s="597"/>
    </row>
    <row r="31" spans="1:9" x14ac:dyDescent="0.25">
      <c r="A31" s="119" t="s">
        <v>112</v>
      </c>
      <c r="B31" s="109">
        <v>0</v>
      </c>
      <c r="C31" s="106" t="str">
        <f t="shared" ref="C31:C33" si="0">$B$5</f>
        <v>qt</v>
      </c>
      <c r="D31" s="71">
        <f>IF($B$2="US Customary",B31/4,"")</f>
        <v>0</v>
      </c>
      <c r="E31" s="89" t="str">
        <f>IF($B$2="US Customary","US Gal","")</f>
        <v>US Gal</v>
      </c>
      <c r="F31" s="761" t="s">
        <v>1834</v>
      </c>
      <c r="G31" s="761"/>
      <c r="H31" s="762"/>
      <c r="I31" s="600" t="s">
        <v>1809</v>
      </c>
    </row>
    <row r="32" spans="1:9" x14ac:dyDescent="0.25">
      <c r="A32" s="119" t="s">
        <v>1172</v>
      </c>
      <c r="B32" s="109">
        <v>2.25</v>
      </c>
      <c r="C32" s="106" t="str">
        <f t="shared" si="0"/>
        <v>qt</v>
      </c>
      <c r="D32" s="71">
        <f>IF($B$2="US Customary",B32/4,"")</f>
        <v>0.5625</v>
      </c>
      <c r="E32" s="89" t="str">
        <f>IF($B$2="US Customary","US Gal","")</f>
        <v>US Gal</v>
      </c>
      <c r="F32" s="761" t="s">
        <v>1807</v>
      </c>
      <c r="G32" s="761"/>
      <c r="H32" s="762"/>
      <c r="I32" s="597" t="s">
        <v>1808</v>
      </c>
    </row>
    <row r="33" spans="1:9" x14ac:dyDescent="0.25">
      <c r="A33" s="119" t="s">
        <v>1173</v>
      </c>
      <c r="B33" s="127">
        <v>2</v>
      </c>
      <c r="C33" s="128" t="str">
        <f t="shared" si="0"/>
        <v>qt</v>
      </c>
      <c r="D33" s="71">
        <f>IF($B$2="US Customary",B33/4,"")</f>
        <v>0.5</v>
      </c>
      <c r="E33" s="89" t="str">
        <f>IF($B$2="US Customary","US Gal","")</f>
        <v>US Gal</v>
      </c>
      <c r="F33" s="726" t="s">
        <v>1761</v>
      </c>
      <c r="G33" s="726"/>
      <c r="H33" s="727"/>
      <c r="I33" s="597" t="s">
        <v>1783</v>
      </c>
    </row>
    <row r="34" spans="1:9" x14ac:dyDescent="0.25">
      <c r="A34" s="119" t="s">
        <v>1784</v>
      </c>
      <c r="B34" s="184">
        <v>60</v>
      </c>
      <c r="C34" s="89" t="str">
        <f>$B$4</f>
        <v>°F</v>
      </c>
      <c r="D34" s="728"/>
      <c r="E34" s="729"/>
      <c r="F34" s="726" t="s">
        <v>1785</v>
      </c>
      <c r="G34" s="726"/>
      <c r="H34" s="727"/>
      <c r="I34" s="597"/>
    </row>
    <row r="35" spans="1:9" x14ac:dyDescent="0.25">
      <c r="A35" s="119" t="s">
        <v>1779</v>
      </c>
      <c r="B35" s="184">
        <v>0</v>
      </c>
      <c r="C35" s="743"/>
      <c r="D35" s="730"/>
      <c r="E35" s="731"/>
      <c r="F35" s="724" t="s">
        <v>1835</v>
      </c>
      <c r="G35" s="724"/>
      <c r="H35" s="725"/>
      <c r="I35" s="597"/>
    </row>
    <row r="36" spans="1:9" ht="13.8" thickBot="1" x14ac:dyDescent="0.3">
      <c r="A36" s="237" t="s">
        <v>1338</v>
      </c>
      <c r="B36" s="190">
        <v>1.04</v>
      </c>
      <c r="C36" s="744"/>
      <c r="D36" s="732"/>
      <c r="E36" s="733"/>
      <c r="F36" s="766" t="s">
        <v>1339</v>
      </c>
      <c r="G36" s="766"/>
      <c r="H36" s="767"/>
      <c r="I36" s="598"/>
    </row>
    <row r="37" spans="1:9" ht="14.4" thickTop="1" thickBot="1" x14ac:dyDescent="0.3">
      <c r="I37" s="189"/>
    </row>
    <row r="38" spans="1:9" ht="13.8" thickTop="1" x14ac:dyDescent="0.25">
      <c r="A38" s="763" t="s">
        <v>1326</v>
      </c>
      <c r="B38" s="764"/>
      <c r="C38" s="764"/>
      <c r="D38" s="764"/>
      <c r="E38" s="764"/>
      <c r="F38" s="764"/>
      <c r="G38" s="764"/>
      <c r="H38" s="765"/>
      <c r="I38" s="778" t="s">
        <v>1782</v>
      </c>
    </row>
    <row r="39" spans="1:9" x14ac:dyDescent="0.25">
      <c r="A39" s="114" t="s">
        <v>132</v>
      </c>
      <c r="B39" s="107" t="s">
        <v>104</v>
      </c>
      <c r="C39" s="107" t="s">
        <v>100</v>
      </c>
      <c r="D39" s="158" t="s">
        <v>104</v>
      </c>
      <c r="E39" s="158" t="s">
        <v>100</v>
      </c>
      <c r="F39" s="759" t="s">
        <v>67</v>
      </c>
      <c r="G39" s="759"/>
      <c r="H39" s="760"/>
      <c r="I39" s="779"/>
    </row>
    <row r="40" spans="1:9" x14ac:dyDescent="0.25">
      <c r="A40" s="115" t="s">
        <v>1814</v>
      </c>
      <c r="B40" s="71">
        <f>B43+B55+B57+B58</f>
        <v>35.906708000000002</v>
      </c>
      <c r="C40" s="128" t="str">
        <f t="shared" ref="C40:C63" si="1">$B$5</f>
        <v>qt</v>
      </c>
      <c r="D40" s="71">
        <f>IF($B$2="US Customary",B40/4,"")</f>
        <v>8.9766770000000005</v>
      </c>
      <c r="E40" s="89" t="str">
        <f>IF($B$2="US Customary","US Gal","")</f>
        <v>US Gal</v>
      </c>
      <c r="F40" s="724" t="s">
        <v>1788</v>
      </c>
      <c r="G40" s="724"/>
      <c r="H40" s="725"/>
      <c r="I40" s="597"/>
    </row>
    <row r="41" spans="1:9" x14ac:dyDescent="0.25">
      <c r="A41" s="115" t="s">
        <v>126</v>
      </c>
      <c r="B41" s="183">
        <f>IF(C41="qt",0.3125*'Grain &amp; Sugar Calcs'!C14,IF(C41="Liters",0.652*'Grain &amp; Sugar Calcs'!C14,""))</f>
        <v>4.296875</v>
      </c>
      <c r="C41" s="89" t="str">
        <f>'Brewhouse Setup &amp; Calcs'!$B$5</f>
        <v>qt</v>
      </c>
      <c r="D41" s="71">
        <f>IF($B$2="US Customary",B41/4,"")</f>
        <v>1.07421875</v>
      </c>
      <c r="E41" s="89" t="str">
        <f>IF($B$2="US Customary","US Gal","")</f>
        <v>US Gal</v>
      </c>
      <c r="F41" s="1" t="s">
        <v>1181</v>
      </c>
      <c r="G41" s="1"/>
      <c r="H41" s="123"/>
      <c r="I41" s="597"/>
    </row>
    <row r="42" spans="1:9" x14ac:dyDescent="0.25">
      <c r="A42" s="163" t="s">
        <v>1679</v>
      </c>
      <c r="B42" s="740"/>
      <c r="C42" s="741"/>
      <c r="D42" s="741"/>
      <c r="E42" s="741"/>
      <c r="F42" s="741"/>
      <c r="G42" s="741"/>
      <c r="H42" s="742"/>
      <c r="I42" s="597"/>
    </row>
    <row r="43" spans="1:9" x14ac:dyDescent="0.25">
      <c r="A43" s="115" t="s">
        <v>1812</v>
      </c>
      <c r="B43" s="183">
        <f>'Grain &amp; Sugar Calcs'!C14*B15</f>
        <v>20.625</v>
      </c>
      <c r="C43" s="89" t="str">
        <f>'Brewhouse Setup &amp; Calcs'!$B$5</f>
        <v>qt</v>
      </c>
      <c r="D43" s="71">
        <f>IF($B$2="US Customary",B43/4,"")</f>
        <v>5.15625</v>
      </c>
      <c r="E43" s="89" t="str">
        <f>IF($B$2="US Customary","US Gal","")</f>
        <v>US Gal</v>
      </c>
      <c r="F43" s="749" t="s">
        <v>1180</v>
      </c>
      <c r="G43" s="749"/>
      <c r="H43" s="750"/>
      <c r="I43" s="597"/>
    </row>
    <row r="44" spans="1:9" x14ac:dyDescent="0.25">
      <c r="A44" s="115" t="s">
        <v>102</v>
      </c>
      <c r="B44" s="164">
        <f>(IF(B2="US Customary",0.2,0.41)/B15)*(B14-B13)+B14</f>
        <v>160.93333333333334</v>
      </c>
      <c r="C44" s="165" t="str">
        <f>'Brewhouse Setup &amp; Calcs'!$B$4</f>
        <v>°F</v>
      </c>
      <c r="D44" s="740"/>
      <c r="E44" s="748"/>
      <c r="F44" s="745" t="s">
        <v>1786</v>
      </c>
      <c r="G44" s="746"/>
      <c r="H44" s="747"/>
      <c r="I44" s="597"/>
    </row>
    <row r="45" spans="1:9" x14ac:dyDescent="0.25">
      <c r="A45" s="163" t="s">
        <v>1680</v>
      </c>
      <c r="B45" s="740"/>
      <c r="C45" s="741"/>
      <c r="D45" s="741"/>
      <c r="E45" s="741"/>
      <c r="F45" s="741"/>
      <c r="G45" s="741"/>
      <c r="H45" s="742"/>
      <c r="I45" s="597"/>
    </row>
    <row r="46" spans="1:9" x14ac:dyDescent="0.25">
      <c r="A46" s="115" t="s">
        <v>1317</v>
      </c>
      <c r="B46" s="120">
        <f>B16*'Grain &amp; Sugar Calcs'!C14</f>
        <v>7.5625000000000009</v>
      </c>
      <c r="C46" s="89" t="str">
        <f>'Brewhouse Setup &amp; Calcs'!$B$5</f>
        <v>qt</v>
      </c>
      <c r="D46" s="71">
        <f>IF($B$2="US Customary",B46/4,"")</f>
        <v>1.8906250000000002</v>
      </c>
      <c r="E46" s="89" t="str">
        <f>IF($B$2="US Customary","US Gal","")</f>
        <v>US Gal</v>
      </c>
      <c r="F46" s="751" t="s">
        <v>1316</v>
      </c>
      <c r="G46" s="751"/>
      <c r="H46" s="752"/>
      <c r="I46" s="597"/>
    </row>
    <row r="47" spans="1:9" x14ac:dyDescent="0.25">
      <c r="A47" s="115" t="s">
        <v>121</v>
      </c>
      <c r="B47" s="183">
        <f>(B41+B43)</f>
        <v>24.921875</v>
      </c>
      <c r="C47" s="89" t="str">
        <f>'Brewhouse Setup &amp; Calcs'!$B$5</f>
        <v>qt</v>
      </c>
      <c r="D47" s="71">
        <f>IF($B$2="US Customary",B47/4,"")</f>
        <v>6.23046875</v>
      </c>
      <c r="E47" s="89" t="str">
        <f>IF($B$2="US Customary","US Gal","")</f>
        <v>US Gal</v>
      </c>
      <c r="F47" s="751" t="s">
        <v>1318</v>
      </c>
      <c r="G47" s="751"/>
      <c r="H47" s="752"/>
      <c r="I47" s="597"/>
    </row>
    <row r="48" spans="1:9" x14ac:dyDescent="0.25">
      <c r="A48" s="228" t="s">
        <v>1813</v>
      </c>
      <c r="B48" s="240">
        <f>B40-B43</f>
        <v>15.281708000000002</v>
      </c>
      <c r="C48" s="89" t="str">
        <f>'Brewhouse Setup &amp; Calcs'!$B$5</f>
        <v>qt</v>
      </c>
      <c r="D48" s="71">
        <f>IF($B$2="US Customary",B48/4,"")</f>
        <v>3.8204270000000005</v>
      </c>
      <c r="E48" s="89" t="str">
        <f>IF($B$2="US Customary","US Gal","")</f>
        <v>US Gal</v>
      </c>
      <c r="F48" s="753" t="s">
        <v>1815</v>
      </c>
      <c r="G48" s="754"/>
      <c r="H48" s="755"/>
      <c r="I48" s="597"/>
    </row>
    <row r="49" spans="1:9" x14ac:dyDescent="0.25">
      <c r="A49" s="124" t="s">
        <v>122</v>
      </c>
      <c r="B49" s="126">
        <f>B25*B26-B41-B46</f>
        <v>18.540624999999999</v>
      </c>
      <c r="C49" s="122" t="str">
        <f>'Brewhouse Setup &amp; Calcs'!$B$5</f>
        <v>qt</v>
      </c>
      <c r="D49" s="71">
        <f>IF($B$2="US Customary",B49/4,"")</f>
        <v>4.6351562499999996</v>
      </c>
      <c r="E49" s="89" t="str">
        <f>IF($B$2="US Customary","US Gal","")</f>
        <v>US Gal</v>
      </c>
      <c r="F49" s="751" t="s">
        <v>1319</v>
      </c>
      <c r="G49" s="751"/>
      <c r="H49" s="752"/>
      <c r="I49" s="597"/>
    </row>
    <row r="50" spans="1:9" x14ac:dyDescent="0.25">
      <c r="A50" s="125" t="s">
        <v>123</v>
      </c>
      <c r="B50" s="183">
        <f>B60/B49</f>
        <v>1.5287622720377552</v>
      </c>
      <c r="C50" s="743"/>
      <c r="D50" s="728"/>
      <c r="E50" s="729"/>
      <c r="F50" s="751" t="s">
        <v>1199</v>
      </c>
      <c r="G50" s="751"/>
      <c r="H50" s="752"/>
      <c r="I50" s="597"/>
    </row>
    <row r="51" spans="1:9" x14ac:dyDescent="0.25">
      <c r="A51" s="125" t="s">
        <v>125</v>
      </c>
      <c r="B51" s="128">
        <f>ROUNDUP(B50,0)</f>
        <v>2</v>
      </c>
      <c r="C51" s="768"/>
      <c r="D51" s="769"/>
      <c r="E51" s="770"/>
      <c r="F51" s="751" t="s">
        <v>1200</v>
      </c>
      <c r="G51" s="751"/>
      <c r="H51" s="752"/>
      <c r="I51" s="597"/>
    </row>
    <row r="52" spans="1:9" ht="13.2" customHeight="1" x14ac:dyDescent="0.25">
      <c r="A52" s="119" t="s">
        <v>1320</v>
      </c>
      <c r="B52" s="183">
        <f>B60/B51</f>
        <v>14.172104000000001</v>
      </c>
      <c r="C52" s="89" t="str">
        <f>'Brewhouse Setup &amp; Calcs'!$B$5</f>
        <v>qt</v>
      </c>
      <c r="D52" s="71">
        <f>IF($B$2="US Customary",B52/4,"")</f>
        <v>3.5430260000000002</v>
      </c>
      <c r="E52" s="89" t="str">
        <f>IF($B$2="US Customary","US Gal","")</f>
        <v>US Gal</v>
      </c>
      <c r="F52" s="737" t="s">
        <v>1331</v>
      </c>
      <c r="G52" s="738"/>
      <c r="H52" s="739"/>
      <c r="I52" s="597"/>
    </row>
    <row r="53" spans="1:9" x14ac:dyDescent="0.25">
      <c r="A53" s="119" t="s">
        <v>1198</v>
      </c>
      <c r="B53" s="183">
        <f>B43-B46-B31</f>
        <v>13.0625</v>
      </c>
      <c r="C53" s="89" t="str">
        <f>'Brewhouse Setup &amp; Calcs'!$B$5</f>
        <v>qt</v>
      </c>
      <c r="D53" s="71">
        <f>IF($B$2="US Customary",B53/4,"")</f>
        <v>3.265625</v>
      </c>
      <c r="E53" s="89" t="str">
        <f>IF($B$2="US Customary","US Gal","")</f>
        <v>US Gal</v>
      </c>
      <c r="F53" s="737" t="s">
        <v>1332</v>
      </c>
      <c r="G53" s="738"/>
      <c r="H53" s="739"/>
      <c r="I53" s="597"/>
    </row>
    <row r="54" spans="1:9" x14ac:dyDescent="0.25">
      <c r="A54" s="166" t="s">
        <v>1681</v>
      </c>
      <c r="B54" s="740"/>
      <c r="C54" s="741"/>
      <c r="D54" s="741"/>
      <c r="E54" s="741"/>
      <c r="F54" s="741"/>
      <c r="G54" s="741"/>
      <c r="H54" s="742"/>
      <c r="I54" s="597"/>
    </row>
    <row r="55" spans="1:9" x14ac:dyDescent="0.25">
      <c r="A55" s="119" t="s">
        <v>1328</v>
      </c>
      <c r="B55" s="183">
        <f>IF(B52&gt;=B53,B52-B53,0)</f>
        <v>1.1096040000000009</v>
      </c>
      <c r="C55" s="89" t="str">
        <f>'Brewhouse Setup &amp; Calcs'!$B$5</f>
        <v>qt</v>
      </c>
      <c r="D55" s="71">
        <f>IF($B$2="US Customary",B55/4,"")</f>
        <v>0.27740100000000023</v>
      </c>
      <c r="E55" s="89" t="str">
        <f>IF($B$2="US Customary","US Gal","")</f>
        <v>US Gal</v>
      </c>
      <c r="F55" s="737" t="s">
        <v>1333</v>
      </c>
      <c r="G55" s="738"/>
      <c r="H55" s="739"/>
      <c r="I55" s="597"/>
    </row>
    <row r="56" spans="1:9" x14ac:dyDescent="0.25">
      <c r="A56" s="119" t="s">
        <v>1327</v>
      </c>
      <c r="B56" s="120">
        <f>IF(B52&gt;B53,B52,B53)</f>
        <v>14.172104000000001</v>
      </c>
      <c r="C56" s="89" t="str">
        <f>'Brewhouse Setup &amp; Calcs'!$B$5</f>
        <v>qt</v>
      </c>
      <c r="D56" s="71">
        <f>IF($B$2="US Customary",B56/4,"")</f>
        <v>3.5430260000000002</v>
      </c>
      <c r="E56" s="89" t="str">
        <f>IF($B$2="US Customary","US Gal","")</f>
        <v>US Gal</v>
      </c>
      <c r="F56" s="737" t="s">
        <v>1334</v>
      </c>
      <c r="G56" s="738"/>
      <c r="H56" s="739"/>
      <c r="I56" s="597"/>
    </row>
    <row r="57" spans="1:9" x14ac:dyDescent="0.25">
      <c r="A57" s="119" t="s">
        <v>1329</v>
      </c>
      <c r="B57" s="183">
        <f>IF(B51&gt;1,B52,0)</f>
        <v>14.172104000000001</v>
      </c>
      <c r="C57" s="89" t="str">
        <f>'Brewhouse Setup &amp; Calcs'!$B$5</f>
        <v>qt</v>
      </c>
      <c r="D57" s="71">
        <f>IF($B$2="US Customary",B57/4,"")</f>
        <v>3.5430260000000002</v>
      </c>
      <c r="E57" s="89" t="str">
        <f>IF($B$2="US Customary","US Gal","")</f>
        <v>US Gal</v>
      </c>
      <c r="F57" s="737" t="s">
        <v>1335</v>
      </c>
      <c r="G57" s="738"/>
      <c r="H57" s="739"/>
      <c r="I57" s="597"/>
    </row>
    <row r="58" spans="1:9" x14ac:dyDescent="0.25">
      <c r="A58" s="119" t="s">
        <v>1330</v>
      </c>
      <c r="B58" s="183">
        <f>IF(B51&gt;2,B60-B56-B57,0)</f>
        <v>0</v>
      </c>
      <c r="C58" s="89" t="str">
        <f>'Brewhouse Setup &amp; Calcs'!$B$5</f>
        <v>qt</v>
      </c>
      <c r="D58" s="71">
        <f>IF($B$2="US Customary",B58/4,"")</f>
        <v>0</v>
      </c>
      <c r="E58" s="89" t="str">
        <f>IF($B$2="US Customary","US Gal","")</f>
        <v>US Gal</v>
      </c>
      <c r="F58" s="734" t="s">
        <v>1336</v>
      </c>
      <c r="G58" s="735"/>
      <c r="H58" s="736"/>
      <c r="I58" s="597"/>
    </row>
    <row r="59" spans="1:9" x14ac:dyDescent="0.25">
      <c r="A59" s="166" t="s">
        <v>1827</v>
      </c>
      <c r="B59" s="740"/>
      <c r="C59" s="741"/>
      <c r="D59" s="741"/>
      <c r="E59" s="741"/>
      <c r="F59" s="741"/>
      <c r="G59" s="741"/>
      <c r="H59" s="742"/>
      <c r="I59" s="597"/>
    </row>
    <row r="60" spans="1:9" x14ac:dyDescent="0.25">
      <c r="A60" s="115" t="s">
        <v>106</v>
      </c>
      <c r="B60" s="183">
        <f>B63+B61+B62</f>
        <v>28.344208000000002</v>
      </c>
      <c r="C60" s="128" t="str">
        <f t="shared" si="1"/>
        <v>qt</v>
      </c>
      <c r="D60" s="71">
        <f>IF($B$2="US Customary",B60/4,"")</f>
        <v>7.0860520000000005</v>
      </c>
      <c r="E60" s="89" t="str">
        <f>IF($B$2="US Customary","US Gal","")</f>
        <v>US Gal</v>
      </c>
      <c r="F60" s="724" t="s">
        <v>113</v>
      </c>
      <c r="G60" s="724"/>
      <c r="H60" s="725"/>
      <c r="I60" s="597"/>
    </row>
    <row r="61" spans="1:9" x14ac:dyDescent="0.25">
      <c r="A61" s="115" t="s">
        <v>115</v>
      </c>
      <c r="B61" s="241">
        <f>B18/60*B19</f>
        <v>2.5</v>
      </c>
      <c r="C61" s="128" t="str">
        <f t="shared" ref="C61:C64" si="2">$B$5</f>
        <v>qt</v>
      </c>
      <c r="D61" s="71">
        <f>IF($B$2="US Customary",B61/4,"")</f>
        <v>0.625</v>
      </c>
      <c r="E61" s="89" t="str">
        <f>IF($B$2="US Customary","US Gal","")</f>
        <v>US Gal</v>
      </c>
      <c r="F61" s="724" t="s">
        <v>1337</v>
      </c>
      <c r="G61" s="724"/>
      <c r="H61" s="725"/>
      <c r="I61" s="597"/>
    </row>
    <row r="62" spans="1:9" x14ac:dyDescent="0.25">
      <c r="A62" s="115" t="s">
        <v>116</v>
      </c>
      <c r="B62" s="183">
        <f>B63*0.04</f>
        <v>0.99400800000000011</v>
      </c>
      <c r="C62" s="128" t="str">
        <f t="shared" si="2"/>
        <v>qt</v>
      </c>
      <c r="D62" s="71">
        <f>IF($B$2="US Customary",B62/4,"")</f>
        <v>0.24850200000000003</v>
      </c>
      <c r="E62" s="89" t="str">
        <f>IF($B$2="US Customary","US Gal","")</f>
        <v>US Gal</v>
      </c>
      <c r="F62" s="724" t="s">
        <v>114</v>
      </c>
      <c r="G62" s="724"/>
      <c r="H62" s="725"/>
      <c r="I62" s="597"/>
    </row>
    <row r="63" spans="1:9" x14ac:dyDescent="0.25">
      <c r="A63" s="115" t="s">
        <v>107</v>
      </c>
      <c r="B63" s="183">
        <f>B12+B32+B33+B64</f>
        <v>24.850200000000001</v>
      </c>
      <c r="C63" s="128" t="str">
        <f t="shared" si="1"/>
        <v>qt</v>
      </c>
      <c r="D63" s="71">
        <f>IF($B$2="US Customary",B63/4,"")</f>
        <v>6.2125500000000002</v>
      </c>
      <c r="E63" s="89" t="str">
        <f>IF($B$2="US Customary","US Gal","")</f>
        <v>US Gal</v>
      </c>
      <c r="F63" s="724" t="s">
        <v>1828</v>
      </c>
      <c r="G63" s="724"/>
      <c r="H63" s="725"/>
      <c r="I63" s="597"/>
    </row>
    <row r="64" spans="1:9" ht="13.8" thickBot="1" x14ac:dyDescent="0.3">
      <c r="A64" s="117" t="s">
        <v>1826</v>
      </c>
      <c r="B64" s="235">
        <f>B21*'Hop Calcs'!G17</f>
        <v>0.60020000000000007</v>
      </c>
      <c r="C64" s="236" t="str">
        <f t="shared" si="2"/>
        <v>qt</v>
      </c>
      <c r="D64" s="162">
        <f>IF($B$2="US Customary",B64/4,"")</f>
        <v>0.15005000000000002</v>
      </c>
      <c r="E64" s="121" t="str">
        <f>IF($B$2="US Customary","US Gal","")</f>
        <v>US Gal</v>
      </c>
      <c r="F64" s="722" t="s">
        <v>1829</v>
      </c>
      <c r="G64" s="722"/>
      <c r="H64" s="723"/>
      <c r="I64" s="598"/>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I38:I39"/>
    <mergeCell ref="F28:H28"/>
    <mergeCell ref="I10:I11"/>
    <mergeCell ref="I23:I24"/>
    <mergeCell ref="F21:H21"/>
    <mergeCell ref="F39:H39"/>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D26:E26"/>
    <mergeCell ref="F5:G5"/>
    <mergeCell ref="F11:H11"/>
    <mergeCell ref="F12:H12"/>
    <mergeCell ref="F27:H27"/>
    <mergeCell ref="C27:E2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F49:H49"/>
    <mergeCell ref="F50:H50"/>
    <mergeCell ref="F51:H51"/>
    <mergeCell ref="F48:H48"/>
    <mergeCell ref="F47:H47"/>
    <mergeCell ref="B45:H45"/>
    <mergeCell ref="F44:H44"/>
    <mergeCell ref="B42:H42"/>
    <mergeCell ref="D44:E44"/>
    <mergeCell ref="F43:H43"/>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"Batch,Fly,BIAB,Extract"</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C8" sqref="C8"/>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30"/>
      <c r="C1" s="30"/>
      <c r="D1" s="30"/>
      <c r="F1" s="31"/>
      <c r="G1" s="31"/>
      <c r="H1" s="30"/>
      <c r="I1" s="30"/>
      <c r="J1" s="30"/>
      <c r="K1" s="30"/>
      <c r="L1" s="620"/>
    </row>
    <row r="2" spans="2:14" x14ac:dyDescent="0.25">
      <c r="B2" s="782" t="s">
        <v>136</v>
      </c>
      <c r="C2" s="783"/>
      <c r="D2" s="783"/>
      <c r="E2" s="783"/>
      <c r="F2" s="783"/>
      <c r="G2" s="783"/>
      <c r="H2" s="783"/>
      <c r="I2" s="783"/>
      <c r="J2" s="783"/>
      <c r="K2" s="783"/>
      <c r="L2" s="783"/>
      <c r="M2" s="783"/>
    </row>
    <row r="3" spans="2:14" s="27" customFormat="1" ht="26.4" customHeight="1" x14ac:dyDescent="0.25">
      <c r="B3" s="780" t="s">
        <v>775</v>
      </c>
      <c r="C3" s="64" t="s">
        <v>144</v>
      </c>
      <c r="D3" s="784" t="s">
        <v>95</v>
      </c>
      <c r="E3" s="780" t="s">
        <v>66</v>
      </c>
      <c r="F3" s="780" t="s">
        <v>777</v>
      </c>
      <c r="G3" s="64" t="s">
        <v>1213</v>
      </c>
      <c r="H3" s="780" t="s">
        <v>1193</v>
      </c>
      <c r="I3" s="780" t="s">
        <v>97</v>
      </c>
      <c r="J3" s="780" t="s">
        <v>1211</v>
      </c>
      <c r="K3" s="780" t="s">
        <v>1212</v>
      </c>
      <c r="L3" s="619" t="s">
        <v>2039</v>
      </c>
      <c r="M3"/>
      <c r="N3"/>
    </row>
    <row r="4" spans="2:14" s="27" customFormat="1" x14ac:dyDescent="0.25">
      <c r="B4" s="781"/>
      <c r="C4" s="66" t="str">
        <f>'Brewhouse Setup &amp; Calcs'!$B$6</f>
        <v>lb</v>
      </c>
      <c r="D4" s="785"/>
      <c r="E4" s="781"/>
      <c r="F4" s="781"/>
      <c r="G4" s="65" t="s">
        <v>1192</v>
      </c>
      <c r="H4" s="781"/>
      <c r="I4" s="781"/>
      <c r="J4" s="781"/>
      <c r="K4" s="781"/>
      <c r="L4" s="137"/>
      <c r="M4"/>
      <c r="N4"/>
    </row>
    <row r="5" spans="2:14" x14ac:dyDescent="0.25">
      <c r="B5" s="46" t="s">
        <v>1492</v>
      </c>
      <c r="C5" s="42">
        <v>10.25</v>
      </c>
      <c r="D5" s="84">
        <f t="shared" ref="D5:D13" si="0">IF(ISBLANK(C5),"",C5/$C$16)</f>
        <v>0.74545454545454548</v>
      </c>
      <c r="E5" s="85" t="str">
        <f>IF(ISBLANK(B5),"",VLOOKUP(B5,grains_table[#All],3))</f>
        <v>Grain</v>
      </c>
      <c r="F5" s="82">
        <f>IF(ISBLANK(B5),"",VLOOKUP(B5,grains_table[#All],6,FALSE))</f>
        <v>1.03743334</v>
      </c>
      <c r="G5" s="86">
        <f t="shared" ref="G5:G13" si="1">IF(ISBLANK(B5),"",(F5-1)*1000)</f>
        <v>37.43333999999998</v>
      </c>
      <c r="H5" s="87">
        <f>IF(ISBLANK(B5),"",IF('Brewhouse Setup &amp; Calcs'!$B$2="Metric",2.20462262185*G5*C5,G5*C5))</f>
        <v>383.69173499999977</v>
      </c>
      <c r="I5" s="88">
        <f>IF(ISBLANK(B5),"",IF(E5="Grain",'Brewhouse Setup &amp; Calcs'!$B$17,IF(E5="Sugar",1,)))</f>
        <v>0.78600000000000003</v>
      </c>
      <c r="J5" s="87">
        <f>IF(ISBLANK(B5),"",IF('Brewhouse Setup &amp; Calcs'!$B$2="Metric",H5*I5/(0.264172*'Brewhouse Setup &amp; Calcs'!$B$60),H5*I5/'Brewhouse Setup &amp; Calcs'!$B$60*4))</f>
        <v>42.559905531316986</v>
      </c>
      <c r="K5" s="87">
        <f>IF(ISBLANK(B5),"",IF('Brewhouse Setup &amp; Calcs'!$B$2="Metric",H5*I5/(0.264172*'Brewhouse Setup &amp; Calcs'!$B$63),H5*I5/'Brewhouse Setup &amp; Calcs'!$B$63*4))</f>
        <v>48.543947929594097</v>
      </c>
      <c r="L5" s="83">
        <f>IF(ISBLANK(C5),"",(IF('Brewhouse Setup &amp; Calcs'!$B$2="US Customary",((VLOOKUP(B5,grains_table[#All],7,FALSE)*C5)/('Brewhouse Setup &amp; Calcs'!$B$63/4)),((VLOOKUP(B5,grains_table[#All],7,FALSE)*C5*2.204623)/('Brewhouse Setup &amp; Calcs'!$B$63*1.056688/4)))))</f>
        <v>2.969795011710167</v>
      </c>
    </row>
    <row r="6" spans="2:14" x14ac:dyDescent="0.25">
      <c r="B6" s="68" t="s">
        <v>1832</v>
      </c>
      <c r="C6" s="42">
        <v>3</v>
      </c>
      <c r="D6" s="84">
        <f t="shared" si="0"/>
        <v>0.21818181818181817</v>
      </c>
      <c r="E6" s="85" t="str">
        <f>IF(ISBLANK(B6),"",VLOOKUP(B6,grains_table[#All],3))</f>
        <v>Grain</v>
      </c>
      <c r="F6" s="82">
        <f>IF(ISBLANK(B6),"",VLOOKUP(B6,grains_table[#All],6,FALSE))</f>
        <v>1.03650906</v>
      </c>
      <c r="G6" s="86">
        <f t="shared" si="1"/>
        <v>36.509059999999984</v>
      </c>
      <c r="H6" s="87">
        <f>IF(ISBLANK(B6),"",IF('Brewhouse Setup &amp; Calcs'!$B$2="Metric",2.20462262185*G6*C6,G6*C6))</f>
        <v>109.52717999999996</v>
      </c>
      <c r="I6" s="88">
        <f>IF(ISBLANK(B6),"",IF(E6="Grain",'Brewhouse Setup &amp; Calcs'!$B$17,IF(E6="Sugar",1,)))</f>
        <v>0.78600000000000003</v>
      </c>
      <c r="J6" s="87">
        <f>IF(ISBLANK(B6),"",IF('Brewhouse Setup &amp; Calcs'!$B$2="Metric",H6*I6/(0.264172*'Brewhouse Setup &amp; Calcs'!$B$60),H6*I6/'Brewhouse Setup &amp; Calcs'!$B$60*4))</f>
        <v>12.148988390150109</v>
      </c>
      <c r="K6" s="87">
        <f>IF(ISBLANK(B6),"",IF('Brewhouse Setup &amp; Calcs'!$B$2="Metric",H6*I6/(0.264172*'Brewhouse Setup &amp; Calcs'!$B$63),H6*I6/'Brewhouse Setup &amp; Calcs'!$B$63*4))</f>
        <v>13.857170321365617</v>
      </c>
      <c r="L6" s="83">
        <f>IF(ISBLANK(C6),"",(IF('Brewhouse Setup &amp; Calcs'!$B$2="US Customary",((VLOOKUP(B6,grains_table[#All],7,FALSE)*C6)/('Brewhouse Setup &amp; Calcs'!$B$63/4)),((VLOOKUP(B6,grains_table[#All],7,FALSE)*C6*2.204623)/('Brewhouse Setup &amp; Calcs'!$B$63*1.056688/4)))))</f>
        <v>1.6901272424366804</v>
      </c>
    </row>
    <row r="7" spans="2:14" x14ac:dyDescent="0.25">
      <c r="B7" s="68" t="s">
        <v>1464</v>
      </c>
      <c r="C7" s="42">
        <v>0.5</v>
      </c>
      <c r="D7" s="84">
        <f t="shared" si="0"/>
        <v>3.6363636363636362E-2</v>
      </c>
      <c r="E7" s="85" t="str">
        <f>IF(ISBLANK(B7),"",VLOOKUP(B7,grains_table[#All],3))</f>
        <v>Grain</v>
      </c>
      <c r="F7" s="82">
        <f>IF(ISBLANK(B7),"",VLOOKUP(B7,grains_table[#All],6,FALSE))</f>
        <v>1.03558478</v>
      </c>
      <c r="G7" s="86">
        <f t="shared" si="1"/>
        <v>35.584779999999981</v>
      </c>
      <c r="H7" s="87">
        <f>IF(ISBLANK(B7),"",IF('Brewhouse Setup &amp; Calcs'!$B$2="Metric",2.20462262185*G7*C7,G7*C7))</f>
        <v>17.79238999999999</v>
      </c>
      <c r="I7" s="88">
        <f>IF(ISBLANK(B7),"",IF(E7="Grain",'Brewhouse Setup &amp; Calcs'!$B$17,IF(E7="Sugar",1,)))</f>
        <v>0.78600000000000003</v>
      </c>
      <c r="J7" s="87">
        <f>IF(ISBLANK(B7),"",IF('Brewhouse Setup &amp; Calcs'!$B$2="Metric",H7*I7/(0.264172*'Brewhouse Setup &amp; Calcs'!$B$60),H7*I7/'Brewhouse Setup &amp; Calcs'!$B$60*4))</f>
        <v>1.9735698439695324</v>
      </c>
      <c r="K7" s="87">
        <f>IF(ISBLANK(B7),"",IF('Brewhouse Setup &amp; Calcs'!$B$2="Metric",H7*I7/(0.264172*'Brewhouse Setup &amp; Calcs'!$B$63),H7*I7/'Brewhouse Setup &amp; Calcs'!$B$63*4))</f>
        <v>2.2510593138083386</v>
      </c>
      <c r="L7" s="83">
        <f>IF(ISBLANK(C7),"",(IF('Brewhouse Setup &amp; Calcs'!$B$2="US Customary",((VLOOKUP(B7,grains_table[#All],7,FALSE)*C7)/('Brewhouse Setup &amp; Calcs'!$B$63/4)),((VLOOKUP(B7,grains_table[#All],7,FALSE)*C7*2.204623)/('Brewhouse Setup &amp; Calcs'!$B$63*1.056688/4)))))</f>
        <v>3.2192899855936772</v>
      </c>
    </row>
    <row r="8" spans="2:14"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Customary",((VLOOKUP(B8,grains_table[#All],7,FALSE)*C8)/('Brewhouse Setup &amp; Calcs'!$B$63/4)),((VLOOKUP(B8,grains_table[#All],7,FALSE)*C8*2.204623)/('Brewhouse Setup &amp; Calcs'!$B$63*1.056688/4)))))</f>
        <v/>
      </c>
    </row>
    <row r="9" spans="2:14"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Customary",((VLOOKUP(B9,grains_table[#All],7,FALSE)*C9)/('Brewhouse Setup &amp; Calcs'!$B$63/4)),((VLOOKUP(B9,grains_table[#All],7,FALSE)*C9*2.204623)/('Brewhouse Setup &amp; Calcs'!$B$63*1.056688/4)))))</f>
        <v/>
      </c>
    </row>
    <row r="10" spans="2:14"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Customary",((VLOOKUP(B10,grains_table[#All],7,FALSE)*C10)/('Brewhouse Setup &amp; Calcs'!$B$63/4)),((VLOOKUP(B10,grains_table[#All],7,FALSE)*C10*2.204623)/('Brewhouse Setup &amp; Calcs'!$B$63*1.056688/4)))))</f>
        <v/>
      </c>
    </row>
    <row r="11" spans="2:14"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Customary",((VLOOKUP(B11,grains_table[#All],7,FALSE)*C11)/('Brewhouse Setup &amp; Calcs'!$B$63/4)),((VLOOKUP(B11,grains_table[#All],7,FALSE)*C11*2.204623)/('Brewhouse Setup &amp; Calcs'!$B$63*1.056688/4)))))</f>
        <v/>
      </c>
    </row>
    <row r="12" spans="2:14"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Customary",((VLOOKUP(B12,grains_table[#All],7,FALSE)*C12)/('Brewhouse Setup &amp; Calcs'!$B$63/4)),((VLOOKUP(B12,grains_table[#All],7,FALSE)*C12*2.204623)/('Brewhouse Setup &amp; Calcs'!$B$63*1.056688/4)))))</f>
        <v/>
      </c>
    </row>
    <row r="13" spans="2:14"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Customary",((VLOOKUP(B13,grains_table[#All],7,FALSE)*C13)/('Brewhouse Setup &amp; Calcs'!$B$63/4)),((VLOOKUP(B13,grains_table[#All],7,FALSE)*C13*2.204623)/('Brewhouse Setup &amp; Calcs'!$B$63*1.056688/4)))))</f>
        <v/>
      </c>
    </row>
    <row r="14" spans="2:14" x14ac:dyDescent="0.25">
      <c r="B14" s="24" t="s">
        <v>99</v>
      </c>
      <c r="C14" s="58">
        <f>SUMIF($E$5:$E$13,"Grain",$C$5:$C$13)</f>
        <v>13.75</v>
      </c>
      <c r="D14" s="74">
        <f>SUMIF($E$5:$E$13,"Grain",$D$5:$D$13)</f>
        <v>1</v>
      </c>
      <c r="G14" s="50" t="s">
        <v>1187</v>
      </c>
      <c r="H14" s="72">
        <f>SUMIF($E$5:$E$13,"Grain",$H$5:$H$13)</f>
        <v>511.01130499999971</v>
      </c>
      <c r="I14" s="24"/>
      <c r="J14" s="72">
        <f>SUMIF($E$5:$E$13,"Grain",$J$5:$J$13)</f>
        <v>56.68246376543663</v>
      </c>
      <c r="K14" s="72">
        <f>SUMIF($E$5:$E$13,"Grain",$K$5:$K$13)</f>
        <v>64.652177564768053</v>
      </c>
      <c r="L14" s="622"/>
    </row>
    <row r="15" spans="2:14" x14ac:dyDescent="0.25">
      <c r="B15" s="50" t="s">
        <v>931</v>
      </c>
      <c r="C15" s="58">
        <f>SUMIF($E$5:$E$13,"Sugar",$C$5:$C$13)</f>
        <v>0</v>
      </c>
      <c r="D15" s="74">
        <f>SUMIF($E$5:$E$13,"Sugar",$D$5:$D$13)</f>
        <v>0</v>
      </c>
      <c r="G15" s="50" t="s">
        <v>1188</v>
      </c>
      <c r="H15" s="72">
        <f>SUMIF($E$5:$E$13,"Sugar",$H$5:$H$13)</f>
        <v>0</v>
      </c>
      <c r="I15" s="24"/>
      <c r="J15" s="72">
        <f>SUMIF($E$5:$E$13,"Sugar",$J$5:$J$13)</f>
        <v>0</v>
      </c>
      <c r="K15" s="72">
        <f>SUMIF($E$5:$E$13,"Sugar",$K$5:$K$13)</f>
        <v>0</v>
      </c>
      <c r="L15" s="623" t="s">
        <v>2040</v>
      </c>
    </row>
    <row r="16" spans="2:14" x14ac:dyDescent="0.25">
      <c r="B16" s="45" t="s">
        <v>137</v>
      </c>
      <c r="C16" s="58">
        <f>C14+C15</f>
        <v>13.75</v>
      </c>
      <c r="D16" s="74">
        <f>D14+D15</f>
        <v>1</v>
      </c>
      <c r="G16" s="50" t="s">
        <v>137</v>
      </c>
      <c r="H16" s="72">
        <f>SUM(H5:H13)</f>
        <v>511.01130499999971</v>
      </c>
      <c r="J16" s="72">
        <f>SUM(J5:J13)</f>
        <v>56.68246376543663</v>
      </c>
      <c r="K16" s="72">
        <f>SUM(K5:K13)</f>
        <v>64.652177564768053</v>
      </c>
      <c r="L16" s="621">
        <f>SUM(L5:L13)</f>
        <v>7.8792122397405251</v>
      </c>
    </row>
    <row r="17" spans="5:12" x14ac:dyDescent="0.25">
      <c r="L17" s="625" t="s">
        <v>1346</v>
      </c>
    </row>
    <row r="18" spans="5:12" x14ac:dyDescent="0.25">
      <c r="I18" s="45" t="s">
        <v>138</v>
      </c>
      <c r="J18" s="34">
        <f>SUMIF($E$5:$E$13,"Grain",$J$5:$J$13)*(IF(H4="PKL",2.205,1))/1000+1</f>
        <v>1.0566824637654366</v>
      </c>
      <c r="L18" s="624">
        <f>1.4922*L16^0.6859</f>
        <v>6.1478687544093047</v>
      </c>
    </row>
    <row r="19" spans="5:12" x14ac:dyDescent="0.25">
      <c r="I19" s="45" t="s">
        <v>1189</v>
      </c>
      <c r="J19" s="73">
        <f>SUMIF($E$5:$E$13,"Sugar",$J$5:$J$13)/1000+1</f>
        <v>1</v>
      </c>
    </row>
    <row r="20" spans="5:12" x14ac:dyDescent="0.25">
      <c r="I20" s="45" t="s">
        <v>140</v>
      </c>
      <c r="J20" s="73">
        <f>SUM(J5:J13)/1000+1</f>
        <v>1.0566824637654366</v>
      </c>
      <c r="K20" s="34">
        <f>SUM(K5:K13)/1000+1</f>
        <v>1.0646521775647682</v>
      </c>
    </row>
    <row r="21" spans="5:12" x14ac:dyDescent="0.25">
      <c r="E21" s="23"/>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List'!$A$3:$A$236</xm:f>
          </x14:formula1>
          <xm:sqref>B6:B13</xm:sqref>
        </x14:dataValidation>
        <x14:dataValidation type="list" allowBlank="1" showInputMessage="1" showErrorMessage="1" xr:uid="{D5F2FB99-9269-4B3B-8C8A-DBB29B40D0B6}">
          <x14:formula1>
            <xm:f>'Grain &amp; Sugar List'!$A$2:$A$236</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10" sqref="E10"/>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71" t="s">
        <v>117</v>
      </c>
      <c r="D1" s="771"/>
      <c r="E1" s="771"/>
      <c r="F1" s="771"/>
      <c r="G1" s="771"/>
      <c r="H1" s="771"/>
      <c r="I1" s="771"/>
      <c r="J1" s="771"/>
      <c r="K1" s="771"/>
    </row>
    <row r="2" spans="1:12" x14ac:dyDescent="0.25">
      <c r="C2" s="33" t="s">
        <v>131</v>
      </c>
      <c r="D2" s="593">
        <v>0.1</v>
      </c>
      <c r="E2" s="24" t="s">
        <v>120</v>
      </c>
      <c r="F2" s="43">
        <v>0</v>
      </c>
      <c r="H2" s="592" t="s">
        <v>118</v>
      </c>
      <c r="I2" s="593">
        <v>0.1</v>
      </c>
      <c r="J2" s="592" t="s">
        <v>119</v>
      </c>
      <c r="K2" s="593">
        <v>0.05</v>
      </c>
    </row>
    <row r="3" spans="1:12" x14ac:dyDescent="0.25">
      <c r="C3" s="594" t="s">
        <v>2027</v>
      </c>
      <c r="D3" s="609">
        <v>0.33300000000000002</v>
      </c>
    </row>
    <row r="4" spans="1:12" x14ac:dyDescent="0.25">
      <c r="C4" s="771" t="s">
        <v>94</v>
      </c>
      <c r="D4" s="771"/>
      <c r="E4" s="771"/>
      <c r="F4" s="771"/>
      <c r="G4" s="786"/>
      <c r="H4" s="771"/>
      <c r="I4" s="771"/>
      <c r="J4" s="771"/>
      <c r="K4" s="771"/>
    </row>
    <row r="5" spans="1:12" ht="30.6" customHeight="1" x14ac:dyDescent="0.25">
      <c r="C5" s="780" t="s">
        <v>93</v>
      </c>
      <c r="D5" s="780" t="s">
        <v>66</v>
      </c>
      <c r="E5" s="780" t="s">
        <v>91</v>
      </c>
      <c r="F5" s="784" t="s">
        <v>92</v>
      </c>
      <c r="G5" s="67" t="s">
        <v>145</v>
      </c>
      <c r="H5" s="780" t="s">
        <v>1194</v>
      </c>
      <c r="I5" s="780" t="s">
        <v>98</v>
      </c>
      <c r="J5" s="780" t="s">
        <v>88</v>
      </c>
      <c r="K5" s="780" t="s">
        <v>87</v>
      </c>
    </row>
    <row r="6" spans="1:12" x14ac:dyDescent="0.25">
      <c r="C6" s="781"/>
      <c r="D6" s="781"/>
      <c r="E6" s="781"/>
      <c r="F6" s="785"/>
      <c r="G6" s="66" t="str">
        <f>'Brewhouse Setup &amp; Calcs'!$B$7</f>
        <v>oz</v>
      </c>
      <c r="H6" s="781"/>
      <c r="I6" s="781"/>
      <c r="J6" s="781"/>
      <c r="K6" s="781"/>
    </row>
    <row r="7" spans="1:12" x14ac:dyDescent="0.25">
      <c r="A7" s="591" t="str">
        <f t="shared" ref="A7:A8" si="0">IF(C7="Hop Stand","Time (min):","")</f>
        <v/>
      </c>
      <c r="B7" s="599"/>
      <c r="C7" s="68">
        <v>45</v>
      </c>
      <c r="D7" s="46" t="s">
        <v>2078</v>
      </c>
      <c r="E7" s="59" t="s">
        <v>198</v>
      </c>
      <c r="F7" s="44">
        <v>10.8</v>
      </c>
      <c r="G7" s="42">
        <v>1.1559999999999999</v>
      </c>
      <c r="H7" s="80">
        <f>IF(ISBLANK(G7),"",IF($G$6="grams",F7*G7/28.346,F7*G7))</f>
        <v>12.4848</v>
      </c>
      <c r="I7" s="81">
        <f>1+IF(D7="Leaf",0,IF(D7="Pellet",$I$2,IF(D7="Plug",$K$2,)))+IF(C7="FWH",$D$2,)</f>
        <v>1.1000000000000001</v>
      </c>
      <c r="J7" s="82">
        <f>(1.65*0.000125^(('Grain &amp; Sugar Calcs'!$J$20+'Grain &amp; Sugar Calcs'!$K$20)/2-1))*((1-EXP(-0.04*IF(C7="Hop Stand",$D$3*B7,IF(C7="Dry Hop",0,IF(C7="FWH",'Brewhouse Setup &amp; Calcs'!$B$18,C7)))))/4.15)*I7</f>
        <v>0.21162623852347123</v>
      </c>
      <c r="K7" s="83">
        <f>(F7*IF('Brewhouse Setup &amp; Calcs'!$B$7="grams",G7/28.349523,G7)*J7*74.89/IF($G$6="grams",'Brewhouse Setup &amp; Calcs'!$B$63*1.056688/4,'Brewhouse Setup &amp; Calcs'!$B$63/4))</f>
        <v>31.849677260535298</v>
      </c>
    </row>
    <row r="8" spans="1:12" x14ac:dyDescent="0.25">
      <c r="A8" s="591" t="str">
        <f t="shared" si="0"/>
        <v/>
      </c>
      <c r="B8" s="599"/>
      <c r="C8" s="68">
        <v>30</v>
      </c>
      <c r="D8" s="68" t="s">
        <v>2078</v>
      </c>
      <c r="E8" s="181" t="s">
        <v>198</v>
      </c>
      <c r="F8" s="44">
        <v>10.8</v>
      </c>
      <c r="G8" s="42">
        <v>1.1559999999999999</v>
      </c>
      <c r="H8" s="80">
        <f t="shared" ref="H8:H15" si="1">IF(ISBLANK(G8),"",IF($G$6="grams",F8*G8/28.346,F8*G8))</f>
        <v>12.4848</v>
      </c>
      <c r="I8" s="81">
        <f t="shared" ref="I8:I15" si="2">1+IF(D8="Leaf",0,IF(D8="Pellet",$I$2,IF(D8="Plug",$K$2,)))+IF(C8="FWH",$D$2,)</f>
        <v>1.1000000000000001</v>
      </c>
      <c r="J8" s="82">
        <f>(1.65*0.000125^(('Grain &amp; Sugar Calcs'!$J$20+'Grain &amp; Sugar Calcs'!$K$20)/2-1))*((1-EXP(-0.04*IF(C8="Hop Stand",$D$3*B8,IF(C8="Dry Hop",0,IF(C8="FWH",'Brewhouse Setup &amp; Calcs'!$B$18,C8)))))/4.15)*I8</f>
        <v>0.17717197006766364</v>
      </c>
      <c r="K8" s="83">
        <f>(F8*IF('Brewhouse Setup &amp; Calcs'!$B$7="grams",G8/28.349523,G8)*J8*74.89/IF($G$6="grams",'Brewhouse Setup &amp; Calcs'!$B$63*1.056688/4,'Brewhouse Setup &amp; Calcs'!$B$63/4))</f>
        <v>26.664321520993543</v>
      </c>
    </row>
    <row r="9" spans="1:12" x14ac:dyDescent="0.25">
      <c r="A9" s="591" t="str">
        <f>IF(C9="Hop Stand","Time (min):","")</f>
        <v/>
      </c>
      <c r="B9" s="599"/>
      <c r="C9" s="182" t="s">
        <v>2079</v>
      </c>
      <c r="D9" s="182" t="s">
        <v>2078</v>
      </c>
      <c r="E9" s="182" t="s">
        <v>198</v>
      </c>
      <c r="F9" s="44">
        <v>10.8</v>
      </c>
      <c r="G9" s="42">
        <v>3.69</v>
      </c>
      <c r="H9" s="80">
        <f t="shared" si="1"/>
        <v>39.852000000000004</v>
      </c>
      <c r="I9" s="81">
        <f t="shared" si="2"/>
        <v>1.1000000000000001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591" t="str">
        <f t="shared" ref="A10:A15" si="3">IF(C10="Hop Stand","Time (min):","")</f>
        <v/>
      </c>
      <c r="B10" s="599"/>
      <c r="C10" s="182"/>
      <c r="D10" s="182"/>
      <c r="E10" s="182"/>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591" t="str">
        <f t="shared" si="3"/>
        <v/>
      </c>
      <c r="B11" s="599"/>
      <c r="C11" s="182"/>
      <c r="D11" s="182"/>
      <c r="E11" s="182"/>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591" t="str">
        <f t="shared" si="3"/>
        <v/>
      </c>
      <c r="B12" s="599"/>
      <c r="C12" s="182"/>
      <c r="D12" s="182"/>
      <c r="E12" s="182"/>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591" t="str">
        <f t="shared" si="3"/>
        <v/>
      </c>
      <c r="B13" s="599"/>
      <c r="C13" s="182"/>
      <c r="D13" s="182"/>
      <c r="E13" s="182"/>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591" t="str">
        <f t="shared" si="3"/>
        <v/>
      </c>
      <c r="B14" s="599"/>
      <c r="C14" s="182"/>
      <c r="D14" s="182"/>
      <c r="E14" s="182"/>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591" t="str">
        <f t="shared" si="3"/>
        <v/>
      </c>
      <c r="B15" s="599"/>
      <c r="C15" s="182"/>
      <c r="D15" s="182"/>
      <c r="E15" s="182"/>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58.513998781528841</v>
      </c>
      <c r="L16" s="25" t="s">
        <v>90</v>
      </c>
    </row>
    <row r="17" spans="4:7" x14ac:dyDescent="0.25">
      <c r="D17" s="35"/>
      <c r="F17" s="191" t="s">
        <v>1793</v>
      </c>
      <c r="G17" s="80">
        <f>SUM(G7:G16)</f>
        <v>6.0019999999999998</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topLeftCell="A28" zoomScale="85" workbookViewId="0">
      <selection activeCell="F43" sqref="F43"/>
    </sheetView>
  </sheetViews>
  <sheetFormatPr defaultRowHeight="13.2" x14ac:dyDescent="0.25"/>
  <cols>
    <col min="1" max="2" width="1.6640625" customWidth="1"/>
    <col min="3" max="3" width="29.6640625" style="238"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33" t="s">
        <v>1954</v>
      </c>
      <c r="D1" s="833"/>
      <c r="E1" s="833"/>
      <c r="F1" s="833"/>
      <c r="G1" s="833"/>
      <c r="H1" s="833"/>
      <c r="I1" s="833"/>
      <c r="J1" s="833"/>
      <c r="K1" s="833"/>
      <c r="L1" s="238"/>
    </row>
    <row r="2" spans="2:12" ht="15" customHeight="1" x14ac:dyDescent="0.25">
      <c r="B2" s="244"/>
      <c r="C2" s="245" t="s">
        <v>1836</v>
      </c>
      <c r="D2" s="246"/>
      <c r="E2" s="246"/>
      <c r="F2" s="246"/>
      <c r="G2" s="246"/>
      <c r="H2" s="246"/>
      <c r="I2" s="246"/>
      <c r="J2" s="246"/>
      <c r="K2" s="247"/>
      <c r="L2" s="238"/>
    </row>
    <row r="3" spans="2:12" ht="15" customHeight="1" x14ac:dyDescent="0.35">
      <c r="B3" s="248"/>
      <c r="C3" s="249"/>
      <c r="D3" s="250" t="s">
        <v>1837</v>
      </c>
      <c r="E3" s="250" t="s">
        <v>1838</v>
      </c>
      <c r="F3" s="250" t="s">
        <v>1839</v>
      </c>
      <c r="G3" s="250" t="s">
        <v>1840</v>
      </c>
      <c r="H3" s="250" t="s">
        <v>1841</v>
      </c>
      <c r="I3" s="834" t="s">
        <v>1842</v>
      </c>
      <c r="J3" s="834"/>
      <c r="K3" s="835">
        <v>2</v>
      </c>
      <c r="L3" s="238"/>
    </row>
    <row r="4" spans="2:12" ht="15" customHeight="1" x14ac:dyDescent="0.35">
      <c r="B4" s="248"/>
      <c r="C4" s="251" t="s">
        <v>1843</v>
      </c>
      <c r="D4" s="252" t="s">
        <v>1844</v>
      </c>
      <c r="E4" s="252" t="s">
        <v>1845</v>
      </c>
      <c r="F4" s="252" t="s">
        <v>1846</v>
      </c>
      <c r="G4" s="252" t="s">
        <v>1847</v>
      </c>
      <c r="H4" s="252" t="s">
        <v>1848</v>
      </c>
      <c r="I4" s="836" t="s">
        <v>1849</v>
      </c>
      <c r="J4" s="836"/>
      <c r="K4" s="835"/>
      <c r="L4" s="238"/>
    </row>
    <row r="5" spans="2:12" s="257" customFormat="1" ht="18" customHeight="1" x14ac:dyDescent="0.25">
      <c r="B5" s="253"/>
      <c r="C5" s="254" t="s">
        <v>1850</v>
      </c>
      <c r="D5" s="582">
        <f>'Recipe Sheet'!N8</f>
        <v>37</v>
      </c>
      <c r="E5" s="582">
        <f>'Recipe Sheet'!N9</f>
        <v>12</v>
      </c>
      <c r="F5" s="582">
        <f>'Recipe Sheet'!N10</f>
        <v>9</v>
      </c>
      <c r="G5" s="582">
        <f>'Recipe Sheet'!N11</f>
        <v>16</v>
      </c>
      <c r="H5" s="582">
        <f>'Recipe Sheet'!N12</f>
        <v>25</v>
      </c>
      <c r="I5" s="582">
        <f>'Recipe Sheet'!N13</f>
        <v>102</v>
      </c>
      <c r="J5" s="255"/>
      <c r="K5" s="256"/>
    </row>
    <row r="6" spans="2:12" ht="15" customHeight="1" x14ac:dyDescent="0.25">
      <c r="B6" s="248"/>
      <c r="C6" s="258" t="s">
        <v>1851</v>
      </c>
      <c r="D6" s="250"/>
      <c r="E6" s="259"/>
      <c r="F6" s="260"/>
      <c r="G6" s="260"/>
      <c r="H6" s="261"/>
      <c r="I6" s="261"/>
      <c r="J6" s="262"/>
      <c r="K6" s="263"/>
      <c r="L6" s="238"/>
    </row>
    <row r="7" spans="2:12" ht="15" customHeight="1" x14ac:dyDescent="0.25">
      <c r="B7" s="248"/>
      <c r="C7" s="251" t="s">
        <v>1852</v>
      </c>
      <c r="D7" s="250" t="s">
        <v>1853</v>
      </c>
      <c r="E7" s="250" t="s">
        <v>1854</v>
      </c>
      <c r="F7" s="250"/>
      <c r="G7" s="264"/>
      <c r="H7" s="262"/>
      <c r="I7" s="837" t="s">
        <v>1855</v>
      </c>
      <c r="J7" s="837"/>
      <c r="K7" s="838"/>
      <c r="L7" s="238"/>
    </row>
    <row r="8" spans="2:12" s="257" customFormat="1" ht="18" customHeight="1" x14ac:dyDescent="0.25">
      <c r="B8" s="253"/>
      <c r="C8" s="265" t="s">
        <v>1856</v>
      </c>
      <c r="D8" s="545">
        <f>IF('Brewhouse Setup &amp; Calcs'!$B$2="US Customary",'Brewhouse Setup &amp; Calcs'!B43/4,"NA")</f>
        <v>5.15625</v>
      </c>
      <c r="E8" s="545">
        <f>IF('Brewhouse Setup &amp; Calcs'!$B$2="US Customary",'Brewhouse Setup &amp; Calcs'!B48/4,"NA")</f>
        <v>3.8204270000000005</v>
      </c>
      <c r="F8" s="264"/>
      <c r="G8" s="264"/>
      <c r="H8" s="262"/>
      <c r="I8" s="837"/>
      <c r="J8" s="837"/>
      <c r="K8" s="838"/>
    </row>
    <row r="9" spans="2:12" s="257" customFormat="1" ht="18" customHeight="1" x14ac:dyDescent="0.25">
      <c r="B9" s="253"/>
      <c r="C9" s="265" t="s">
        <v>1857</v>
      </c>
      <c r="D9" s="627">
        <v>0</v>
      </c>
      <c r="E9" s="627">
        <v>0</v>
      </c>
      <c r="F9" s="264"/>
      <c r="G9" s="264"/>
      <c r="H9" s="262"/>
      <c r="I9" s="837"/>
      <c r="J9" s="837"/>
      <c r="K9" s="838"/>
    </row>
    <row r="10" spans="2:12" s="257" customFormat="1" ht="15" customHeight="1" thickBot="1" x14ac:dyDescent="0.3">
      <c r="B10" s="266"/>
      <c r="C10" s="267"/>
      <c r="D10" s="268"/>
      <c r="E10" s="268"/>
      <c r="F10" s="268"/>
      <c r="G10" s="268"/>
      <c r="H10" s="269"/>
      <c r="I10" s="839"/>
      <c r="J10" s="839"/>
      <c r="K10" s="840"/>
    </row>
    <row r="11" spans="2:12" s="257" customFormat="1" ht="15" customHeight="1" x14ac:dyDescent="0.25">
      <c r="B11" s="270"/>
      <c r="C11" s="271" t="s">
        <v>1858</v>
      </c>
      <c r="D11" s="272"/>
      <c r="E11" s="272"/>
      <c r="F11" s="272"/>
      <c r="G11" s="273" t="s">
        <v>1859</v>
      </c>
      <c r="H11" s="274"/>
      <c r="I11" s="274" t="s">
        <v>1860</v>
      </c>
      <c r="J11" s="274" t="s">
        <v>1861</v>
      </c>
      <c r="K11" s="275"/>
    </row>
    <row r="12" spans="2:12" s="257" customFormat="1" ht="15" customHeight="1" x14ac:dyDescent="0.25">
      <c r="B12" s="276"/>
      <c r="C12" s="277"/>
      <c r="D12" s="278" t="s">
        <v>1862</v>
      </c>
      <c r="E12" s="278" t="s">
        <v>1863</v>
      </c>
      <c r="F12" s="278" t="s">
        <v>1864</v>
      </c>
      <c r="G12" s="274" t="s">
        <v>1787</v>
      </c>
      <c r="H12" s="279">
        <v>1</v>
      </c>
      <c r="I12" s="280" t="s">
        <v>1865</v>
      </c>
      <c r="J12" s="281"/>
      <c r="K12" s="282"/>
    </row>
    <row r="13" spans="2:12" s="257" customFormat="1" ht="15" customHeight="1" x14ac:dyDescent="0.25">
      <c r="B13" s="276"/>
      <c r="C13" s="283"/>
      <c r="D13" s="587" t="s">
        <v>66</v>
      </c>
      <c r="E13" s="278" t="s">
        <v>1866</v>
      </c>
      <c r="F13" s="284" t="s">
        <v>1867</v>
      </c>
      <c r="G13" s="274" t="s">
        <v>1868</v>
      </c>
      <c r="H13" s="279">
        <v>2</v>
      </c>
      <c r="I13" s="285" t="s">
        <v>1869</v>
      </c>
      <c r="J13" s="286">
        <v>5.7</v>
      </c>
      <c r="K13" s="287"/>
    </row>
    <row r="14" spans="2:12" s="257" customFormat="1" ht="18" customHeight="1" x14ac:dyDescent="0.25">
      <c r="B14" s="276"/>
      <c r="C14" s="832" t="s">
        <v>1870</v>
      </c>
      <c r="D14" s="586">
        <v>2</v>
      </c>
      <c r="E14" s="545">
        <f>IF('Brewhouse Setup &amp; Calcs'!$B$2="US Customary",'Grain &amp; Sugar Calcs'!C5,"NA")</f>
        <v>10.25</v>
      </c>
      <c r="F14" s="585">
        <v>0</v>
      </c>
      <c r="G14" s="288">
        <f t="shared" ref="G14:G22" si="0">IF(D14=10,5.22-0.00504*F14,VLOOKUP(D14,H$12:J$22,3,FALSE))</f>
        <v>5.7</v>
      </c>
      <c r="H14" s="279">
        <v>3</v>
      </c>
      <c r="I14" s="285" t="s">
        <v>1871</v>
      </c>
      <c r="J14" s="286">
        <v>5.79</v>
      </c>
      <c r="K14" s="287"/>
    </row>
    <row r="15" spans="2:12" s="257" customFormat="1" ht="18" customHeight="1" x14ac:dyDescent="0.25">
      <c r="B15" s="276"/>
      <c r="C15" s="832"/>
      <c r="D15" s="586">
        <v>2</v>
      </c>
      <c r="E15" s="545">
        <f>IF('Brewhouse Setup &amp; Calcs'!$B$2="US Customary",'Grain &amp; Sugar Calcs'!C6,"NA")</f>
        <v>3</v>
      </c>
      <c r="F15" s="585">
        <v>0</v>
      </c>
      <c r="G15" s="288">
        <f t="shared" si="0"/>
        <v>5.7</v>
      </c>
      <c r="H15" s="279">
        <v>4</v>
      </c>
      <c r="I15" s="285" t="s">
        <v>1872</v>
      </c>
      <c r="J15" s="286">
        <v>5.77</v>
      </c>
      <c r="K15" s="287"/>
    </row>
    <row r="16" spans="2:12" s="257" customFormat="1" ht="18" customHeight="1" x14ac:dyDescent="0.25">
      <c r="B16" s="276"/>
      <c r="C16" s="832"/>
      <c r="D16" s="586">
        <v>10</v>
      </c>
      <c r="E16" s="545">
        <f>IF('Brewhouse Setup &amp; Calcs'!$B$2="US Customary",'Grain &amp; Sugar Calcs'!C7,"NA")</f>
        <v>0.5</v>
      </c>
      <c r="F16" s="585">
        <v>40</v>
      </c>
      <c r="G16" s="288">
        <f t="shared" si="0"/>
        <v>5.0183999999999997</v>
      </c>
      <c r="H16" s="279">
        <v>5</v>
      </c>
      <c r="I16" s="285" t="s">
        <v>1873</v>
      </c>
      <c r="J16" s="286">
        <v>5.43</v>
      </c>
      <c r="K16" s="287"/>
    </row>
    <row r="17" spans="2:12" s="257" customFormat="1" ht="18" customHeight="1" x14ac:dyDescent="0.25">
      <c r="B17" s="276"/>
      <c r="C17" s="832"/>
      <c r="D17" s="586">
        <v>1</v>
      </c>
      <c r="E17" s="545">
        <f>IF('Brewhouse Setup &amp; Calcs'!$B$2="US Customary",'Grain &amp; Sugar Calcs'!C8,"NA")</f>
        <v>0</v>
      </c>
      <c r="F17" s="585">
        <v>0</v>
      </c>
      <c r="G17" s="288">
        <f t="shared" si="0"/>
        <v>0</v>
      </c>
      <c r="H17" s="279">
        <v>6</v>
      </c>
      <c r="I17" s="285" t="s">
        <v>1874</v>
      </c>
      <c r="J17" s="286">
        <v>5.75</v>
      </c>
      <c r="K17" s="287"/>
    </row>
    <row r="18" spans="2:12" s="257" customFormat="1" ht="18" customHeight="1" x14ac:dyDescent="0.25">
      <c r="B18" s="276"/>
      <c r="C18" s="832"/>
      <c r="D18" s="586">
        <v>1</v>
      </c>
      <c r="E18" s="545">
        <f>IF('Brewhouse Setup &amp; Calcs'!$B$2="US Customary",'Grain &amp; Sugar Calcs'!C9,"NA")</f>
        <v>0</v>
      </c>
      <c r="F18" s="585">
        <v>0</v>
      </c>
      <c r="G18" s="288">
        <f t="shared" si="0"/>
        <v>0</v>
      </c>
      <c r="H18" s="279">
        <v>7</v>
      </c>
      <c r="I18" s="285" t="s">
        <v>1875</v>
      </c>
      <c r="J18" s="286">
        <v>6.04</v>
      </c>
      <c r="K18" s="287"/>
    </row>
    <row r="19" spans="2:12" s="257" customFormat="1" ht="18" customHeight="1" x14ac:dyDescent="0.25">
      <c r="B19" s="276"/>
      <c r="C19" s="832"/>
      <c r="D19" s="586">
        <v>1</v>
      </c>
      <c r="E19" s="545">
        <f>IF('Brewhouse Setup &amp; Calcs'!$B$2="US Customary",'Grain &amp; Sugar Calcs'!C10,"NA")</f>
        <v>0</v>
      </c>
      <c r="F19" s="585">
        <v>0</v>
      </c>
      <c r="G19" s="288">
        <f t="shared" si="0"/>
        <v>0</v>
      </c>
      <c r="H19" s="279">
        <v>8</v>
      </c>
      <c r="I19" s="285" t="s">
        <v>1876</v>
      </c>
      <c r="J19" s="286">
        <v>5.56</v>
      </c>
      <c r="K19" s="287"/>
    </row>
    <row r="20" spans="2:12" s="257" customFormat="1" ht="18" customHeight="1" x14ac:dyDescent="0.25">
      <c r="B20" s="276"/>
      <c r="C20" s="832"/>
      <c r="D20" s="586">
        <v>1</v>
      </c>
      <c r="E20" s="545">
        <f>IF('Brewhouse Setup &amp; Calcs'!$B$2="US Customary",'Grain &amp; Sugar Calcs'!C11,"NA")</f>
        <v>0</v>
      </c>
      <c r="F20" s="585">
        <v>0</v>
      </c>
      <c r="G20" s="288">
        <f t="shared" si="0"/>
        <v>0</v>
      </c>
      <c r="H20" s="279">
        <v>9</v>
      </c>
      <c r="I20" s="285" t="s">
        <v>1877</v>
      </c>
      <c r="J20" s="286">
        <v>5.7</v>
      </c>
      <c r="K20" s="287"/>
    </row>
    <row r="21" spans="2:12" s="257" customFormat="1" ht="18" customHeight="1" x14ac:dyDescent="0.25">
      <c r="B21" s="276"/>
      <c r="C21" s="832"/>
      <c r="D21" s="586">
        <v>1</v>
      </c>
      <c r="E21" s="545">
        <f>IF('Brewhouse Setup &amp; Calcs'!$B$2="US Customary",'Grain &amp; Sugar Calcs'!C12,"NA")</f>
        <v>0</v>
      </c>
      <c r="F21" s="585">
        <v>0</v>
      </c>
      <c r="G21" s="288">
        <f t="shared" si="0"/>
        <v>0</v>
      </c>
      <c r="H21" s="279">
        <v>10</v>
      </c>
      <c r="I21" s="285" t="s">
        <v>1878</v>
      </c>
      <c r="J21" s="286" t="s">
        <v>1879</v>
      </c>
      <c r="K21" s="287"/>
    </row>
    <row r="22" spans="2:12" s="257" customFormat="1" ht="18" customHeight="1" x14ac:dyDescent="0.25">
      <c r="B22" s="276"/>
      <c r="C22" s="832"/>
      <c r="D22" s="586">
        <v>1</v>
      </c>
      <c r="E22" s="545">
        <f>IF('Brewhouse Setup &amp; Calcs'!$B$2="US Customary",'Grain &amp; Sugar Calcs'!C13,"NA")</f>
        <v>0</v>
      </c>
      <c r="F22" s="585">
        <v>0</v>
      </c>
      <c r="G22" s="288">
        <f t="shared" si="0"/>
        <v>0</v>
      </c>
      <c r="H22" s="279">
        <v>11</v>
      </c>
      <c r="I22" s="289" t="s">
        <v>1880</v>
      </c>
      <c r="J22" s="290">
        <v>4.71</v>
      </c>
      <c r="K22" s="287"/>
    </row>
    <row r="23" spans="2:12" s="257" customFormat="1" ht="15" customHeight="1" x14ac:dyDescent="0.25">
      <c r="B23" s="276"/>
      <c r="C23" s="291"/>
      <c r="D23" s="588" t="s">
        <v>1881</v>
      </c>
      <c r="E23" s="293">
        <f>SUM(E14:E22)</f>
        <v>13.75</v>
      </c>
      <c r="F23" s="294"/>
      <c r="G23" s="295"/>
      <c r="H23" s="802" t="s">
        <v>1882</v>
      </c>
      <c r="I23" s="803"/>
      <c r="J23" s="803"/>
      <c r="K23" s="804"/>
    </row>
    <row r="24" spans="2:12" s="257" customFormat="1" ht="15" customHeight="1" x14ac:dyDescent="0.25">
      <c r="B24" s="276"/>
      <c r="C24" s="291"/>
      <c r="D24" s="292" t="s">
        <v>1883</v>
      </c>
      <c r="E24" s="293" t="str">
        <f>ROUND(D8*4/E23,2)&amp;" qt/lb"</f>
        <v>1.5 qt/lb</v>
      </c>
      <c r="F24" s="296"/>
      <c r="G24" s="295"/>
      <c r="H24" s="803"/>
      <c r="I24" s="803"/>
      <c r="J24" s="803"/>
      <c r="K24" s="804"/>
    </row>
    <row r="25" spans="2:12" s="257" customFormat="1" ht="15" customHeight="1" x14ac:dyDescent="0.25">
      <c r="B25" s="276"/>
      <c r="C25" s="291"/>
      <c r="D25" s="292"/>
      <c r="E25" s="293"/>
      <c r="F25" s="296"/>
      <c r="G25" s="295"/>
      <c r="H25" s="803"/>
      <c r="I25" s="803"/>
      <c r="J25" s="803"/>
      <c r="K25" s="804"/>
    </row>
    <row r="26" spans="2:12" ht="15" customHeight="1" thickBot="1" x14ac:dyDescent="0.3">
      <c r="B26" s="297"/>
      <c r="C26" s="298"/>
      <c r="D26" s="298"/>
      <c r="E26" s="298"/>
      <c r="F26" s="299"/>
      <c r="G26" s="299"/>
      <c r="H26" s="805"/>
      <c r="I26" s="805"/>
      <c r="J26" s="805"/>
      <c r="K26" s="806"/>
      <c r="L26" s="238"/>
    </row>
    <row r="27" spans="2:12" ht="14.25" customHeight="1" x14ac:dyDescent="0.25">
      <c r="B27" s="300"/>
      <c r="C27" s="301" t="s">
        <v>1884</v>
      </c>
      <c r="D27" s="302"/>
      <c r="E27" s="303"/>
      <c r="F27" s="304"/>
      <c r="G27" s="304"/>
      <c r="H27" s="807" t="s">
        <v>1885</v>
      </c>
      <c r="I27" s="807"/>
      <c r="J27" s="807"/>
      <c r="K27" s="808"/>
      <c r="L27" s="238"/>
    </row>
    <row r="28" spans="2:12" ht="15" customHeight="1" x14ac:dyDescent="0.25">
      <c r="B28" s="305"/>
      <c r="C28" s="306"/>
      <c r="D28" s="811" t="s">
        <v>1886</v>
      </c>
      <c r="E28" s="813" t="s">
        <v>1887</v>
      </c>
      <c r="F28" s="816" t="s">
        <v>1888</v>
      </c>
      <c r="G28" s="818" t="s">
        <v>1889</v>
      </c>
      <c r="H28" s="809"/>
      <c r="I28" s="809"/>
      <c r="J28" s="809"/>
      <c r="K28" s="810"/>
      <c r="L28" s="238"/>
    </row>
    <row r="29" spans="2:12" ht="15" customHeight="1" x14ac:dyDescent="0.25">
      <c r="B29" s="305"/>
      <c r="C29" s="307"/>
      <c r="D29" s="811"/>
      <c r="E29" s="814"/>
      <c r="F29" s="816"/>
      <c r="G29" s="818"/>
      <c r="H29" s="809"/>
      <c r="I29" s="809"/>
      <c r="J29" s="809"/>
      <c r="K29" s="810"/>
      <c r="L29" s="238"/>
    </row>
    <row r="30" spans="2:12" ht="15" customHeight="1" thickBot="1" x14ac:dyDescent="0.3">
      <c r="B30" s="305"/>
      <c r="C30" s="308"/>
      <c r="D30" s="812"/>
      <c r="E30" s="815"/>
      <c r="F30" s="817"/>
      <c r="G30" s="819"/>
      <c r="H30" s="309"/>
      <c r="I30" s="309"/>
      <c r="J30" s="309"/>
      <c r="K30" s="310"/>
      <c r="L30" s="238"/>
    </row>
    <row r="31" spans="2:12" ht="27.75" customHeight="1" thickTop="1" thickBot="1" x14ac:dyDescent="0.3">
      <c r="B31" s="305"/>
      <c r="C31" s="311"/>
      <c r="D31" s="312">
        <f>(1-D$9)*I$5*IF(K$3=1,50/61,IF(OR(K$3=0,K$3=2),1,"ERROR"))+(F$43*130+E$43*157-176.1*J36*J35*2-4160.4*H35*H36*2.5+D$43*357)/D$8</f>
        <v>102</v>
      </c>
      <c r="E31" s="313">
        <f>D31-((D50/1.4)+(E50/1.7))</f>
        <v>68.512605042016801</v>
      </c>
      <c r="F31" s="314">
        <f>(E14*G14+E15*G15+E16*G16+E17*G17+E18*G18+E19*G19+E20*G20+E21*G21+E22*G22)/E23+(0.1085*D8/E23+0.013)*E31/50</f>
        <v>5.7487799551184109</v>
      </c>
      <c r="G31" s="315" t="s">
        <v>1890</v>
      </c>
      <c r="H31" s="809" t="s">
        <v>1891</v>
      </c>
      <c r="I31" s="820"/>
      <c r="J31" s="820"/>
      <c r="K31" s="821"/>
      <c r="L31" s="238"/>
    </row>
    <row r="32" spans="2:12" ht="15" customHeight="1" thickTop="1" thickBot="1" x14ac:dyDescent="0.3">
      <c r="B32" s="316"/>
      <c r="C32" s="317"/>
      <c r="D32" s="317"/>
      <c r="E32" s="317"/>
      <c r="F32" s="317"/>
      <c r="G32" s="318"/>
      <c r="H32" s="822"/>
      <c r="I32" s="822"/>
      <c r="J32" s="822"/>
      <c r="K32" s="823"/>
      <c r="L32" s="238"/>
    </row>
    <row r="33" spans="2:12" ht="15" customHeight="1" x14ac:dyDescent="0.25">
      <c r="B33" s="319"/>
      <c r="C33" s="320" t="s">
        <v>1892</v>
      </c>
      <c r="D33" s="321"/>
      <c r="E33" s="321"/>
      <c r="F33" s="321"/>
      <c r="G33" s="321"/>
      <c r="H33" s="321"/>
      <c r="I33" s="322"/>
      <c r="J33" s="323"/>
      <c r="K33" s="324"/>
      <c r="L33" s="238"/>
    </row>
    <row r="34" spans="2:12" ht="15" customHeight="1" x14ac:dyDescent="0.25">
      <c r="B34" s="325"/>
      <c r="C34" s="326"/>
      <c r="D34" s="327" t="s">
        <v>1893</v>
      </c>
      <c r="E34" s="327" t="s">
        <v>1894</v>
      </c>
      <c r="F34" s="327" t="s">
        <v>1895</v>
      </c>
      <c r="G34" s="328"/>
      <c r="H34" s="328" t="s">
        <v>1896</v>
      </c>
      <c r="I34" s="329"/>
      <c r="J34" s="328" t="s">
        <v>1897</v>
      </c>
      <c r="K34" s="330"/>
      <c r="L34" s="238"/>
    </row>
    <row r="35" spans="2:12" ht="15" customHeight="1" x14ac:dyDescent="0.25">
      <c r="B35" s="325"/>
      <c r="C35" s="331" t="s">
        <v>1898</v>
      </c>
      <c r="D35" s="328" t="s">
        <v>1899</v>
      </c>
      <c r="E35" s="328" t="s">
        <v>1900</v>
      </c>
      <c r="F35" s="328" t="s">
        <v>1901</v>
      </c>
      <c r="G35" s="332" t="s">
        <v>1902</v>
      </c>
      <c r="H35" s="333">
        <v>0.02</v>
      </c>
      <c r="I35" s="334" t="s">
        <v>1902</v>
      </c>
      <c r="J35" s="335">
        <v>0.88</v>
      </c>
      <c r="K35" s="330"/>
      <c r="L35" s="238"/>
    </row>
    <row r="36" spans="2:12" s="257" customFormat="1" ht="18" customHeight="1" x14ac:dyDescent="0.25">
      <c r="B36" s="336"/>
      <c r="C36" s="332" t="s">
        <v>1903</v>
      </c>
      <c r="D36" s="589"/>
      <c r="E36" s="589"/>
      <c r="F36" s="589"/>
      <c r="G36" s="334" t="s">
        <v>1904</v>
      </c>
      <c r="H36" s="590">
        <v>0</v>
      </c>
      <c r="I36" s="334" t="s">
        <v>1905</v>
      </c>
      <c r="J36" s="589">
        <v>0</v>
      </c>
      <c r="K36" s="337"/>
    </row>
    <row r="37" spans="2:12" ht="18" customHeight="1" x14ac:dyDescent="0.25">
      <c r="B37" s="325"/>
      <c r="C37" s="332" t="s">
        <v>1906</v>
      </c>
      <c r="D37" s="603" t="b">
        <v>1</v>
      </c>
      <c r="E37" s="603" t="b">
        <v>1</v>
      </c>
      <c r="F37" s="603" t="b">
        <v>1</v>
      </c>
      <c r="G37" s="338"/>
      <c r="H37" s="339" t="str">
        <f>"("&amp;ROUND(100*H36/E23/16,1)&amp;"% of total wt)"</f>
        <v>(0% of total wt)</v>
      </c>
      <c r="I37" s="340" t="s">
        <v>1907</v>
      </c>
      <c r="J37" s="329"/>
      <c r="K37" s="330"/>
      <c r="L37" s="238"/>
    </row>
    <row r="38" spans="2:12" s="257" customFormat="1" ht="18" customHeight="1" x14ac:dyDescent="0.25">
      <c r="B38" s="336"/>
      <c r="C38" s="332" t="s">
        <v>1908</v>
      </c>
      <c r="D38" s="341">
        <f>IF(D37,D36/$D8*$E8,0)</f>
        <v>0</v>
      </c>
      <c r="E38" s="341">
        <f>IF(E37,E36/$D8*$E8,0)</f>
        <v>0</v>
      </c>
      <c r="F38" s="341">
        <f>IF(F37,F36/$D8*$E8,0)</f>
        <v>0</v>
      </c>
      <c r="G38" s="338"/>
      <c r="H38" s="342" t="s">
        <v>1909</v>
      </c>
      <c r="I38" s="343"/>
      <c r="J38" s="344"/>
      <c r="K38" s="345"/>
    </row>
    <row r="39" spans="2:12" s="257" customFormat="1" ht="15" customHeight="1" thickBot="1" x14ac:dyDescent="0.3">
      <c r="B39" s="336"/>
      <c r="C39" s="346" t="s">
        <v>1910</v>
      </c>
      <c r="D39" s="338"/>
      <c r="E39" s="338"/>
      <c r="F39" s="338"/>
      <c r="G39" s="338"/>
      <c r="H39" s="347"/>
      <c r="I39" s="343"/>
      <c r="J39" s="348"/>
      <c r="K39" s="349"/>
    </row>
    <row r="40" spans="2:12" s="257" customFormat="1" ht="15" customHeight="1" x14ac:dyDescent="0.25">
      <c r="B40" s="350"/>
      <c r="C40" s="320" t="s">
        <v>1911</v>
      </c>
      <c r="D40" s="351"/>
      <c r="E40" s="351"/>
      <c r="F40" s="351"/>
      <c r="G40" s="824" t="s">
        <v>1912</v>
      </c>
      <c r="H40" s="824"/>
      <c r="I40" s="824"/>
      <c r="J40" s="824"/>
      <c r="K40" s="825"/>
    </row>
    <row r="41" spans="2:12" s="257" customFormat="1" ht="15" customHeight="1" x14ac:dyDescent="0.25">
      <c r="B41" s="336"/>
      <c r="C41" s="332"/>
      <c r="D41" s="327" t="s">
        <v>1913</v>
      </c>
      <c r="E41" s="327" t="s">
        <v>1914</v>
      </c>
      <c r="F41" s="352" t="s">
        <v>1915</v>
      </c>
      <c r="G41" s="826"/>
      <c r="H41" s="826"/>
      <c r="I41" s="826"/>
      <c r="J41" s="826"/>
      <c r="K41" s="827"/>
    </row>
    <row r="42" spans="2:12" s="257" customFormat="1" ht="15" customHeight="1" x14ac:dyDescent="0.25">
      <c r="B42" s="325"/>
      <c r="C42" s="331" t="s">
        <v>1898</v>
      </c>
      <c r="D42" s="328" t="s">
        <v>1916</v>
      </c>
      <c r="E42" s="328" t="s">
        <v>1917</v>
      </c>
      <c r="F42" s="353" t="s">
        <v>1918</v>
      </c>
      <c r="G42" s="826"/>
      <c r="H42" s="826"/>
      <c r="I42" s="826"/>
      <c r="J42" s="826"/>
      <c r="K42" s="827"/>
    </row>
    <row r="43" spans="2:12" s="257" customFormat="1" ht="18" customHeight="1" x14ac:dyDescent="0.25">
      <c r="B43" s="336"/>
      <c r="C43" s="332" t="s">
        <v>1903</v>
      </c>
      <c r="D43" s="589"/>
      <c r="E43" s="589"/>
      <c r="F43" s="589"/>
      <c r="G43" s="354"/>
      <c r="H43" s="354"/>
      <c r="I43" s="354"/>
      <c r="J43" s="338"/>
      <c r="K43" s="337"/>
    </row>
    <row r="44" spans="2:12" s="257" customFormat="1" ht="18" customHeight="1" x14ac:dyDescent="0.25">
      <c r="B44" s="325"/>
      <c r="C44" s="332" t="s">
        <v>1906</v>
      </c>
      <c r="D44" s="603" t="b">
        <v>1</v>
      </c>
      <c r="E44" s="603" t="b">
        <v>1</v>
      </c>
      <c r="F44" s="603" t="b">
        <v>1</v>
      </c>
      <c r="G44" s="354"/>
      <c r="H44" s="354"/>
      <c r="I44" s="354"/>
      <c r="J44" s="338"/>
      <c r="K44" s="337"/>
    </row>
    <row r="45" spans="2:12" s="257" customFormat="1" ht="18" customHeight="1" x14ac:dyDescent="0.25">
      <c r="B45" s="336"/>
      <c r="C45" s="332" t="s">
        <v>1908</v>
      </c>
      <c r="D45" s="341">
        <f>IF(D44,D43/$D8*$E8,0)</f>
        <v>0</v>
      </c>
      <c r="E45" s="341">
        <f>IF(E44,E43/$D8*$E8,0)</f>
        <v>0</v>
      </c>
      <c r="F45" s="341">
        <f>IF(F44,F43/$D8*$E8,0)</f>
        <v>0</v>
      </c>
      <c r="G45" s="338"/>
      <c r="H45" s="328"/>
      <c r="I45" s="328"/>
      <c r="J45" s="338"/>
      <c r="K45" s="337"/>
    </row>
    <row r="46" spans="2:12" ht="15" customHeight="1" thickBot="1" x14ac:dyDescent="0.3">
      <c r="B46" s="336"/>
      <c r="C46" s="346" t="s">
        <v>1910</v>
      </c>
      <c r="D46" s="355"/>
      <c r="E46" s="355"/>
      <c r="F46" s="356"/>
      <c r="G46" s="357"/>
      <c r="H46" s="355"/>
      <c r="I46" s="356"/>
      <c r="J46" s="356"/>
      <c r="K46" s="358"/>
      <c r="L46" s="238"/>
    </row>
    <row r="47" spans="2:12" ht="15" customHeight="1" x14ac:dyDescent="0.25">
      <c r="B47" s="244"/>
      <c r="C47" s="245" t="s">
        <v>1919</v>
      </c>
      <c r="D47" s="246"/>
      <c r="E47" s="246"/>
      <c r="F47" s="246"/>
      <c r="G47" s="246"/>
      <c r="H47" s="246"/>
      <c r="I47" s="246"/>
      <c r="J47" s="246"/>
      <c r="K47" s="359"/>
      <c r="L47" s="238"/>
    </row>
    <row r="48" spans="2:12" ht="15" customHeight="1" x14ac:dyDescent="0.25">
      <c r="B48" s="248"/>
      <c r="C48" s="249"/>
      <c r="D48" s="250" t="s">
        <v>1837</v>
      </c>
      <c r="E48" s="250" t="s">
        <v>1838</v>
      </c>
      <c r="F48" s="250" t="s">
        <v>1839</v>
      </c>
      <c r="G48" s="250" t="s">
        <v>1840</v>
      </c>
      <c r="H48" s="250" t="s">
        <v>1841</v>
      </c>
      <c r="I48" s="828" t="s">
        <v>1920</v>
      </c>
      <c r="J48" s="828"/>
      <c r="K48" s="360"/>
      <c r="L48" s="238"/>
    </row>
    <row r="49" spans="1:14" s="361" customFormat="1" ht="15" customHeight="1" x14ac:dyDescent="0.35">
      <c r="B49" s="362"/>
      <c r="C49" s="363"/>
      <c r="D49" s="252" t="s">
        <v>1844</v>
      </c>
      <c r="E49" s="252" t="s">
        <v>1845</v>
      </c>
      <c r="F49" s="252" t="s">
        <v>1846</v>
      </c>
      <c r="G49" s="252" t="s">
        <v>1847</v>
      </c>
      <c r="H49" s="252" t="s">
        <v>1848</v>
      </c>
      <c r="I49" s="829" t="s">
        <v>1921</v>
      </c>
      <c r="J49" s="829"/>
      <c r="K49" s="364"/>
      <c r="L49" s="365"/>
      <c r="M49" s="257"/>
    </row>
    <row r="50" spans="1:14" s="257" customFormat="1" ht="18" customHeight="1" thickBot="1" x14ac:dyDescent="0.3">
      <c r="B50" s="253"/>
      <c r="C50" s="265" t="s">
        <v>1922</v>
      </c>
      <c r="D50" s="366">
        <f>(1-D$9)*D$5+(F$43*105.89+D$36*60+E$36*72+D$43*143)/D$8</f>
        <v>37</v>
      </c>
      <c r="E50" s="366">
        <f>(1-D$9)*E$5+F$36*24.6/D$8</f>
        <v>12</v>
      </c>
      <c r="F50" s="366">
        <f>(1-D$9)*F$5+E$43*72.3/D$8</f>
        <v>9</v>
      </c>
      <c r="G50" s="366">
        <f>(1-D$9)*G$5+E$36*127.47/D$8</f>
        <v>16</v>
      </c>
      <c r="H50" s="366">
        <f>(1-D$9)*H$5+(D$36*147.4+F$36*103)/D$8</f>
        <v>25</v>
      </c>
      <c r="I50" s="830">
        <f>G50/H50</f>
        <v>0.64</v>
      </c>
      <c r="J50" s="831"/>
      <c r="K50" s="256"/>
    </row>
    <row r="51" spans="1:14" s="257" customFormat="1" ht="18" customHeight="1" thickBot="1" x14ac:dyDescent="0.3">
      <c r="B51" s="253"/>
      <c r="C51" s="265" t="s">
        <v>1923</v>
      </c>
      <c r="D51" s="367">
        <f>IF(E8=0,D50,(1-(((D$9*D$8)+(E$9*E$8))/(D$8+E$8)))*D$5+((F$43+F$45)*105.89+(D$36+D$38)*60+(E$36+E$38)*72+(D$43+D$45)*143)/(D$8+E$8))</f>
        <v>37</v>
      </c>
      <c r="E51" s="367">
        <f>IF(E8=0,E50,(1-(((D$9*D$8)+(E$9*E$8))/(D$8+E$8)))*E$5+(F$36+F$38)*24.6/(D$8+E$8))</f>
        <v>12</v>
      </c>
      <c r="F51" s="367">
        <f>IF(E8=0,F50,(1-(((D$9*D$8)+(E$9*E$8))/(D$8+E$8)))*F$5+(E$43+E$45)*72.3/(D$8+E$8))</f>
        <v>9</v>
      </c>
      <c r="G51" s="367">
        <f>IF(E8=0,G50,(1-(((D$9*D$8)+(E$9*E$8))/(D$8+E$8)))*G$5+(E$36+E$38)*127.47/(D$8+E$8))</f>
        <v>16</v>
      </c>
      <c r="H51" s="367">
        <f>IF(E8=0,H50,(1-(((D$9*D$8)+(E$9*E$8))/(D$8+E$8)))*H$5+((D$36+D$38)*147.4+(F$36+F$38)*103)/(D$8+E$8))</f>
        <v>25</v>
      </c>
      <c r="I51" s="800">
        <f>G51/H51</f>
        <v>0.64</v>
      </c>
      <c r="J51" s="801"/>
      <c r="K51" s="256"/>
      <c r="M51" s="238"/>
    </row>
    <row r="52" spans="1:14" ht="18" customHeight="1" x14ac:dyDescent="0.25">
      <c r="B52" s="248"/>
      <c r="C52" s="368" t="s">
        <v>1924</v>
      </c>
      <c r="D52" s="369" t="s">
        <v>1925</v>
      </c>
      <c r="E52" s="370" t="s">
        <v>1926</v>
      </c>
      <c r="F52" s="369" t="s">
        <v>1927</v>
      </c>
      <c r="G52" s="369" t="s">
        <v>1928</v>
      </c>
      <c r="H52" s="371" t="s">
        <v>1929</v>
      </c>
      <c r="I52" s="790" t="str">
        <f>IF(I51&lt;0.77,"Below .77, May enhance bitterness", IF(I51&lt;1.3,".77 to 1.3 = Balanced","Above 1.3 may enhance maltiness"))</f>
        <v>Below .77, May enhance bitterness</v>
      </c>
      <c r="J52" s="791"/>
      <c r="K52" s="360"/>
      <c r="L52" s="238"/>
    </row>
    <row r="53" spans="1:14" ht="15" customHeight="1" x14ac:dyDescent="0.25">
      <c r="B53" s="248"/>
      <c r="C53" s="792" t="s">
        <v>1930</v>
      </c>
      <c r="D53" s="792"/>
      <c r="E53" s="792"/>
      <c r="F53" s="792"/>
      <c r="G53" s="792"/>
      <c r="H53" s="792"/>
      <c r="I53" s="792"/>
      <c r="J53" s="792"/>
      <c r="K53" s="793"/>
      <c r="L53" s="238"/>
      <c r="M53" s="257"/>
      <c r="N53" s="365"/>
    </row>
    <row r="54" spans="1:14" ht="15" customHeight="1" thickBot="1" x14ac:dyDescent="0.3">
      <c r="B54" s="372"/>
      <c r="C54" s="794"/>
      <c r="D54" s="794"/>
      <c r="E54" s="794"/>
      <c r="F54" s="794"/>
      <c r="G54" s="794"/>
      <c r="H54" s="794"/>
      <c r="I54" s="795"/>
      <c r="J54" s="795"/>
      <c r="K54" s="796"/>
    </row>
    <row r="55" spans="1:14" ht="15" customHeight="1" x14ac:dyDescent="0.25">
      <c r="B55" s="373"/>
      <c r="C55" s="374"/>
      <c r="D55" s="374"/>
      <c r="E55" s="374"/>
      <c r="F55" s="374"/>
      <c r="G55" s="374"/>
      <c r="H55" s="374"/>
      <c r="I55" s="375"/>
      <c r="J55" s="375"/>
      <c r="K55" s="375"/>
    </row>
    <row r="56" spans="1:14" s="23" customFormat="1" ht="23.25" customHeight="1" x14ac:dyDescent="0.25">
      <c r="B56" s="376"/>
      <c r="C56" s="797" t="s">
        <v>1931</v>
      </c>
      <c r="D56" s="797"/>
      <c r="E56" s="797"/>
      <c r="F56" s="797"/>
      <c r="G56" s="797"/>
      <c r="H56" s="797"/>
      <c r="I56" s="797"/>
      <c r="J56" s="797"/>
      <c r="K56" s="797"/>
    </row>
    <row r="57" spans="1:14" ht="15" customHeight="1" x14ac:dyDescent="0.25">
      <c r="A57" s="377"/>
      <c r="B57" s="378"/>
      <c r="C57" s="379"/>
      <c r="D57" s="379"/>
      <c r="E57" s="379"/>
      <c r="F57" s="379"/>
      <c r="G57" s="379"/>
      <c r="H57" s="379"/>
      <c r="I57" s="112"/>
      <c r="J57" s="112"/>
      <c r="K57" s="112"/>
    </row>
    <row r="58" spans="1:14" ht="15" customHeight="1" x14ac:dyDescent="0.25">
      <c r="A58" s="377"/>
      <c r="B58" s="378"/>
      <c r="C58" s="379"/>
      <c r="D58" s="380" t="s">
        <v>1932</v>
      </c>
      <c r="E58" s="381"/>
      <c r="F58" s="381"/>
      <c r="G58" s="381"/>
      <c r="H58" s="381"/>
      <c r="I58" s="381"/>
      <c r="J58" s="381"/>
      <c r="K58" s="112"/>
    </row>
    <row r="59" spans="1:14" ht="15" customHeight="1" x14ac:dyDescent="0.25">
      <c r="A59" s="377"/>
      <c r="B59" s="378"/>
      <c r="C59" s="379"/>
      <c r="D59" s="381"/>
      <c r="E59" s="381"/>
      <c r="F59" s="381"/>
      <c r="G59" s="381"/>
      <c r="H59" s="381"/>
      <c r="I59" s="381"/>
      <c r="J59" s="381"/>
      <c r="K59" s="112"/>
    </row>
    <row r="60" spans="1:14" ht="15" customHeight="1" x14ac:dyDescent="0.25">
      <c r="A60" s="377"/>
      <c r="B60" s="378"/>
      <c r="C60" s="379"/>
      <c r="D60" s="381"/>
      <c r="E60" s="381"/>
      <c r="F60" s="381"/>
      <c r="G60" s="381"/>
      <c r="H60" s="381"/>
      <c r="I60" s="381"/>
      <c r="J60" s="381"/>
      <c r="K60" s="112"/>
    </row>
    <row r="61" spans="1:14" ht="15" customHeight="1" x14ac:dyDescent="0.25">
      <c r="A61" s="377"/>
      <c r="B61" s="378"/>
      <c r="C61" s="379"/>
      <c r="D61" s="382"/>
      <c r="E61" s="382"/>
      <c r="F61" s="379"/>
      <c r="G61" s="379"/>
      <c r="H61" s="379"/>
      <c r="I61" s="112"/>
      <c r="J61" s="112"/>
      <c r="K61" s="112"/>
    </row>
    <row r="62" spans="1:14" ht="15" customHeight="1" x14ac:dyDescent="0.25">
      <c r="A62" s="377"/>
      <c r="B62" s="378"/>
      <c r="C62" s="380" t="s">
        <v>1933</v>
      </c>
      <c r="D62" s="382"/>
      <c r="E62" s="382"/>
      <c r="F62" s="379"/>
      <c r="G62" s="379"/>
      <c r="H62" s="379"/>
      <c r="I62" s="112"/>
      <c r="J62" s="112"/>
      <c r="K62" s="112"/>
    </row>
    <row r="63" spans="1:14" ht="41.25" customHeight="1" x14ac:dyDescent="0.25">
      <c r="A63" s="377"/>
      <c r="B63" s="378"/>
      <c r="C63" s="379"/>
      <c r="D63" s="382"/>
      <c r="E63" s="382"/>
      <c r="F63" s="379"/>
      <c r="G63" s="379"/>
      <c r="H63" s="379"/>
      <c r="I63" s="112"/>
      <c r="J63" s="112"/>
      <c r="K63" s="112"/>
    </row>
    <row r="64" spans="1:14" s="383" customFormat="1" ht="21.75" customHeight="1" x14ac:dyDescent="0.3">
      <c r="C64" s="798" t="s">
        <v>1934</v>
      </c>
      <c r="D64" s="798"/>
      <c r="E64" s="798"/>
      <c r="F64" s="798"/>
      <c r="G64" s="798"/>
      <c r="H64" s="798"/>
      <c r="I64" s="798"/>
      <c r="J64" s="798"/>
    </row>
    <row r="65" spans="3:12" x14ac:dyDescent="0.25">
      <c r="C65" s="799" t="s">
        <v>1935</v>
      </c>
      <c r="D65" s="799"/>
      <c r="E65" s="799"/>
      <c r="F65" s="799"/>
      <c r="G65" s="799"/>
      <c r="H65" s="799"/>
      <c r="I65" s="799"/>
      <c r="J65" s="799"/>
      <c r="K65" s="799"/>
    </row>
    <row r="66" spans="3:12" ht="12.75" customHeight="1" x14ac:dyDescent="0.25">
      <c r="C66" s="787" t="s">
        <v>1936</v>
      </c>
      <c r="D66" s="787"/>
      <c r="E66" s="787"/>
      <c r="F66" s="787"/>
      <c r="G66" s="787"/>
      <c r="H66" s="787"/>
      <c r="I66" s="787"/>
      <c r="J66" s="787"/>
      <c r="K66" s="787"/>
    </row>
    <row r="67" spans="3:12" s="387" customFormat="1" ht="12" customHeight="1" x14ac:dyDescent="0.25">
      <c r="C67" s="384" t="s">
        <v>1937</v>
      </c>
      <c r="D67" s="385"/>
      <c r="E67" s="385"/>
      <c r="F67" s="385"/>
      <c r="G67" s="386"/>
      <c r="H67" s="386"/>
      <c r="I67" s="386"/>
      <c r="J67" s="386"/>
      <c r="K67" s="386"/>
      <c r="L67" s="386"/>
    </row>
    <row r="68" spans="3:12" ht="12" customHeight="1" x14ac:dyDescent="0.25">
      <c r="C68" s="788" t="s">
        <v>1938</v>
      </c>
      <c r="D68" s="789"/>
      <c r="E68" s="789"/>
      <c r="F68" s="789"/>
      <c r="G68" s="789"/>
      <c r="H68" s="789"/>
      <c r="I68" s="789"/>
      <c r="J68" s="789"/>
    </row>
    <row r="69" spans="3:12" ht="12" customHeight="1" x14ac:dyDescent="0.25">
      <c r="C69" s="388" t="s">
        <v>1939</v>
      </c>
      <c r="D69" s="389"/>
      <c r="E69" s="389"/>
      <c r="F69" s="389"/>
      <c r="G69" s="389"/>
      <c r="H69" s="389"/>
      <c r="I69" s="389"/>
      <c r="J69" s="389"/>
    </row>
    <row r="70" spans="3:12" ht="12" customHeight="1" x14ac:dyDescent="0.25">
      <c r="C70" s="788" t="s">
        <v>1940</v>
      </c>
      <c r="D70" s="789"/>
      <c r="E70" s="789"/>
      <c r="F70" s="789"/>
      <c r="G70" s="789"/>
      <c r="H70" s="789"/>
      <c r="I70" s="789"/>
      <c r="J70" s="789"/>
    </row>
    <row r="72" spans="3:12" x14ac:dyDescent="0.25">
      <c r="C72" s="390" t="s">
        <v>1941</v>
      </c>
    </row>
    <row r="73" spans="3:12" x14ac:dyDescent="0.25">
      <c r="C73" s="384" t="s">
        <v>1942</v>
      </c>
    </row>
    <row r="74" spans="3:12" x14ac:dyDescent="0.25">
      <c r="C74" s="390" t="s">
        <v>1943</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zoomScale="85" workbookViewId="0">
      <selection activeCell="D12" sqref="D12"/>
    </sheetView>
  </sheetViews>
  <sheetFormatPr defaultRowHeight="13.2" x14ac:dyDescent="0.25"/>
  <cols>
    <col min="1" max="2" width="1.6640625" style="391" customWidth="1"/>
    <col min="3" max="3" width="29.6640625" style="392" customWidth="1"/>
    <col min="4" max="9" width="14.6640625" style="391" customWidth="1"/>
    <col min="10" max="10" width="14.88671875" style="391" customWidth="1"/>
    <col min="11" max="11" width="5.44140625" style="391" customWidth="1"/>
    <col min="12" max="12" width="9.5546875" style="391" customWidth="1"/>
    <col min="13" max="13" width="8.88671875" style="391"/>
    <col min="14" max="14" width="13.44140625" style="391" bestFit="1" customWidth="1"/>
    <col min="15" max="16384" width="8.88671875" style="391"/>
  </cols>
  <sheetData>
    <row r="1" spans="2:12" ht="21.6" thickBot="1" x14ac:dyDescent="0.45">
      <c r="C1" s="884" t="s">
        <v>1945</v>
      </c>
      <c r="D1" s="884"/>
      <c r="E1" s="884"/>
      <c r="F1" s="884"/>
      <c r="G1" s="884"/>
      <c r="H1" s="884"/>
      <c r="I1" s="884"/>
      <c r="J1" s="884"/>
      <c r="K1" s="884"/>
      <c r="L1" s="392"/>
    </row>
    <row r="2" spans="2:12" ht="15" customHeight="1" x14ac:dyDescent="0.25">
      <c r="B2" s="393"/>
      <c r="C2" s="394" t="s">
        <v>1836</v>
      </c>
      <c r="D2" s="395"/>
      <c r="E2" s="395"/>
      <c r="F2" s="395"/>
      <c r="G2" s="395"/>
      <c r="H2" s="395"/>
      <c r="I2" s="395"/>
      <c r="J2" s="395"/>
      <c r="K2" s="396"/>
      <c r="L2" s="392"/>
    </row>
    <row r="3" spans="2:12" ht="15" customHeight="1" x14ac:dyDescent="0.35">
      <c r="B3" s="397"/>
      <c r="C3" s="398"/>
      <c r="D3" s="399" t="s">
        <v>1837</v>
      </c>
      <c r="E3" s="399" t="s">
        <v>1838</v>
      </c>
      <c r="F3" s="399" t="s">
        <v>1839</v>
      </c>
      <c r="G3" s="399" t="s">
        <v>1840</v>
      </c>
      <c r="H3" s="399" t="s">
        <v>1841</v>
      </c>
      <c r="I3" s="885" t="s">
        <v>1842</v>
      </c>
      <c r="J3" s="885"/>
      <c r="K3" s="886">
        <v>2</v>
      </c>
      <c r="L3" s="392"/>
    </row>
    <row r="4" spans="2:12" ht="15" customHeight="1" x14ac:dyDescent="0.35">
      <c r="B4" s="397"/>
      <c r="C4" s="400" t="s">
        <v>1843</v>
      </c>
      <c r="D4" s="401" t="s">
        <v>1844</v>
      </c>
      <c r="E4" s="401" t="s">
        <v>1845</v>
      </c>
      <c r="F4" s="401" t="s">
        <v>1846</v>
      </c>
      <c r="G4" s="401" t="s">
        <v>1847</v>
      </c>
      <c r="H4" s="401" t="s">
        <v>1848</v>
      </c>
      <c r="I4" s="887" t="s">
        <v>1849</v>
      </c>
      <c r="J4" s="887"/>
      <c r="K4" s="886"/>
      <c r="L4" s="392"/>
    </row>
    <row r="5" spans="2:12" s="406" customFormat="1" ht="18" customHeight="1" x14ac:dyDescent="0.25">
      <c r="B5" s="402"/>
      <c r="C5" s="403" t="s">
        <v>1850</v>
      </c>
      <c r="D5" s="582">
        <f>'Recipe Sheet'!N8</f>
        <v>37</v>
      </c>
      <c r="E5" s="582">
        <f>'Recipe Sheet'!N9</f>
        <v>12</v>
      </c>
      <c r="F5" s="582">
        <f>'Recipe Sheet'!N10</f>
        <v>9</v>
      </c>
      <c r="G5" s="582">
        <f>'Recipe Sheet'!N11</f>
        <v>16</v>
      </c>
      <c r="H5" s="582">
        <f>'Recipe Sheet'!N12</f>
        <v>25</v>
      </c>
      <c r="I5" s="582">
        <f>'Recipe Sheet'!N13</f>
        <v>102</v>
      </c>
      <c r="J5" s="404"/>
      <c r="K5" s="405"/>
    </row>
    <row r="6" spans="2:12" ht="15" customHeight="1" x14ac:dyDescent="0.25">
      <c r="B6" s="397"/>
      <c r="C6" s="407" t="s">
        <v>1851</v>
      </c>
      <c r="D6" s="399"/>
      <c r="E6" s="408"/>
      <c r="F6" s="409"/>
      <c r="G6" s="409"/>
      <c r="H6" s="410"/>
      <c r="I6" s="410"/>
      <c r="J6" s="411"/>
      <c r="K6" s="412"/>
      <c r="L6" s="392"/>
    </row>
    <row r="7" spans="2:12" ht="15" customHeight="1" x14ac:dyDescent="0.25">
      <c r="B7" s="397"/>
      <c r="C7" s="400" t="s">
        <v>1852</v>
      </c>
      <c r="D7" s="399" t="s">
        <v>1853</v>
      </c>
      <c r="E7" s="399" t="s">
        <v>1854</v>
      </c>
      <c r="F7" s="399"/>
      <c r="G7" s="413"/>
      <c r="H7" s="411"/>
      <c r="I7" s="888" t="s">
        <v>1855</v>
      </c>
      <c r="J7" s="888"/>
      <c r="K7" s="889"/>
      <c r="L7" s="392"/>
    </row>
    <row r="8" spans="2:12" s="406" customFormat="1" ht="18" customHeight="1" x14ac:dyDescent="0.25">
      <c r="B8" s="402"/>
      <c r="C8" s="414" t="s">
        <v>1946</v>
      </c>
      <c r="D8" s="545" t="str">
        <f>IF('Brewhouse Setup &amp; Calcs'!$B$2="Metric",'Brewhouse Setup &amp; Calcs'!B43,"NA")</f>
        <v>NA</v>
      </c>
      <c r="E8" s="545" t="str">
        <f>IF('Brewhouse Setup &amp; Calcs'!$B$2="Metric",'Brewhouse Setup &amp; Calcs'!B48,"NA")</f>
        <v>NA</v>
      </c>
      <c r="F8" s="413"/>
      <c r="G8" s="413"/>
      <c r="H8" s="411"/>
      <c r="I8" s="888"/>
      <c r="J8" s="888"/>
      <c r="K8" s="889"/>
    </row>
    <row r="9" spans="2:12" s="406" customFormat="1" ht="18" customHeight="1" x14ac:dyDescent="0.25">
      <c r="B9" s="402"/>
      <c r="C9" s="415" t="s">
        <v>1947</v>
      </c>
      <c r="D9" s="416" t="e">
        <f>D8/3.785412</f>
        <v>#VALUE!</v>
      </c>
      <c r="E9" s="416" t="e">
        <f>E8/3.785412</f>
        <v>#VALUE!</v>
      </c>
      <c r="F9" s="413"/>
      <c r="G9" s="413"/>
      <c r="H9" s="411"/>
      <c r="I9" s="888"/>
      <c r="J9" s="888"/>
      <c r="K9" s="889"/>
    </row>
    <row r="10" spans="2:12" s="406" customFormat="1" ht="18" customHeight="1" x14ac:dyDescent="0.25">
      <c r="B10" s="402"/>
      <c r="C10" s="414" t="s">
        <v>1857</v>
      </c>
      <c r="D10" s="627">
        <v>0</v>
      </c>
      <c r="E10" s="627">
        <v>0</v>
      </c>
      <c r="F10" s="413"/>
      <c r="G10" s="413"/>
      <c r="H10" s="411"/>
      <c r="I10" s="888"/>
      <c r="J10" s="888"/>
      <c r="K10" s="889"/>
    </row>
    <row r="11" spans="2:12" s="406" customFormat="1" ht="15" customHeight="1" thickBot="1" x14ac:dyDescent="0.3">
      <c r="B11" s="417"/>
      <c r="C11" s="418"/>
      <c r="D11" s="419"/>
      <c r="E11" s="419"/>
      <c r="F11" s="419"/>
      <c r="G11" s="419"/>
      <c r="H11" s="420"/>
      <c r="I11" s="890"/>
      <c r="J11" s="890"/>
      <c r="K11" s="891"/>
    </row>
    <row r="12" spans="2:12" s="406" customFormat="1" ht="15" customHeight="1" x14ac:dyDescent="0.25">
      <c r="B12" s="421"/>
      <c r="C12" s="422" t="s">
        <v>1858</v>
      </c>
      <c r="D12" s="423"/>
      <c r="E12" s="423"/>
      <c r="F12" s="423"/>
      <c r="G12" s="424" t="s">
        <v>1859</v>
      </c>
      <c r="H12" s="425"/>
      <c r="I12" s="425" t="s">
        <v>1860</v>
      </c>
      <c r="J12" s="425" t="s">
        <v>1861</v>
      </c>
      <c r="K12" s="426"/>
    </row>
    <row r="13" spans="2:12" s="406" customFormat="1" ht="15" customHeight="1" x14ac:dyDescent="0.25">
      <c r="B13" s="427"/>
      <c r="C13" s="428"/>
      <c r="D13" s="429" t="s">
        <v>1862</v>
      </c>
      <c r="E13" s="429" t="s">
        <v>1863</v>
      </c>
      <c r="F13" s="429" t="s">
        <v>1864</v>
      </c>
      <c r="G13" s="425" t="s">
        <v>1787</v>
      </c>
      <c r="H13" s="430">
        <v>1</v>
      </c>
      <c r="I13" s="431" t="s">
        <v>1865</v>
      </c>
      <c r="J13" s="432"/>
      <c r="K13" s="433"/>
    </row>
    <row r="14" spans="2:12" s="406" customFormat="1" ht="15" customHeight="1" x14ac:dyDescent="0.25">
      <c r="B14" s="427"/>
      <c r="C14" s="434"/>
      <c r="D14" s="606" t="s">
        <v>66</v>
      </c>
      <c r="E14" s="429" t="s">
        <v>1948</v>
      </c>
      <c r="F14" s="435" t="s">
        <v>1867</v>
      </c>
      <c r="G14" s="425" t="s">
        <v>1868</v>
      </c>
      <c r="H14" s="430">
        <v>2</v>
      </c>
      <c r="I14" s="436" t="s">
        <v>1869</v>
      </c>
      <c r="J14" s="437">
        <v>5.7</v>
      </c>
      <c r="K14" s="438"/>
    </row>
    <row r="15" spans="2:12" s="406" customFormat="1" ht="18" customHeight="1" x14ac:dyDescent="0.25">
      <c r="B15" s="427"/>
      <c r="C15" s="883" t="s">
        <v>1870</v>
      </c>
      <c r="D15" s="605">
        <v>1</v>
      </c>
      <c r="E15" s="545" t="str">
        <f>IF('Brewhouse Setup &amp; Calcs'!$B$2="Metric",'Grain &amp; Sugar Calcs'!C5,"NA")</f>
        <v>NA</v>
      </c>
      <c r="F15" s="439">
        <v>0</v>
      </c>
      <c r="G15" s="440">
        <f>IF(D15=10,5.22-0.00504*F15,VLOOKUP(D15,H$13:J$23,3,FALSE))</f>
        <v>0</v>
      </c>
      <c r="H15" s="430">
        <v>3</v>
      </c>
      <c r="I15" s="436" t="s">
        <v>1871</v>
      </c>
      <c r="J15" s="437">
        <v>5.79</v>
      </c>
      <c r="K15" s="438"/>
    </row>
    <row r="16" spans="2:12" s="406" customFormat="1" ht="18" customHeight="1" x14ac:dyDescent="0.25">
      <c r="B16" s="427"/>
      <c r="C16" s="883"/>
      <c r="D16" s="605">
        <v>1</v>
      </c>
      <c r="E16" s="545" t="str">
        <f>IF('Brewhouse Setup &amp; Calcs'!$B$2="Metric",'Grain &amp; Sugar Calcs'!C6,"NA")</f>
        <v>NA</v>
      </c>
      <c r="F16" s="439">
        <v>0</v>
      </c>
      <c r="G16" s="440">
        <f t="shared" ref="G16:G23" si="0">IF(D16=10,5.22-0.00504*F16,VLOOKUP(D16,H$13:J$23,3,FALSE))</f>
        <v>0</v>
      </c>
      <c r="H16" s="430">
        <v>4</v>
      </c>
      <c r="I16" s="436" t="s">
        <v>1872</v>
      </c>
      <c r="J16" s="437">
        <v>5.77</v>
      </c>
      <c r="K16" s="438"/>
    </row>
    <row r="17" spans="2:12" s="406" customFormat="1" ht="18" customHeight="1" x14ac:dyDescent="0.25">
      <c r="B17" s="427"/>
      <c r="C17" s="883"/>
      <c r="D17" s="605">
        <v>1</v>
      </c>
      <c r="E17" s="545" t="str">
        <f>IF('Brewhouse Setup &amp; Calcs'!$B$2="Metric",'Grain &amp; Sugar Calcs'!C7,"NA")</f>
        <v>NA</v>
      </c>
      <c r="F17" s="439">
        <v>40</v>
      </c>
      <c r="G17" s="440">
        <f t="shared" si="0"/>
        <v>0</v>
      </c>
      <c r="H17" s="430">
        <v>5</v>
      </c>
      <c r="I17" s="436" t="s">
        <v>1873</v>
      </c>
      <c r="J17" s="437">
        <v>5.43</v>
      </c>
      <c r="K17" s="438"/>
    </row>
    <row r="18" spans="2:12" s="406" customFormat="1" ht="18" customHeight="1" x14ac:dyDescent="0.25">
      <c r="B18" s="427"/>
      <c r="C18" s="883"/>
      <c r="D18" s="605">
        <v>1</v>
      </c>
      <c r="E18" s="545" t="str">
        <f>IF('Brewhouse Setup &amp; Calcs'!$B$2="Metric",'Grain &amp; Sugar Calcs'!C8,"NA")</f>
        <v>NA</v>
      </c>
      <c r="F18" s="439">
        <v>0</v>
      </c>
      <c r="G18" s="440">
        <f t="shared" si="0"/>
        <v>0</v>
      </c>
      <c r="H18" s="430">
        <v>6</v>
      </c>
      <c r="I18" s="436" t="s">
        <v>1874</v>
      </c>
      <c r="J18" s="437">
        <v>5.75</v>
      </c>
      <c r="K18" s="438"/>
    </row>
    <row r="19" spans="2:12" s="406" customFormat="1" ht="18" customHeight="1" x14ac:dyDescent="0.25">
      <c r="B19" s="427"/>
      <c r="C19" s="883"/>
      <c r="D19" s="605">
        <v>1</v>
      </c>
      <c r="E19" s="545" t="str">
        <f>IF('Brewhouse Setup &amp; Calcs'!$B$2="Metric",'Grain &amp; Sugar Calcs'!C9,"NA")</f>
        <v>NA</v>
      </c>
      <c r="F19" s="439">
        <v>0</v>
      </c>
      <c r="G19" s="440">
        <f t="shared" si="0"/>
        <v>0</v>
      </c>
      <c r="H19" s="430">
        <v>7</v>
      </c>
      <c r="I19" s="436" t="s">
        <v>1875</v>
      </c>
      <c r="J19" s="437">
        <v>6.04</v>
      </c>
      <c r="K19" s="438"/>
    </row>
    <row r="20" spans="2:12" s="406" customFormat="1" ht="18" customHeight="1" x14ac:dyDescent="0.25">
      <c r="B20" s="427"/>
      <c r="C20" s="883"/>
      <c r="D20" s="605">
        <v>1</v>
      </c>
      <c r="E20" s="545" t="str">
        <f>IF('Brewhouse Setup &amp; Calcs'!$B$2="Metric",'Grain &amp; Sugar Calcs'!C10,"NA")</f>
        <v>NA</v>
      </c>
      <c r="F20" s="439">
        <v>0</v>
      </c>
      <c r="G20" s="440">
        <f t="shared" si="0"/>
        <v>0</v>
      </c>
      <c r="H20" s="430">
        <v>8</v>
      </c>
      <c r="I20" s="436" t="s">
        <v>1876</v>
      </c>
      <c r="J20" s="437">
        <v>5.56</v>
      </c>
      <c r="K20" s="438"/>
    </row>
    <row r="21" spans="2:12" s="406" customFormat="1" ht="18" customHeight="1" x14ac:dyDescent="0.25">
      <c r="B21" s="427"/>
      <c r="C21" s="883"/>
      <c r="D21" s="605">
        <v>1</v>
      </c>
      <c r="E21" s="545" t="str">
        <f>IF('Brewhouse Setup &amp; Calcs'!$B$2="Metric",'Grain &amp; Sugar Calcs'!C11,"NA")</f>
        <v>NA</v>
      </c>
      <c r="F21" s="439">
        <v>0</v>
      </c>
      <c r="G21" s="440">
        <f t="shared" si="0"/>
        <v>0</v>
      </c>
      <c r="H21" s="430">
        <v>9</v>
      </c>
      <c r="I21" s="436" t="s">
        <v>1877</v>
      </c>
      <c r="J21" s="437">
        <v>5.7</v>
      </c>
      <c r="K21" s="438"/>
    </row>
    <row r="22" spans="2:12" s="406" customFormat="1" ht="18" customHeight="1" x14ac:dyDescent="0.25">
      <c r="B22" s="427"/>
      <c r="C22" s="883"/>
      <c r="D22" s="605">
        <v>1</v>
      </c>
      <c r="E22" s="545" t="str">
        <f>IF('Brewhouse Setup &amp; Calcs'!$B$2="Metric",'Grain &amp; Sugar Calcs'!C12,"NA")</f>
        <v>NA</v>
      </c>
      <c r="F22" s="439">
        <v>0</v>
      </c>
      <c r="G22" s="440">
        <f t="shared" si="0"/>
        <v>0</v>
      </c>
      <c r="H22" s="430">
        <v>10</v>
      </c>
      <c r="I22" s="436" t="s">
        <v>1878</v>
      </c>
      <c r="J22" s="437" t="s">
        <v>1879</v>
      </c>
      <c r="K22" s="438"/>
    </row>
    <row r="23" spans="2:12" s="406" customFormat="1" ht="18" customHeight="1" x14ac:dyDescent="0.25">
      <c r="B23" s="427"/>
      <c r="C23" s="883"/>
      <c r="D23" s="605">
        <v>1</v>
      </c>
      <c r="E23" s="545" t="str">
        <f>IF('Brewhouse Setup &amp; Calcs'!$B$2="Metric",'Grain &amp; Sugar Calcs'!C13,"NA")</f>
        <v>NA</v>
      </c>
      <c r="F23" s="439">
        <v>0</v>
      </c>
      <c r="G23" s="440">
        <f t="shared" si="0"/>
        <v>0</v>
      </c>
      <c r="H23" s="430">
        <v>11</v>
      </c>
      <c r="I23" s="441" t="s">
        <v>1880</v>
      </c>
      <c r="J23" s="442">
        <v>4.71</v>
      </c>
      <c r="K23" s="438"/>
    </row>
    <row r="24" spans="2:12" s="406" customFormat="1" ht="15" customHeight="1" x14ac:dyDescent="0.25">
      <c r="B24" s="427"/>
      <c r="C24" s="443"/>
      <c r="D24" s="607" t="s">
        <v>1949</v>
      </c>
      <c r="E24" s="445">
        <f>SUM(E15:E23)</f>
        <v>0</v>
      </c>
      <c r="F24" s="446"/>
      <c r="G24" s="447"/>
      <c r="H24" s="853" t="s">
        <v>1882</v>
      </c>
      <c r="I24" s="854"/>
      <c r="J24" s="854"/>
      <c r="K24" s="855"/>
    </row>
    <row r="25" spans="2:12" s="406" customFormat="1" ht="15" customHeight="1" x14ac:dyDescent="0.25">
      <c r="B25" s="427"/>
      <c r="C25" s="443"/>
      <c r="D25" s="430" t="s">
        <v>1950</v>
      </c>
      <c r="E25" s="448">
        <f>E24*2.20462</f>
        <v>0</v>
      </c>
      <c r="F25" s="449"/>
      <c r="G25" s="447"/>
      <c r="H25" s="854"/>
      <c r="I25" s="854"/>
      <c r="J25" s="854"/>
      <c r="K25" s="855"/>
    </row>
    <row r="26" spans="2:12" s="406" customFormat="1" ht="15" customHeight="1" x14ac:dyDescent="0.25">
      <c r="B26" s="427"/>
      <c r="C26" s="443"/>
      <c r="D26" s="444" t="s">
        <v>1883</v>
      </c>
      <c r="E26" s="445" t="e">
        <f>ROUND(D8/E24,2)&amp;" l/kg"</f>
        <v>#VALUE!</v>
      </c>
      <c r="F26" s="449"/>
      <c r="G26" s="447"/>
      <c r="H26" s="854"/>
      <c r="I26" s="854"/>
      <c r="J26" s="854"/>
      <c r="K26" s="855"/>
    </row>
    <row r="27" spans="2:12" ht="15" customHeight="1" thickBot="1" x14ac:dyDescent="0.3">
      <c r="B27" s="450"/>
      <c r="C27" s="451"/>
      <c r="D27" s="452"/>
      <c r="E27" s="425" t="e">
        <f>ROUND(D9*4/E25,2)&amp;" qt/lb"</f>
        <v>#VALUE!</v>
      </c>
      <c r="F27" s="453"/>
      <c r="G27" s="453"/>
      <c r="H27" s="856"/>
      <c r="I27" s="856"/>
      <c r="J27" s="856"/>
      <c r="K27" s="857"/>
      <c r="L27" s="392"/>
    </row>
    <row r="28" spans="2:12" ht="14.25" customHeight="1" x14ac:dyDescent="0.25">
      <c r="B28" s="454"/>
      <c r="C28" s="455" t="s">
        <v>1884</v>
      </c>
      <c r="D28" s="456"/>
      <c r="E28" s="457"/>
      <c r="F28" s="458"/>
      <c r="G28" s="458"/>
      <c r="H28" s="858" t="s">
        <v>1885</v>
      </c>
      <c r="I28" s="858"/>
      <c r="J28" s="858"/>
      <c r="K28" s="859"/>
      <c r="L28" s="392"/>
    </row>
    <row r="29" spans="2:12" ht="15" customHeight="1" x14ac:dyDescent="0.25">
      <c r="B29" s="459"/>
      <c r="C29" s="460"/>
      <c r="D29" s="862" t="s">
        <v>1886</v>
      </c>
      <c r="E29" s="864" t="s">
        <v>1887</v>
      </c>
      <c r="F29" s="867" t="s">
        <v>1888</v>
      </c>
      <c r="G29" s="869" t="s">
        <v>1889</v>
      </c>
      <c r="H29" s="860"/>
      <c r="I29" s="860"/>
      <c r="J29" s="860"/>
      <c r="K29" s="861"/>
      <c r="L29" s="392"/>
    </row>
    <row r="30" spans="2:12" ht="15" customHeight="1" x14ac:dyDescent="0.25">
      <c r="B30" s="459"/>
      <c r="C30" s="461"/>
      <c r="D30" s="862"/>
      <c r="E30" s="865"/>
      <c r="F30" s="867"/>
      <c r="G30" s="869"/>
      <c r="H30" s="860"/>
      <c r="I30" s="860"/>
      <c r="J30" s="860"/>
      <c r="K30" s="861"/>
      <c r="L30" s="392"/>
    </row>
    <row r="31" spans="2:12" ht="15" customHeight="1" thickBot="1" x14ac:dyDescent="0.3">
      <c r="B31" s="459"/>
      <c r="C31" s="462"/>
      <c r="D31" s="863"/>
      <c r="E31" s="866"/>
      <c r="F31" s="868"/>
      <c r="G31" s="870"/>
      <c r="H31" s="463"/>
      <c r="I31" s="463"/>
      <c r="J31" s="463"/>
      <c r="K31" s="464"/>
      <c r="L31" s="392"/>
    </row>
    <row r="32" spans="2:12" ht="27.75" customHeight="1" thickTop="1" thickBot="1" x14ac:dyDescent="0.3">
      <c r="B32" s="459"/>
      <c r="C32" s="465"/>
      <c r="D32" s="466" t="e">
        <f>(1-D$10)*I$5*IF(K$3=1,50/61,IF(OR(K$3=0,K$3=2),1,"ERROR"))+(F$44*130+E$44*157-176.1*J37*J36*2-4160.4*H36*H38*2.5+D$44*357)/D$9</f>
        <v>#VALUE!</v>
      </c>
      <c r="E32" s="467" t="e">
        <f>D32-((D51/1.4)+(E51/1.7))</f>
        <v>#VALUE!</v>
      </c>
      <c r="F32" s="468" t="e">
        <f>(E15*G15+E16*G16+E17*G17+E18*G18+E19*G19+E20*G20+E21*G21+E22*G22+E23*G23)/E24+(0.1085*D9/E25+0.013)*E32/50</f>
        <v>#VALUE!</v>
      </c>
      <c r="G32" s="469" t="s">
        <v>1890</v>
      </c>
      <c r="H32" s="860" t="s">
        <v>1891</v>
      </c>
      <c r="I32" s="871"/>
      <c r="J32" s="871"/>
      <c r="K32" s="872"/>
      <c r="L32" s="392"/>
    </row>
    <row r="33" spans="2:12" ht="15" customHeight="1" thickTop="1" thickBot="1" x14ac:dyDescent="0.3">
      <c r="B33" s="470"/>
      <c r="C33" s="471"/>
      <c r="D33" s="471"/>
      <c r="E33" s="471"/>
      <c r="F33" s="471"/>
      <c r="G33" s="472"/>
      <c r="H33" s="873"/>
      <c r="I33" s="873"/>
      <c r="J33" s="873"/>
      <c r="K33" s="874"/>
      <c r="L33" s="392"/>
    </row>
    <row r="34" spans="2:12" ht="15" customHeight="1" x14ac:dyDescent="0.25">
      <c r="B34" s="473"/>
      <c r="C34" s="474" t="s">
        <v>1892</v>
      </c>
      <c r="D34" s="475"/>
      <c r="E34" s="475"/>
      <c r="F34" s="475"/>
      <c r="G34" s="475"/>
      <c r="H34" s="475"/>
      <c r="I34" s="476"/>
      <c r="J34" s="477"/>
      <c r="K34" s="478"/>
      <c r="L34" s="392"/>
    </row>
    <row r="35" spans="2:12" ht="15" customHeight="1" x14ac:dyDescent="0.25">
      <c r="B35" s="479"/>
      <c r="C35" s="480"/>
      <c r="D35" s="481" t="s">
        <v>1893</v>
      </c>
      <c r="E35" s="481" t="s">
        <v>1894</v>
      </c>
      <c r="F35" s="481" t="s">
        <v>1895</v>
      </c>
      <c r="G35" s="482"/>
      <c r="H35" s="482" t="s">
        <v>1896</v>
      </c>
      <c r="I35" s="483"/>
      <c r="J35" s="482" t="s">
        <v>1897</v>
      </c>
      <c r="K35" s="484"/>
      <c r="L35" s="392"/>
    </row>
    <row r="36" spans="2:12" ht="15" customHeight="1" x14ac:dyDescent="0.25">
      <c r="B36" s="479"/>
      <c r="C36" s="485" t="s">
        <v>1898</v>
      </c>
      <c r="D36" s="482" t="s">
        <v>1899</v>
      </c>
      <c r="E36" s="482" t="s">
        <v>1900</v>
      </c>
      <c r="F36" s="482" t="s">
        <v>1901</v>
      </c>
      <c r="G36" s="486" t="s">
        <v>1902</v>
      </c>
      <c r="H36" s="333">
        <v>0.02</v>
      </c>
      <c r="I36" s="487" t="s">
        <v>1902</v>
      </c>
      <c r="J36" s="335">
        <v>0.88</v>
      </c>
      <c r="K36" s="484"/>
      <c r="L36" s="392"/>
    </row>
    <row r="37" spans="2:12" s="406" customFormat="1" ht="18" customHeight="1" x14ac:dyDescent="0.25">
      <c r="B37" s="488"/>
      <c r="C37" s="486" t="s">
        <v>1903</v>
      </c>
      <c r="D37" s="629"/>
      <c r="E37" s="629"/>
      <c r="F37" s="629"/>
      <c r="G37" s="487" t="s">
        <v>1951</v>
      </c>
      <c r="H37" s="590">
        <v>0</v>
      </c>
      <c r="I37" s="487" t="s">
        <v>1905</v>
      </c>
      <c r="J37" s="629">
        <v>0</v>
      </c>
      <c r="K37" s="489"/>
    </row>
    <row r="38" spans="2:12" ht="18" customHeight="1" x14ac:dyDescent="0.25">
      <c r="B38" s="479"/>
      <c r="C38" s="486" t="s">
        <v>1906</v>
      </c>
      <c r="D38" s="604" t="b">
        <v>1</v>
      </c>
      <c r="E38" s="604" t="b">
        <v>1</v>
      </c>
      <c r="F38" s="604" t="b">
        <v>1</v>
      </c>
      <c r="G38" s="490" t="s">
        <v>1904</v>
      </c>
      <c r="H38" s="491">
        <f>H37/28.34952</f>
        <v>0</v>
      </c>
      <c r="I38" s="492" t="s">
        <v>1907</v>
      </c>
      <c r="J38" s="483"/>
      <c r="K38" s="484"/>
      <c r="L38" s="392"/>
    </row>
    <row r="39" spans="2:12" s="406" customFormat="1" ht="18" customHeight="1" x14ac:dyDescent="0.25">
      <c r="B39" s="488"/>
      <c r="C39" s="486" t="s">
        <v>1908</v>
      </c>
      <c r="D39" s="493" t="e">
        <f>IF(D38,D37/$D8*$E8,0)</f>
        <v>#VALUE!</v>
      </c>
      <c r="E39" s="493" t="e">
        <f>IF(E38,E37/$D8*$E8,0)</f>
        <v>#VALUE!</v>
      </c>
      <c r="F39" s="493" t="e">
        <f>IF(F38,F37/$D8*$E8,0)</f>
        <v>#VALUE!</v>
      </c>
      <c r="G39" s="494"/>
      <c r="H39" s="495" t="e">
        <f>"("&amp;ROUND(100*H37/E24/1000,1)&amp;"% of total wt)"</f>
        <v>#DIV/0!</v>
      </c>
      <c r="I39" s="496" t="s">
        <v>1952</v>
      </c>
      <c r="J39" s="497"/>
      <c r="K39" s="498"/>
    </row>
    <row r="40" spans="2:12" s="406" customFormat="1" ht="15" customHeight="1" thickBot="1" x14ac:dyDescent="0.3">
      <c r="B40" s="488"/>
      <c r="C40" s="499" t="s">
        <v>1910</v>
      </c>
      <c r="D40" s="494"/>
      <c r="E40" s="494"/>
      <c r="F40" s="494"/>
      <c r="G40" s="494"/>
      <c r="H40" s="500"/>
      <c r="I40" s="497"/>
      <c r="J40" s="501"/>
      <c r="K40" s="502"/>
    </row>
    <row r="41" spans="2:12" s="406" customFormat="1" ht="15" customHeight="1" x14ac:dyDescent="0.25">
      <c r="B41" s="503"/>
      <c r="C41" s="474" t="s">
        <v>1911</v>
      </c>
      <c r="D41" s="504"/>
      <c r="E41" s="504"/>
      <c r="F41" s="504"/>
      <c r="G41" s="875" t="s">
        <v>1912</v>
      </c>
      <c r="H41" s="875"/>
      <c r="I41" s="875"/>
      <c r="J41" s="875"/>
      <c r="K41" s="876"/>
    </row>
    <row r="42" spans="2:12" s="406" customFormat="1" ht="15" customHeight="1" x14ac:dyDescent="0.25">
      <c r="B42" s="488"/>
      <c r="C42" s="486"/>
      <c r="D42" s="481" t="s">
        <v>1913</v>
      </c>
      <c r="E42" s="481" t="s">
        <v>1914</v>
      </c>
      <c r="F42" s="505" t="s">
        <v>1915</v>
      </c>
      <c r="G42" s="877"/>
      <c r="H42" s="877"/>
      <c r="I42" s="877"/>
      <c r="J42" s="877"/>
      <c r="K42" s="878"/>
    </row>
    <row r="43" spans="2:12" s="406" customFormat="1" ht="15" customHeight="1" x14ac:dyDescent="0.25">
      <c r="B43" s="479"/>
      <c r="C43" s="485" t="s">
        <v>1898</v>
      </c>
      <c r="D43" s="482" t="s">
        <v>1916</v>
      </c>
      <c r="E43" s="482" t="s">
        <v>1917</v>
      </c>
      <c r="F43" s="506" t="s">
        <v>1918</v>
      </c>
      <c r="G43" s="877"/>
      <c r="H43" s="877"/>
      <c r="I43" s="877"/>
      <c r="J43" s="877"/>
      <c r="K43" s="878"/>
    </row>
    <row r="44" spans="2:12" s="406" customFormat="1" ht="18" customHeight="1" x14ac:dyDescent="0.25">
      <c r="B44" s="488"/>
      <c r="C44" s="486" t="s">
        <v>1903</v>
      </c>
      <c r="D44" s="629"/>
      <c r="E44" s="629"/>
      <c r="F44" s="629"/>
      <c r="G44" s="507"/>
      <c r="H44" s="507"/>
      <c r="I44" s="507"/>
      <c r="J44" s="494"/>
      <c r="K44" s="489"/>
    </row>
    <row r="45" spans="2:12" s="406" customFormat="1" ht="18" customHeight="1" x14ac:dyDescent="0.25">
      <c r="B45" s="479"/>
      <c r="C45" s="486" t="s">
        <v>1906</v>
      </c>
      <c r="D45" s="604" t="b">
        <v>1</v>
      </c>
      <c r="E45" s="604" t="b">
        <v>1</v>
      </c>
      <c r="F45" s="604" t="b">
        <v>1</v>
      </c>
      <c r="G45" s="507"/>
      <c r="H45" s="507"/>
      <c r="I45" s="507"/>
      <c r="J45" s="494"/>
      <c r="K45" s="489"/>
    </row>
    <row r="46" spans="2:12" s="406" customFormat="1" ht="18" customHeight="1" x14ac:dyDescent="0.25">
      <c r="B46" s="488"/>
      <c r="C46" s="486" t="s">
        <v>1908</v>
      </c>
      <c r="D46" s="493" t="e">
        <f>IF(D45,D44/$D8*$E8,0)</f>
        <v>#VALUE!</v>
      </c>
      <c r="E46" s="493" t="e">
        <f>IF(E45,E44/$D8*$E8,0)</f>
        <v>#VALUE!</v>
      </c>
      <c r="F46" s="493" t="e">
        <f>IF(F45,F44/$D8*$E8,0)</f>
        <v>#VALUE!</v>
      </c>
      <c r="G46" s="494"/>
      <c r="H46" s="482"/>
      <c r="I46" s="482"/>
      <c r="J46" s="494"/>
      <c r="K46" s="489"/>
    </row>
    <row r="47" spans="2:12" ht="15" customHeight="1" thickBot="1" x14ac:dyDescent="0.3">
      <c r="B47" s="488"/>
      <c r="C47" s="499" t="s">
        <v>1910</v>
      </c>
      <c r="D47" s="508"/>
      <c r="E47" s="508"/>
      <c r="F47" s="509"/>
      <c r="G47" s="510"/>
      <c r="H47" s="508"/>
      <c r="I47" s="509"/>
      <c r="J47" s="509"/>
      <c r="K47" s="511"/>
      <c r="L47" s="392"/>
    </row>
    <row r="48" spans="2:12" ht="15" customHeight="1" x14ac:dyDescent="0.25">
      <c r="B48" s="393"/>
      <c r="C48" s="394" t="s">
        <v>1919</v>
      </c>
      <c r="D48" s="395"/>
      <c r="E48" s="395"/>
      <c r="F48" s="395"/>
      <c r="G48" s="395"/>
      <c r="H48" s="395"/>
      <c r="I48" s="395"/>
      <c r="J48" s="395"/>
      <c r="K48" s="512"/>
      <c r="L48" s="392"/>
    </row>
    <row r="49" spans="1:14" ht="15" customHeight="1" x14ac:dyDescent="0.25">
      <c r="B49" s="397"/>
      <c r="C49" s="398"/>
      <c r="D49" s="399" t="s">
        <v>1837</v>
      </c>
      <c r="E49" s="399" t="s">
        <v>1838</v>
      </c>
      <c r="F49" s="399" t="s">
        <v>1839</v>
      </c>
      <c r="G49" s="399" t="s">
        <v>1840</v>
      </c>
      <c r="H49" s="399" t="s">
        <v>1841</v>
      </c>
      <c r="I49" s="879" t="s">
        <v>1920</v>
      </c>
      <c r="J49" s="879"/>
      <c r="K49" s="513"/>
      <c r="L49" s="392"/>
    </row>
    <row r="50" spans="1:14" s="514" customFormat="1" ht="15" customHeight="1" x14ac:dyDescent="0.35">
      <c r="B50" s="515"/>
      <c r="C50" s="516"/>
      <c r="D50" s="401" t="s">
        <v>1844</v>
      </c>
      <c r="E50" s="401" t="s">
        <v>1845</v>
      </c>
      <c r="F50" s="401" t="s">
        <v>1846</v>
      </c>
      <c r="G50" s="401" t="s">
        <v>1847</v>
      </c>
      <c r="H50" s="401" t="s">
        <v>1848</v>
      </c>
      <c r="I50" s="880" t="s">
        <v>1921</v>
      </c>
      <c r="J50" s="880"/>
      <c r="K50" s="517"/>
      <c r="L50" s="518"/>
      <c r="M50" s="406"/>
    </row>
    <row r="51" spans="1:14" s="406" customFormat="1" ht="18" customHeight="1" thickBot="1" x14ac:dyDescent="0.3">
      <c r="B51" s="402"/>
      <c r="C51" s="414" t="s">
        <v>1922</v>
      </c>
      <c r="D51" s="519" t="e">
        <f>(1-D$10)*D$5+(F$44*105.89+D$37*60+E$37*72+D$44*143)/D$9</f>
        <v>#VALUE!</v>
      </c>
      <c r="E51" s="519" t="e">
        <f>(1-D$10)*E$5+F$37*24.6/D$9</f>
        <v>#VALUE!</v>
      </c>
      <c r="F51" s="519" t="e">
        <f>(1-D$10)*F$5+E$44*72.3/D$9</f>
        <v>#VALUE!</v>
      </c>
      <c r="G51" s="519" t="e">
        <f>(1-D$10)*G$5+E$37*127.47/D$9</f>
        <v>#VALUE!</v>
      </c>
      <c r="H51" s="519" t="e">
        <f>(1-D$10)*H$5+(D$37*147.4+F$37*103)/D$9</f>
        <v>#VALUE!</v>
      </c>
      <c r="I51" s="881" t="e">
        <f>G51/H51</f>
        <v>#VALUE!</v>
      </c>
      <c r="J51" s="882"/>
      <c r="K51" s="405"/>
    </row>
    <row r="52" spans="1:14" s="406" customFormat="1" ht="18" customHeight="1" thickBot="1" x14ac:dyDescent="0.3">
      <c r="B52" s="402"/>
      <c r="C52" s="414" t="s">
        <v>1923</v>
      </c>
      <c r="D52" s="520" t="e">
        <f>IF(E8=0,D51,(1-(((D$10*D$9)+(E$10*E$9))/(D$9+E$9)))*D$5+((F$44+F$46)*105.89+(D$37+D$39)*60+(E$37+E$39)*72+(D$44+D$46)*143)/(D$9+E$9))</f>
        <v>#VALUE!</v>
      </c>
      <c r="E52" s="520" t="e">
        <f>IF(E8=0,E51,(1-(((D$10*D$9)+(E$10*E$9))/(D$9+E$9)))*E$5+(F$37+F$39)*24.6/(D$9+E$9))</f>
        <v>#VALUE!</v>
      </c>
      <c r="F52" s="520" t="e">
        <f>IF(E8=0,F51,(1-(((D$10*D$9)+(E$10*E$9))/(D$9+E$9)))*F$5+(E$44+E$46)*72.3/(D$9+E$9))</f>
        <v>#VALUE!</v>
      </c>
      <c r="G52" s="520" t="e">
        <f>IF(E8=0,G51,(1-(((D$10*D$9)+(E$10*E$9))/(D$9+E$9)))*G$5+(E$37+E$39)*127.47/(D$9+E$9))</f>
        <v>#VALUE!</v>
      </c>
      <c r="H52" s="520" t="e">
        <f>IF(E8=0,H51,(1-(((D$10*D$9)+(E$10*E$9))/(D$9+E$9)))*H$5+((D$37+D$39)*147.4+(F$37+F$39)*103)/(D$9+E$9))</f>
        <v>#VALUE!</v>
      </c>
      <c r="I52" s="851" t="e">
        <f>G52/H52</f>
        <v>#VALUE!</v>
      </c>
      <c r="J52" s="852"/>
      <c r="K52" s="405"/>
      <c r="M52" s="392"/>
    </row>
    <row r="53" spans="1:14" ht="18" customHeight="1" x14ac:dyDescent="0.25">
      <c r="B53" s="397"/>
      <c r="C53" s="521" t="s">
        <v>1924</v>
      </c>
      <c r="D53" s="522" t="s">
        <v>1925</v>
      </c>
      <c r="E53" s="523" t="s">
        <v>1926</v>
      </c>
      <c r="F53" s="522" t="s">
        <v>1927</v>
      </c>
      <c r="G53" s="522" t="s">
        <v>1928</v>
      </c>
      <c r="H53" s="524" t="s">
        <v>1929</v>
      </c>
      <c r="I53" s="841" t="e">
        <f>IF(I52&lt;0.77,"Below .77, May enhance bitterness", IF(I52&lt;1.3,".77 to 1.3 = Balanced","Above 1.3 may enhance maltiness"))</f>
        <v>#VALUE!</v>
      </c>
      <c r="J53" s="842"/>
      <c r="K53" s="513"/>
      <c r="L53" s="392"/>
    </row>
    <row r="54" spans="1:14" ht="15" customHeight="1" x14ac:dyDescent="0.25">
      <c r="B54" s="397"/>
      <c r="C54" s="843" t="s">
        <v>1930</v>
      </c>
      <c r="D54" s="843"/>
      <c r="E54" s="843"/>
      <c r="F54" s="843"/>
      <c r="G54" s="843"/>
      <c r="H54" s="843"/>
      <c r="I54" s="843"/>
      <c r="J54" s="843"/>
      <c r="K54" s="844"/>
      <c r="L54" s="392"/>
      <c r="M54" s="406"/>
      <c r="N54" s="518"/>
    </row>
    <row r="55" spans="1:14" ht="15" customHeight="1" thickBot="1" x14ac:dyDescent="0.3">
      <c r="B55" s="525"/>
      <c r="C55" s="845"/>
      <c r="D55" s="845"/>
      <c r="E55" s="845"/>
      <c r="F55" s="845"/>
      <c r="G55" s="845"/>
      <c r="H55" s="845"/>
      <c r="I55" s="846"/>
      <c r="J55" s="846"/>
      <c r="K55" s="847"/>
    </row>
    <row r="56" spans="1:14" s="526" customFormat="1" ht="15" customHeight="1" x14ac:dyDescent="0.25">
      <c r="B56" s="527"/>
      <c r="C56" s="528"/>
      <c r="D56" s="528"/>
      <c r="E56" s="528"/>
      <c r="F56" s="528"/>
      <c r="G56" s="528"/>
      <c r="H56" s="528"/>
      <c r="I56" s="529"/>
      <c r="J56" s="529"/>
      <c r="K56" s="529"/>
    </row>
    <row r="57" spans="1:14" s="526" customFormat="1" ht="23.25" customHeight="1" x14ac:dyDescent="0.25">
      <c r="B57" s="527"/>
      <c r="C57" s="848" t="s">
        <v>1931</v>
      </c>
      <c r="D57" s="848"/>
      <c r="E57" s="848"/>
      <c r="F57" s="848"/>
      <c r="G57" s="848"/>
      <c r="H57" s="848"/>
      <c r="I57" s="848"/>
      <c r="J57" s="848"/>
      <c r="K57" s="848"/>
    </row>
    <row r="58" spans="1:14" ht="15" customHeight="1" x14ac:dyDescent="0.25">
      <c r="A58" s="530"/>
      <c r="B58" s="531"/>
      <c r="C58" s="532"/>
      <c r="D58" s="532"/>
      <c r="E58" s="532"/>
      <c r="F58" s="532"/>
      <c r="G58" s="532"/>
      <c r="H58" s="532"/>
      <c r="I58" s="533"/>
      <c r="J58" s="533"/>
      <c r="K58" s="533"/>
    </row>
    <row r="59" spans="1:14" ht="15" customHeight="1" x14ac:dyDescent="0.25">
      <c r="A59" s="530"/>
      <c r="B59" s="531"/>
      <c r="C59" s="532"/>
      <c r="D59" s="534" t="s">
        <v>1932</v>
      </c>
      <c r="E59" s="535"/>
      <c r="F59" s="535"/>
      <c r="G59" s="532"/>
      <c r="H59" s="532"/>
      <c r="I59" s="533"/>
      <c r="J59" s="533"/>
      <c r="K59" s="533"/>
    </row>
    <row r="60" spans="1:14" ht="15" customHeight="1" x14ac:dyDescent="0.25">
      <c r="A60" s="530"/>
      <c r="B60" s="531"/>
      <c r="C60" s="532"/>
      <c r="D60" s="535"/>
      <c r="E60" s="535"/>
      <c r="F60" s="535"/>
      <c r="G60" s="532"/>
      <c r="H60" s="532"/>
      <c r="I60" s="533"/>
      <c r="J60" s="533"/>
      <c r="K60" s="533"/>
    </row>
    <row r="61" spans="1:14" ht="15" customHeight="1" x14ac:dyDescent="0.25">
      <c r="A61" s="530"/>
      <c r="B61" s="531"/>
      <c r="C61" s="532"/>
      <c r="D61" s="535"/>
      <c r="E61" s="535"/>
      <c r="F61" s="535"/>
      <c r="G61" s="532"/>
      <c r="H61" s="532"/>
      <c r="I61" s="533"/>
      <c r="J61" s="533"/>
      <c r="K61" s="533"/>
    </row>
    <row r="62" spans="1:14" ht="15" customHeight="1" x14ac:dyDescent="0.25">
      <c r="A62" s="530"/>
      <c r="B62" s="531"/>
      <c r="C62" s="532"/>
      <c r="D62" s="536"/>
      <c r="E62" s="536"/>
      <c r="F62" s="532"/>
      <c r="G62" s="532"/>
      <c r="H62" s="532"/>
      <c r="I62" s="533"/>
      <c r="J62" s="533"/>
      <c r="K62" s="533"/>
    </row>
    <row r="63" spans="1:14" ht="15" customHeight="1" x14ac:dyDescent="0.25">
      <c r="A63" s="530"/>
      <c r="B63" s="531"/>
      <c r="C63" s="534" t="s">
        <v>1933</v>
      </c>
      <c r="D63" s="536"/>
      <c r="E63" s="536"/>
      <c r="F63" s="532"/>
      <c r="G63" s="532"/>
      <c r="H63" s="532"/>
      <c r="I63" s="533"/>
      <c r="J63" s="533"/>
      <c r="K63" s="533"/>
    </row>
    <row r="64" spans="1:14" ht="41.25" customHeight="1" x14ac:dyDescent="0.25">
      <c r="A64" s="530"/>
      <c r="B64" s="531"/>
      <c r="C64" s="532"/>
      <c r="D64" s="536"/>
      <c r="E64" s="536"/>
      <c r="F64" s="532"/>
      <c r="G64" s="532"/>
      <c r="H64" s="532"/>
      <c r="I64" s="533"/>
      <c r="J64" s="533"/>
      <c r="K64" s="533"/>
    </row>
    <row r="65" spans="1:11" s="537" customFormat="1" ht="21.75" customHeight="1" x14ac:dyDescent="0.3">
      <c r="C65" s="849" t="s">
        <v>1934</v>
      </c>
      <c r="D65" s="849"/>
      <c r="E65" s="849"/>
      <c r="F65" s="849"/>
      <c r="G65" s="849"/>
      <c r="H65" s="849"/>
      <c r="I65" s="849"/>
      <c r="J65" s="849"/>
    </row>
    <row r="66" spans="1:11" ht="12" customHeight="1" x14ac:dyDescent="0.25">
      <c r="C66" s="850" t="s">
        <v>1935</v>
      </c>
      <c r="D66" s="850"/>
      <c r="E66" s="850"/>
      <c r="F66" s="850"/>
      <c r="G66" s="850"/>
      <c r="H66" s="850"/>
      <c r="I66" s="850"/>
      <c r="J66" s="850"/>
      <c r="K66" s="850"/>
    </row>
    <row r="67" spans="1:11" ht="12" customHeight="1" x14ac:dyDescent="0.25">
      <c r="C67" s="787" t="s">
        <v>1936</v>
      </c>
      <c r="D67" s="787"/>
      <c r="E67" s="787"/>
      <c r="F67" s="787"/>
      <c r="G67" s="787"/>
      <c r="H67" s="787"/>
      <c r="I67" s="787"/>
      <c r="J67" s="787"/>
      <c r="K67" s="787"/>
    </row>
    <row r="68" spans="1:11" x14ac:dyDescent="0.25">
      <c r="A68" s="538"/>
      <c r="B68" s="538"/>
      <c r="C68" s="539" t="s">
        <v>1937</v>
      </c>
      <c r="D68" s="385"/>
      <c r="E68" s="385"/>
      <c r="F68" s="385"/>
      <c r="G68" s="540"/>
      <c r="H68" s="540"/>
      <c r="I68" s="540"/>
      <c r="J68" s="540"/>
      <c r="K68" s="540"/>
    </row>
    <row r="69" spans="1:11" x14ac:dyDescent="0.25">
      <c r="C69" s="788" t="s">
        <v>1938</v>
      </c>
      <c r="D69" s="788"/>
      <c r="E69" s="788"/>
      <c r="F69" s="788"/>
      <c r="G69" s="788"/>
      <c r="H69" s="788"/>
      <c r="I69" s="788"/>
      <c r="J69" s="788"/>
    </row>
    <row r="70" spans="1:11" x14ac:dyDescent="0.25">
      <c r="C70" s="541" t="s">
        <v>1939</v>
      </c>
      <c r="D70" s="389"/>
      <c r="E70" s="389"/>
      <c r="F70" s="389"/>
      <c r="G70" s="389"/>
      <c r="H70" s="389"/>
      <c r="I70" s="389"/>
      <c r="J70" s="389"/>
    </row>
    <row r="71" spans="1:11" x14ac:dyDescent="0.25">
      <c r="C71" s="788" t="s">
        <v>1940</v>
      </c>
      <c r="D71" s="788"/>
      <c r="E71" s="788"/>
      <c r="F71" s="788"/>
      <c r="G71" s="788"/>
      <c r="H71" s="788"/>
      <c r="I71" s="788"/>
      <c r="J71" s="788"/>
    </row>
    <row r="73" spans="1:11" x14ac:dyDescent="0.25">
      <c r="C73" s="390" t="s">
        <v>1941</v>
      </c>
    </row>
    <row r="74" spans="1:11" ht="12.75" customHeight="1" x14ac:dyDescent="0.25">
      <c r="C74" s="541" t="s">
        <v>1953</v>
      </c>
    </row>
    <row r="75" spans="1:11" x14ac:dyDescent="0.25">
      <c r="C75" s="390" t="s">
        <v>1943</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2"/>
  <sheetViews>
    <sheetView zoomScale="120" zoomScaleNormal="120" workbookViewId="0">
      <pane ySplit="1" topLeftCell="A2" activePane="bottomLeft" state="frozen"/>
      <selection pane="bottomLeft" activeCell="D7" sqref="D7"/>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1410</v>
      </c>
      <c r="B1" s="103" t="s">
        <v>1359</v>
      </c>
      <c r="C1" s="103" t="s">
        <v>1409</v>
      </c>
      <c r="D1" s="103" t="s">
        <v>1651</v>
      </c>
      <c r="E1" s="103" t="s">
        <v>1646</v>
      </c>
      <c r="F1" s="103" t="s">
        <v>1641</v>
      </c>
      <c r="G1" s="103" t="s">
        <v>1605</v>
      </c>
      <c r="H1" s="103" t="s">
        <v>1358</v>
      </c>
    </row>
    <row r="2" spans="1:8" s="100" customFormat="1" x14ac:dyDescent="0.25">
      <c r="A2" s="23" t="s">
        <v>1452</v>
      </c>
      <c r="B2" s="23" t="s">
        <v>1360</v>
      </c>
      <c r="C2" s="51" t="s">
        <v>89</v>
      </c>
      <c r="D2" s="155">
        <v>0.76</v>
      </c>
      <c r="E2" s="155">
        <v>0.1</v>
      </c>
      <c r="F2" s="153">
        <f>(grains_table[[#This Row],[Extract %]]*46.214)/1000+1</f>
        <v>1.03512264</v>
      </c>
      <c r="G2" s="626">
        <v>3.3</v>
      </c>
      <c r="H2" s="133" t="s">
        <v>1401</v>
      </c>
    </row>
    <row r="3" spans="1:8" s="100" customFormat="1" x14ac:dyDescent="0.25">
      <c r="A3" s="23" t="s">
        <v>1453</v>
      </c>
      <c r="B3" s="23" t="s">
        <v>1405</v>
      </c>
      <c r="C3" s="51" t="s">
        <v>89</v>
      </c>
      <c r="D3" s="155">
        <v>0.76</v>
      </c>
      <c r="E3" s="155">
        <v>0.08</v>
      </c>
      <c r="F3" s="153">
        <f>(grains_table[[#This Row],[Extract %]]*46.214)/1000+1</f>
        <v>1.03512264</v>
      </c>
      <c r="G3" s="138">
        <v>4</v>
      </c>
      <c r="H3" s="134" t="s">
        <v>1440</v>
      </c>
    </row>
    <row r="4" spans="1:8" ht="13.2" customHeight="1" x14ac:dyDescent="0.25">
      <c r="A4" s="23" t="s">
        <v>2071</v>
      </c>
      <c r="B4" s="168" t="s">
        <v>2041</v>
      </c>
      <c r="C4" s="97" t="s">
        <v>89</v>
      </c>
      <c r="D4" s="152">
        <v>0.26</v>
      </c>
      <c r="E4" s="152">
        <v>6.5000000000000002E-2</v>
      </c>
      <c r="F4" s="153">
        <f>(grains_table[[#This Row],[Extract %]]*46.214)/1000+1</f>
        <v>1.01201564</v>
      </c>
      <c r="G4" s="626">
        <v>2.2000000000000002</v>
      </c>
      <c r="H4" s="133" t="s">
        <v>2042</v>
      </c>
    </row>
    <row r="5" spans="1:8" ht="13.2" customHeight="1" x14ac:dyDescent="0.25">
      <c r="A5" s="23" t="s">
        <v>1652</v>
      </c>
      <c r="B5" s="23" t="s">
        <v>1363</v>
      </c>
      <c r="C5" s="51" t="s">
        <v>89</v>
      </c>
      <c r="D5" s="155">
        <v>0.79</v>
      </c>
      <c r="E5" s="155">
        <v>4.4999999999999998E-2</v>
      </c>
      <c r="F5" s="153">
        <f>(grains_table[[#This Row],[Extract %]]*46.214)/1000+1</f>
        <v>1.03650906</v>
      </c>
      <c r="G5" s="131">
        <v>19</v>
      </c>
      <c r="H5" s="133" t="s">
        <v>1398</v>
      </c>
    </row>
    <row r="6" spans="1:8" ht="13.2" customHeight="1" x14ac:dyDescent="0.25">
      <c r="A6" s="23" t="s">
        <v>1602</v>
      </c>
      <c r="B6" s="23" t="s">
        <v>1361</v>
      </c>
      <c r="C6" s="51" t="s">
        <v>89</v>
      </c>
      <c r="D6" s="155">
        <v>0.7</v>
      </c>
      <c r="E6" s="155">
        <v>0.05</v>
      </c>
      <c r="F6" s="153">
        <f>(grains_table[[#This Row],[Extract %]]*46.214)/1000+1</f>
        <v>1.0323498</v>
      </c>
      <c r="G6" s="131">
        <v>22.8</v>
      </c>
      <c r="H6" s="133" t="s">
        <v>1376</v>
      </c>
    </row>
    <row r="7" spans="1:8" ht="13.2" customHeight="1" x14ac:dyDescent="0.25">
      <c r="A7" s="23" t="s">
        <v>1454</v>
      </c>
      <c r="B7" s="23" t="s">
        <v>1363</v>
      </c>
      <c r="C7" s="51" t="s">
        <v>89</v>
      </c>
      <c r="D7" s="155">
        <v>0.77</v>
      </c>
      <c r="E7" s="155">
        <v>4.4999999999999998E-2</v>
      </c>
      <c r="F7" s="153">
        <f>(grains_table[[#This Row],[Extract %]]*46.214)/1000+1</f>
        <v>1.03558478</v>
      </c>
      <c r="G7" s="132">
        <v>38</v>
      </c>
      <c r="H7" s="133" t="s">
        <v>1398</v>
      </c>
    </row>
    <row r="8" spans="1:8" ht="13.2" customHeight="1" x14ac:dyDescent="0.25">
      <c r="A8" s="23" t="s">
        <v>1628</v>
      </c>
      <c r="B8" s="23" t="s">
        <v>1363</v>
      </c>
      <c r="C8" s="51" t="s">
        <v>89</v>
      </c>
      <c r="D8" s="155">
        <v>0.77</v>
      </c>
      <c r="E8" s="155">
        <v>4.4999999999999998E-2</v>
      </c>
      <c r="F8" s="153">
        <f>(grains_table[[#This Row],[Extract %]]*46.214)/1000+1</f>
        <v>1.03558478</v>
      </c>
      <c r="G8" s="132">
        <v>57</v>
      </c>
      <c r="H8" s="133" t="s">
        <v>1398</v>
      </c>
    </row>
    <row r="9" spans="1:8" ht="13.2" customHeight="1" x14ac:dyDescent="0.25">
      <c r="A9" s="23" t="s">
        <v>2045</v>
      </c>
      <c r="B9" s="168" t="s">
        <v>2041</v>
      </c>
      <c r="C9" s="97" t="s">
        <v>89</v>
      </c>
      <c r="D9" s="152">
        <v>0.81</v>
      </c>
      <c r="E9" s="152">
        <v>0.03</v>
      </c>
      <c r="F9" s="153">
        <f>(grains_table[[#This Row],[Extract %]]*46.214)/1000+1</f>
        <v>1.03743334</v>
      </c>
      <c r="G9" s="132">
        <v>17.8</v>
      </c>
      <c r="H9" s="133" t="s">
        <v>2042</v>
      </c>
    </row>
    <row r="10" spans="1:8" ht="13.2" customHeight="1" x14ac:dyDescent="0.25">
      <c r="A10" s="23" t="s">
        <v>1629</v>
      </c>
      <c r="B10" s="23" t="s">
        <v>1360</v>
      </c>
      <c r="C10" s="51" t="s">
        <v>89</v>
      </c>
      <c r="D10" s="155">
        <v>0.78</v>
      </c>
      <c r="E10" s="155">
        <v>7.0000000000000007E-2</v>
      </c>
      <c r="F10" s="153">
        <f>(grains_table[[#This Row],[Extract %]]*46.214)/1000+1</f>
        <v>1.03604692</v>
      </c>
      <c r="G10" s="626">
        <v>1.8</v>
      </c>
      <c r="H10" s="133" t="s">
        <v>1401</v>
      </c>
    </row>
    <row r="11" spans="1:8" ht="13.2" customHeight="1" x14ac:dyDescent="0.25">
      <c r="A11" s="23" t="s">
        <v>1653</v>
      </c>
      <c r="B11" s="23" t="s">
        <v>1363</v>
      </c>
      <c r="C11" s="51" t="s">
        <v>89</v>
      </c>
      <c r="D11" s="155">
        <v>0.75</v>
      </c>
      <c r="E11" s="155">
        <v>4.4999999999999998E-2</v>
      </c>
      <c r="F11" s="153">
        <f>(grains_table[[#This Row],[Extract %]]*46.214)/1000+1</f>
        <v>1.0346605</v>
      </c>
      <c r="G11" s="131">
        <v>23</v>
      </c>
      <c r="H11" s="133" t="s">
        <v>1400</v>
      </c>
    </row>
    <row r="12" spans="1:8" ht="13.2" customHeight="1" x14ac:dyDescent="0.25">
      <c r="A12" s="23" t="s">
        <v>2046</v>
      </c>
      <c r="B12" s="168" t="s">
        <v>2041</v>
      </c>
      <c r="C12" s="97" t="s">
        <v>89</v>
      </c>
      <c r="D12" s="152">
        <v>0.74</v>
      </c>
      <c r="E12" s="152">
        <v>0.05</v>
      </c>
      <c r="F12" s="153">
        <f>(grains_table[[#This Row],[Extract %]]*46.214)/1000+1</f>
        <v>1.03419836</v>
      </c>
      <c r="G12" s="49">
        <v>24.9</v>
      </c>
      <c r="H12" s="133" t="s">
        <v>2042</v>
      </c>
    </row>
    <row r="13" spans="1:8" ht="13.2" customHeight="1" x14ac:dyDescent="0.25">
      <c r="A13" s="23" t="s">
        <v>2047</v>
      </c>
      <c r="B13" s="168" t="s">
        <v>2041</v>
      </c>
      <c r="C13" s="97" t="s">
        <v>89</v>
      </c>
      <c r="D13" s="152">
        <v>0.74</v>
      </c>
      <c r="E13" s="152">
        <v>0.05</v>
      </c>
      <c r="F13" s="153">
        <f>(grains_table[[#This Row],[Extract %]]*46.214)/1000+1</f>
        <v>1.03419836</v>
      </c>
      <c r="G13" s="131">
        <v>64.3</v>
      </c>
      <c r="H13" s="133" t="s">
        <v>2042</v>
      </c>
    </row>
    <row r="14" spans="1:8" ht="13.2" customHeight="1" x14ac:dyDescent="0.25">
      <c r="A14" s="23" t="s">
        <v>1647</v>
      </c>
      <c r="B14" s="23" t="s">
        <v>1362</v>
      </c>
      <c r="C14" s="51" t="s">
        <v>89</v>
      </c>
      <c r="D14" s="155">
        <v>0.72</v>
      </c>
      <c r="E14" s="155">
        <v>2.5000000000000001E-2</v>
      </c>
      <c r="F14" s="153">
        <f>(grains_table[[#This Row],[Extract %]]*46.214)/1000+1</f>
        <v>1.03327408</v>
      </c>
      <c r="G14" s="626">
        <v>40</v>
      </c>
      <c r="H14" s="133" t="s">
        <v>1609</v>
      </c>
    </row>
    <row r="15" spans="1:8" ht="13.2" customHeight="1" x14ac:dyDescent="0.25">
      <c r="A15" s="23" t="s">
        <v>1648</v>
      </c>
      <c r="B15" s="23" t="s">
        <v>1362</v>
      </c>
      <c r="C15" s="51" t="s">
        <v>89</v>
      </c>
      <c r="D15" s="155">
        <v>0.75</v>
      </c>
      <c r="E15" s="155">
        <v>2.5000000000000001E-2</v>
      </c>
      <c r="F15" s="153">
        <f>(grains_table[[#This Row],[Extract %]]*46.214)/1000+1</f>
        <v>1.0346605</v>
      </c>
      <c r="G15" s="626">
        <v>28</v>
      </c>
      <c r="H15" s="133" t="s">
        <v>1415</v>
      </c>
    </row>
    <row r="16" spans="1:8" ht="13.2" customHeight="1" x14ac:dyDescent="0.25">
      <c r="A16" s="23" t="s">
        <v>2076</v>
      </c>
      <c r="B16" s="168" t="s">
        <v>2041</v>
      </c>
      <c r="C16" s="97" t="s">
        <v>89</v>
      </c>
      <c r="D16" s="152">
        <v>0.74</v>
      </c>
      <c r="E16" s="152">
        <v>2.5000000000000001E-2</v>
      </c>
      <c r="F16" s="153">
        <f>(grains_table[[#This Row],[Extract %]]*46.214)/1000+1</f>
        <v>1.03419836</v>
      </c>
      <c r="G16" s="49">
        <v>525.6</v>
      </c>
      <c r="H16" s="133" t="s">
        <v>2042</v>
      </c>
    </row>
    <row r="17" spans="1:8" ht="13.2" customHeight="1" x14ac:dyDescent="0.25">
      <c r="A17" s="23" t="s">
        <v>1655</v>
      </c>
      <c r="B17" s="23" t="s">
        <v>1363</v>
      </c>
      <c r="C17" s="51" t="s">
        <v>89</v>
      </c>
      <c r="D17" s="155">
        <v>0.7</v>
      </c>
      <c r="E17" s="155">
        <v>4.4999999999999998E-2</v>
      </c>
      <c r="F17" s="153">
        <f>(grains_table[[#This Row],[Extract %]]*46.214)/1000+1</f>
        <v>1.0323498</v>
      </c>
      <c r="G17" s="131">
        <v>530</v>
      </c>
      <c r="H17" s="134" t="s">
        <v>1400</v>
      </c>
    </row>
    <row r="18" spans="1:8" ht="13.2" customHeight="1" x14ac:dyDescent="0.25">
      <c r="A18" s="23" t="s">
        <v>1627</v>
      </c>
      <c r="B18" s="23" t="s">
        <v>1405</v>
      </c>
      <c r="C18" s="51" t="s">
        <v>89</v>
      </c>
      <c r="D18" s="155">
        <v>0.75</v>
      </c>
      <c r="E18" s="155">
        <v>4.4999999999999998E-2</v>
      </c>
      <c r="F18" s="153">
        <f>(grains_table[[#This Row],[Extract %]]*46.214)/1000+1</f>
        <v>1.0346605</v>
      </c>
      <c r="G18" s="135">
        <v>27</v>
      </c>
      <c r="H18" s="133" t="s">
        <v>1432</v>
      </c>
    </row>
    <row r="19" spans="1:8" ht="13.2" customHeight="1" x14ac:dyDescent="0.25">
      <c r="A19" s="23" t="s">
        <v>1626</v>
      </c>
      <c r="B19" s="23" t="s">
        <v>1405</v>
      </c>
      <c r="C19" s="51" t="s">
        <v>89</v>
      </c>
      <c r="D19" s="155">
        <v>0.75</v>
      </c>
      <c r="E19" s="155">
        <v>4.4999999999999998E-2</v>
      </c>
      <c r="F19" s="153">
        <f>(grains_table[[#This Row],[Extract %]]*46.214)/1000+1</f>
        <v>1.0346605</v>
      </c>
      <c r="G19" s="135">
        <v>19.5</v>
      </c>
      <c r="H19" s="133" t="s">
        <v>1431</v>
      </c>
    </row>
    <row r="20" spans="1:8" ht="13.2" customHeight="1" x14ac:dyDescent="0.25">
      <c r="A20" s="23" t="s">
        <v>1625</v>
      </c>
      <c r="B20" s="23" t="s">
        <v>1405</v>
      </c>
      <c r="C20" s="51" t="s">
        <v>89</v>
      </c>
      <c r="D20" s="155">
        <v>0.75</v>
      </c>
      <c r="E20" s="155">
        <v>4.4999999999999998E-2</v>
      </c>
      <c r="F20" s="153">
        <f>(grains_table[[#This Row],[Extract %]]*46.214)/1000+1</f>
        <v>1.0346605</v>
      </c>
      <c r="G20" s="135">
        <v>12</v>
      </c>
      <c r="H20" s="133" t="s">
        <v>1430</v>
      </c>
    </row>
    <row r="21" spans="1:8" ht="13.2" customHeight="1" x14ac:dyDescent="0.25">
      <c r="A21" s="23" t="s">
        <v>1624</v>
      </c>
      <c r="B21" s="23" t="s">
        <v>1405</v>
      </c>
      <c r="C21" s="51" t="s">
        <v>89</v>
      </c>
      <c r="D21" s="155">
        <v>0.75</v>
      </c>
      <c r="E21" s="155">
        <v>4.4999999999999998E-2</v>
      </c>
      <c r="F21" s="153">
        <f>(grains_table[[#This Row],[Extract %]]*46.214)/1000+1</f>
        <v>1.0346605</v>
      </c>
      <c r="G21" s="135">
        <v>5.4</v>
      </c>
      <c r="H21" s="133" t="s">
        <v>1434</v>
      </c>
    </row>
    <row r="22" spans="1:8" ht="13.2" customHeight="1" x14ac:dyDescent="0.25">
      <c r="A22" s="23" t="s">
        <v>1623</v>
      </c>
      <c r="B22" s="23" t="s">
        <v>1405</v>
      </c>
      <c r="C22" s="51" t="s">
        <v>89</v>
      </c>
      <c r="D22" s="155">
        <v>0.75</v>
      </c>
      <c r="E22" s="155">
        <v>4.4999999999999998E-2</v>
      </c>
      <c r="F22" s="153">
        <f>(grains_table[[#This Row],[Extract %]]*46.214)/1000+1</f>
        <v>1.0346605</v>
      </c>
      <c r="G22" s="135">
        <v>45.5</v>
      </c>
      <c r="H22" s="133" t="s">
        <v>1435</v>
      </c>
    </row>
    <row r="23" spans="1:8" ht="13.2" customHeight="1" x14ac:dyDescent="0.25">
      <c r="A23" s="23" t="s">
        <v>1622</v>
      </c>
      <c r="B23" s="23" t="s">
        <v>1405</v>
      </c>
      <c r="C23" s="51" t="s">
        <v>89</v>
      </c>
      <c r="D23" s="155">
        <v>0.75</v>
      </c>
      <c r="E23" s="155">
        <v>4.4999999999999998E-2</v>
      </c>
      <c r="F23" s="153">
        <f>(grains_table[[#This Row],[Extract %]]*46.214)/1000+1</f>
        <v>1.0346605</v>
      </c>
      <c r="G23" s="135">
        <v>63</v>
      </c>
      <c r="H23" s="133" t="s">
        <v>1436</v>
      </c>
    </row>
    <row r="24" spans="1:8" ht="13.2" customHeight="1" x14ac:dyDescent="0.25">
      <c r="A24" s="23" t="s">
        <v>1621</v>
      </c>
      <c r="B24" s="23" t="s">
        <v>1405</v>
      </c>
      <c r="C24" s="51" t="s">
        <v>89</v>
      </c>
      <c r="D24" s="155">
        <v>0.75</v>
      </c>
      <c r="E24" s="155">
        <v>4.4999999999999998E-2</v>
      </c>
      <c r="F24" s="153">
        <f>(grains_table[[#This Row],[Extract %]]*46.214)/1000+1</f>
        <v>1.0346605</v>
      </c>
      <c r="G24" s="135">
        <v>2.35</v>
      </c>
      <c r="H24" s="133" t="s">
        <v>1433</v>
      </c>
    </row>
    <row r="25" spans="1:8" ht="13.2" customHeight="1" x14ac:dyDescent="0.25">
      <c r="A25" s="23" t="s">
        <v>1455</v>
      </c>
      <c r="B25" s="23" t="s">
        <v>1363</v>
      </c>
      <c r="C25" s="51" t="s">
        <v>89</v>
      </c>
      <c r="D25" s="155">
        <v>0.74</v>
      </c>
      <c r="E25" s="155">
        <v>0.06</v>
      </c>
      <c r="F25" s="153">
        <f>(grains_table[[#This Row],[Extract %]]*46.214)/1000+1</f>
        <v>1.03419836</v>
      </c>
      <c r="G25" s="131">
        <v>45</v>
      </c>
      <c r="H25" s="133" t="s">
        <v>1399</v>
      </c>
    </row>
    <row r="26" spans="1:8" ht="13.2" customHeight="1" x14ac:dyDescent="0.25">
      <c r="A26" s="23" t="s">
        <v>1456</v>
      </c>
      <c r="B26" s="23" t="s">
        <v>1363</v>
      </c>
      <c r="C26" s="51" t="s">
        <v>89</v>
      </c>
      <c r="D26" s="155">
        <v>0.75</v>
      </c>
      <c r="E26" s="155">
        <v>9.5000000000000001E-2</v>
      </c>
      <c r="F26" s="153">
        <f>(grains_table[[#This Row],[Extract %]]*46.214)/1000+1</f>
        <v>1.0346605</v>
      </c>
      <c r="G26" s="131">
        <v>8</v>
      </c>
      <c r="H26" s="133" t="s">
        <v>1399</v>
      </c>
    </row>
    <row r="27" spans="1:8" ht="13.2" customHeight="1" x14ac:dyDescent="0.25">
      <c r="A27" s="23" t="s">
        <v>1457</v>
      </c>
      <c r="B27" s="23" t="s">
        <v>1363</v>
      </c>
      <c r="C27" s="51" t="s">
        <v>89</v>
      </c>
      <c r="D27" s="155">
        <v>0.75</v>
      </c>
      <c r="E27" s="155">
        <v>7.4999999999999997E-2</v>
      </c>
      <c r="F27" s="153">
        <f>(grains_table[[#This Row],[Extract %]]*46.214)/1000+1</f>
        <v>1.0346605</v>
      </c>
      <c r="G27" s="131">
        <v>20</v>
      </c>
      <c r="H27" s="133" t="s">
        <v>1399</v>
      </c>
    </row>
    <row r="28" spans="1:8" ht="13.2" customHeight="1" x14ac:dyDescent="0.25">
      <c r="A28" s="23" t="s">
        <v>1551</v>
      </c>
      <c r="B28" s="23" t="s">
        <v>1360</v>
      </c>
      <c r="C28" s="51" t="s">
        <v>89</v>
      </c>
      <c r="D28" s="155">
        <v>0.74</v>
      </c>
      <c r="E28" s="155">
        <v>7.0000000000000007E-2</v>
      </c>
      <c r="F28" s="153">
        <f>(grains_table[[#This Row],[Extract %]]*46.214)/1000+1</f>
        <v>1.03419836</v>
      </c>
      <c r="G28" s="131">
        <v>150</v>
      </c>
      <c r="H28" s="133" t="s">
        <v>1401</v>
      </c>
    </row>
    <row r="29" spans="1:8" ht="13.2" customHeight="1" x14ac:dyDescent="0.25">
      <c r="A29" s="23" t="s">
        <v>1552</v>
      </c>
      <c r="B29" s="23" t="s">
        <v>1360</v>
      </c>
      <c r="C29" s="51" t="s">
        <v>89</v>
      </c>
      <c r="D29" s="155">
        <v>0.74</v>
      </c>
      <c r="E29" s="155">
        <v>0.09</v>
      </c>
      <c r="F29" s="153">
        <f>(grains_table[[#This Row],[Extract %]]*46.214)/1000+1</f>
        <v>1.03419836</v>
      </c>
      <c r="G29" s="135">
        <v>12.75</v>
      </c>
      <c r="H29" s="133" t="s">
        <v>1401</v>
      </c>
    </row>
    <row r="30" spans="1:8" ht="13.2" customHeight="1" x14ac:dyDescent="0.25">
      <c r="A30" s="23" t="s">
        <v>1458</v>
      </c>
      <c r="B30" s="23" t="s">
        <v>1362</v>
      </c>
      <c r="C30" s="51" t="s">
        <v>89</v>
      </c>
      <c r="D30" s="155">
        <v>0.78</v>
      </c>
      <c r="E30" s="155">
        <v>0.04</v>
      </c>
      <c r="F30" s="153">
        <f>(grains_table[[#This Row],[Extract %]]*46.214)/1000+1</f>
        <v>1.03604692</v>
      </c>
      <c r="G30" s="49">
        <v>55</v>
      </c>
      <c r="H30" s="133" t="s">
        <v>1404</v>
      </c>
    </row>
    <row r="31" spans="1:8" ht="13.2" customHeight="1" x14ac:dyDescent="0.25">
      <c r="A31" s="23" t="s">
        <v>1583</v>
      </c>
      <c r="B31" s="23" t="s">
        <v>1360</v>
      </c>
      <c r="C31" s="51" t="s">
        <v>89</v>
      </c>
      <c r="D31" s="155">
        <v>0.65</v>
      </c>
      <c r="E31" s="155">
        <v>3.7999999999999999E-2</v>
      </c>
      <c r="F31" s="153">
        <f>(grains_table[[#This Row],[Extract %]]*46.214)/1000+1</f>
        <v>1.0300391</v>
      </c>
      <c r="G31" s="49">
        <v>337.5</v>
      </c>
      <c r="H31" s="133" t="s">
        <v>1401</v>
      </c>
    </row>
    <row r="32" spans="1:8" ht="13.2" customHeight="1" x14ac:dyDescent="0.25">
      <c r="A32" s="23" t="s">
        <v>1582</v>
      </c>
      <c r="B32" s="23" t="s">
        <v>1360</v>
      </c>
      <c r="C32" s="51" t="s">
        <v>89</v>
      </c>
      <c r="D32" s="155">
        <v>0.65</v>
      </c>
      <c r="E32" s="155">
        <v>3.7999999999999999E-2</v>
      </c>
      <c r="F32" s="153">
        <f>(grains_table[[#This Row],[Extract %]]*46.214)/1000+1</f>
        <v>1.0300391</v>
      </c>
      <c r="G32" s="131">
        <v>431.5</v>
      </c>
      <c r="H32" s="133" t="s">
        <v>1401</v>
      </c>
    </row>
    <row r="33" spans="1:8" ht="13.2" customHeight="1" x14ac:dyDescent="0.25">
      <c r="A33" s="23" t="s">
        <v>1581</v>
      </c>
      <c r="B33" s="23" t="s">
        <v>1360</v>
      </c>
      <c r="C33" s="51" t="s">
        <v>89</v>
      </c>
      <c r="D33" s="155">
        <v>0.65</v>
      </c>
      <c r="E33" s="155">
        <v>3.7999999999999999E-2</v>
      </c>
      <c r="F33" s="153">
        <f>(grains_table[[#This Row],[Extract %]]*46.214)/1000+1</f>
        <v>1.0300391</v>
      </c>
      <c r="G33" s="131">
        <v>525.5</v>
      </c>
      <c r="H33" s="133" t="s">
        <v>1401</v>
      </c>
    </row>
    <row r="34" spans="1:8" ht="13.2" customHeight="1" x14ac:dyDescent="0.25">
      <c r="A34" s="23" t="s">
        <v>1584</v>
      </c>
      <c r="B34" s="23" t="s">
        <v>1360</v>
      </c>
      <c r="C34" s="51" t="s">
        <v>89</v>
      </c>
      <c r="D34" s="155">
        <v>0.65</v>
      </c>
      <c r="E34" s="155">
        <v>3.7999999999999999E-2</v>
      </c>
      <c r="F34" s="153">
        <f>(grains_table[[#This Row],[Extract %]]*46.214)/1000+1</f>
        <v>1.0300391</v>
      </c>
      <c r="G34" s="131">
        <v>337.5</v>
      </c>
      <c r="H34" s="133" t="s">
        <v>1401</v>
      </c>
    </row>
    <row r="35" spans="1:8" ht="13.2" customHeight="1" x14ac:dyDescent="0.25">
      <c r="A35" s="23" t="s">
        <v>1585</v>
      </c>
      <c r="B35" s="23" t="s">
        <v>1360</v>
      </c>
      <c r="C35" s="51" t="s">
        <v>89</v>
      </c>
      <c r="D35" s="155">
        <v>0.65</v>
      </c>
      <c r="E35" s="155">
        <v>3.7999999999999999E-2</v>
      </c>
      <c r="F35" s="153">
        <f>(grains_table[[#This Row],[Extract %]]*46.214)/1000+1</f>
        <v>1.0300391</v>
      </c>
      <c r="G35" s="135">
        <v>431.5</v>
      </c>
      <c r="H35" s="133" t="s">
        <v>1401</v>
      </c>
    </row>
    <row r="36" spans="1:8" ht="13.2" customHeight="1" x14ac:dyDescent="0.25">
      <c r="A36" s="23" t="s">
        <v>1586</v>
      </c>
      <c r="B36" s="23" t="s">
        <v>1360</v>
      </c>
      <c r="C36" s="51" t="s">
        <v>89</v>
      </c>
      <c r="D36" s="155">
        <v>0.65</v>
      </c>
      <c r="E36" s="155">
        <v>3.7999999999999999E-2</v>
      </c>
      <c r="F36" s="153">
        <f>(grains_table[[#This Row],[Extract %]]*46.214)/1000+1</f>
        <v>1.0300391</v>
      </c>
      <c r="G36" s="131">
        <v>525.5</v>
      </c>
      <c r="H36" s="133" t="s">
        <v>1401</v>
      </c>
    </row>
    <row r="37" spans="1:8" ht="13.2" customHeight="1" x14ac:dyDescent="0.25">
      <c r="A37" s="23" t="s">
        <v>1553</v>
      </c>
      <c r="B37" s="23" t="s">
        <v>1360</v>
      </c>
      <c r="C37" s="51" t="s">
        <v>89</v>
      </c>
      <c r="D37" s="155"/>
      <c r="E37" s="155"/>
      <c r="F37" s="153">
        <f>(grains_table[[#This Row],[Extract %]]*46.214)/1000+1</f>
        <v>1</v>
      </c>
      <c r="G37" s="49">
        <v>2.2000000000000002</v>
      </c>
      <c r="H37" s="133" t="s">
        <v>1401</v>
      </c>
    </row>
    <row r="38" spans="1:8" ht="13.2" customHeight="1" x14ac:dyDescent="0.25">
      <c r="A38" s="23" t="s">
        <v>1554</v>
      </c>
      <c r="B38" s="23" t="s">
        <v>1360</v>
      </c>
      <c r="C38" s="51" t="s">
        <v>89</v>
      </c>
      <c r="D38" s="155">
        <v>0.74</v>
      </c>
      <c r="E38" s="155">
        <v>0.09</v>
      </c>
      <c r="F38" s="153">
        <f>(grains_table[[#This Row],[Extract %]]*46.214)/1000+1</f>
        <v>1.03419836</v>
      </c>
      <c r="G38" s="49">
        <v>9.9499999999999993</v>
      </c>
      <c r="H38" s="133" t="s">
        <v>1401</v>
      </c>
    </row>
    <row r="39" spans="1:8" ht="13.2" customHeight="1" x14ac:dyDescent="0.25">
      <c r="A39" s="23" t="s">
        <v>1459</v>
      </c>
      <c r="B39" s="23" t="s">
        <v>1361</v>
      </c>
      <c r="C39" s="51" t="s">
        <v>89</v>
      </c>
      <c r="D39" s="155">
        <v>0.71</v>
      </c>
      <c r="E39" s="155">
        <v>7.4999999999999997E-2</v>
      </c>
      <c r="F39" s="153">
        <f>(grains_table[[#This Row],[Extract %]]*46.214)/1000+1</f>
        <v>1.03281194</v>
      </c>
      <c r="G39" s="131">
        <v>14.05</v>
      </c>
      <c r="H39" s="133" t="s">
        <v>1378</v>
      </c>
    </row>
    <row r="40" spans="1:8" ht="13.2" customHeight="1" x14ac:dyDescent="0.25">
      <c r="A40" s="23" t="s">
        <v>1555</v>
      </c>
      <c r="B40" s="23" t="s">
        <v>1360</v>
      </c>
      <c r="C40" s="51" t="s">
        <v>89</v>
      </c>
      <c r="D40" s="155">
        <v>0.75</v>
      </c>
      <c r="E40" s="155">
        <v>4.4999999999999998E-2</v>
      </c>
      <c r="F40" s="153">
        <f>(grains_table[[#This Row],[Extract %]]*46.214)/1000+1</f>
        <v>1.0346605</v>
      </c>
      <c r="G40" s="49">
        <v>27</v>
      </c>
      <c r="H40" s="133" t="s">
        <v>1401</v>
      </c>
    </row>
    <row r="41" spans="1:8" ht="13.2" customHeight="1" x14ac:dyDescent="0.25">
      <c r="A41" s="23" t="s">
        <v>1460</v>
      </c>
      <c r="B41" s="23" t="s">
        <v>1362</v>
      </c>
      <c r="C41" s="51" t="s">
        <v>89</v>
      </c>
      <c r="D41" s="155">
        <v>0.77</v>
      </c>
      <c r="E41" s="155">
        <v>7.0000000000000007E-2</v>
      </c>
      <c r="F41" s="153">
        <f>(grains_table[[#This Row],[Extract %]]*46.214)/1000+1</f>
        <v>1.03558478</v>
      </c>
      <c r="G41" s="49">
        <v>10</v>
      </c>
      <c r="H41" s="134" t="s">
        <v>1404</v>
      </c>
    </row>
    <row r="42" spans="1:8" ht="13.2" customHeight="1" x14ac:dyDescent="0.25">
      <c r="A42" s="23" t="s">
        <v>1461</v>
      </c>
      <c r="B42" s="23" t="s">
        <v>1362</v>
      </c>
      <c r="C42" s="51" t="s">
        <v>89</v>
      </c>
      <c r="D42" s="155">
        <v>0.75</v>
      </c>
      <c r="E42" s="155">
        <v>0.03</v>
      </c>
      <c r="F42" s="153">
        <f>(grains_table[[#This Row],[Extract %]]*46.214)/1000+1</f>
        <v>1.0346605</v>
      </c>
      <c r="G42" s="131">
        <v>120</v>
      </c>
      <c r="H42" s="133" t="s">
        <v>1404</v>
      </c>
    </row>
    <row r="43" spans="1:8" ht="13.2" customHeight="1" x14ac:dyDescent="0.25">
      <c r="A43" s="23" t="s">
        <v>1462</v>
      </c>
      <c r="B43" s="23" t="s">
        <v>1362</v>
      </c>
      <c r="C43" s="51" t="s">
        <v>89</v>
      </c>
      <c r="D43" s="155">
        <v>0.76</v>
      </c>
      <c r="E43" s="155">
        <v>0.06</v>
      </c>
      <c r="F43" s="153">
        <f>(grains_table[[#This Row],[Extract %]]*46.214)/1000+1</f>
        <v>1.03512264</v>
      </c>
      <c r="G43" s="49">
        <v>20</v>
      </c>
      <c r="H43" s="133" t="s">
        <v>1404</v>
      </c>
    </row>
    <row r="44" spans="1:8" ht="13.2" customHeight="1" x14ac:dyDescent="0.25">
      <c r="A44" s="23" t="s">
        <v>1463</v>
      </c>
      <c r="B44" s="23" t="s">
        <v>1362</v>
      </c>
      <c r="C44" s="51" t="s">
        <v>89</v>
      </c>
      <c r="D44" s="155">
        <v>0.77</v>
      </c>
      <c r="E44" s="155">
        <v>5.5E-2</v>
      </c>
      <c r="F44" s="153">
        <f>(grains_table[[#This Row],[Extract %]]*46.214)/1000+1</f>
        <v>1.03558478</v>
      </c>
      <c r="G44" s="132">
        <v>30</v>
      </c>
      <c r="H44" s="134" t="s">
        <v>1404</v>
      </c>
    </row>
    <row r="45" spans="1:8" ht="13.2" customHeight="1" x14ac:dyDescent="0.25">
      <c r="A45" s="23" t="s">
        <v>1464</v>
      </c>
      <c r="B45" s="23" t="s">
        <v>1362</v>
      </c>
      <c r="C45" s="51" t="s">
        <v>89</v>
      </c>
      <c r="D45" s="155">
        <v>0.77</v>
      </c>
      <c r="E45" s="155">
        <v>5.5E-2</v>
      </c>
      <c r="F45" s="153">
        <f>(grains_table[[#This Row],[Extract %]]*46.214)/1000+1</f>
        <v>1.03558478</v>
      </c>
      <c r="G45" s="132">
        <v>40</v>
      </c>
      <c r="H45" s="134" t="s">
        <v>1404</v>
      </c>
    </row>
    <row r="46" spans="1:8" ht="13.2" customHeight="1" x14ac:dyDescent="0.25">
      <c r="A46" s="23" t="s">
        <v>1465</v>
      </c>
      <c r="B46" s="23" t="s">
        <v>1362</v>
      </c>
      <c r="C46" s="51" t="s">
        <v>89</v>
      </c>
      <c r="D46" s="155">
        <v>0.77</v>
      </c>
      <c r="E46" s="155">
        <v>0.05</v>
      </c>
      <c r="F46" s="153">
        <f>(grains_table[[#This Row],[Extract %]]*46.214)/1000+1</f>
        <v>1.03558478</v>
      </c>
      <c r="G46" s="132">
        <v>60</v>
      </c>
      <c r="H46" s="134" t="s">
        <v>1404</v>
      </c>
    </row>
    <row r="47" spans="1:8" ht="13.2" customHeight="1" x14ac:dyDescent="0.25">
      <c r="A47" s="23" t="s">
        <v>1466</v>
      </c>
      <c r="B47" s="23" t="s">
        <v>1362</v>
      </c>
      <c r="C47" s="51" t="s">
        <v>89</v>
      </c>
      <c r="D47" s="155">
        <v>0.76</v>
      </c>
      <c r="E47" s="155">
        <v>4.4999999999999998E-2</v>
      </c>
      <c r="F47" s="153">
        <f>(grains_table[[#This Row],[Extract %]]*46.214)/1000+1</f>
        <v>1.03512264</v>
      </c>
      <c r="G47" s="49">
        <v>80</v>
      </c>
      <c r="H47" s="134" t="s">
        <v>1404</v>
      </c>
    </row>
    <row r="48" spans="1:8" ht="13.2" customHeight="1" x14ac:dyDescent="0.25">
      <c r="A48" s="23" t="s">
        <v>1467</v>
      </c>
      <c r="B48" s="23" t="s">
        <v>1362</v>
      </c>
      <c r="C48" s="51" t="s">
        <v>89</v>
      </c>
      <c r="D48" s="155">
        <v>0.75</v>
      </c>
      <c r="E48" s="155">
        <v>0.04</v>
      </c>
      <c r="F48" s="153">
        <f>(grains_table[[#This Row],[Extract %]]*46.214)/1000+1</f>
        <v>1.0346605</v>
      </c>
      <c r="G48" s="131">
        <v>90</v>
      </c>
      <c r="H48" s="133" t="s">
        <v>1404</v>
      </c>
    </row>
    <row r="49" spans="1:8" ht="13.2" customHeight="1" x14ac:dyDescent="0.25">
      <c r="A49" s="23" t="s">
        <v>1468</v>
      </c>
      <c r="B49" s="23" t="s">
        <v>1362</v>
      </c>
      <c r="C49" s="51" t="s">
        <v>89</v>
      </c>
      <c r="D49" s="155">
        <v>0.77</v>
      </c>
      <c r="E49" s="155">
        <v>3.5000000000000003E-2</v>
      </c>
      <c r="F49" s="153">
        <f>(grains_table[[#This Row],[Extract %]]*46.214)/1000+1</f>
        <v>1.03558478</v>
      </c>
      <c r="G49" s="131">
        <v>60</v>
      </c>
      <c r="H49" s="133" t="s">
        <v>1404</v>
      </c>
    </row>
    <row r="50" spans="1:8" ht="13.2" customHeight="1" x14ac:dyDescent="0.25">
      <c r="A50" s="23" t="s">
        <v>1469</v>
      </c>
      <c r="B50" s="23" t="s">
        <v>1362</v>
      </c>
      <c r="C50" s="51" t="s">
        <v>89</v>
      </c>
      <c r="D50" s="155">
        <v>0.8</v>
      </c>
      <c r="E50" s="155">
        <v>0.05</v>
      </c>
      <c r="F50" s="153">
        <f>(grains_table[[#This Row],[Extract %]]*46.214)/1000+1</f>
        <v>1.0369712</v>
      </c>
      <c r="G50" s="131">
        <v>60</v>
      </c>
      <c r="H50" s="134" t="s">
        <v>1404</v>
      </c>
    </row>
    <row r="51" spans="1:8" ht="13.2" customHeight="1" x14ac:dyDescent="0.25">
      <c r="A51" s="23" t="s">
        <v>1470</v>
      </c>
      <c r="B51" s="23" t="s">
        <v>1362</v>
      </c>
      <c r="C51" s="51" t="s">
        <v>89</v>
      </c>
      <c r="D51" s="155">
        <v>0.78</v>
      </c>
      <c r="E51" s="155">
        <v>4.4999999999999998E-2</v>
      </c>
      <c r="F51" s="153">
        <f>(grains_table[[#This Row],[Extract %]]*46.214)/1000+1</f>
        <v>1.03604692</v>
      </c>
      <c r="G51" s="131">
        <v>20</v>
      </c>
      <c r="H51" s="133" t="s">
        <v>1404</v>
      </c>
    </row>
    <row r="52" spans="1:8" ht="13.2" customHeight="1" x14ac:dyDescent="0.25">
      <c r="A52" s="23" t="s">
        <v>1573</v>
      </c>
      <c r="B52" s="23" t="s">
        <v>1360</v>
      </c>
      <c r="C52" s="51" t="s">
        <v>89</v>
      </c>
      <c r="D52" s="155">
        <v>0.73</v>
      </c>
      <c r="E52" s="155">
        <v>6.5000000000000002E-2</v>
      </c>
      <c r="F52" s="153">
        <f>(grains_table[[#This Row],[Extract %]]*46.214)/1000+1</f>
        <v>1.03373622</v>
      </c>
      <c r="G52" s="131">
        <v>34.5</v>
      </c>
      <c r="H52" s="133" t="s">
        <v>1401</v>
      </c>
    </row>
    <row r="53" spans="1:8" ht="13.2" customHeight="1" x14ac:dyDescent="0.25">
      <c r="A53" s="23" t="s">
        <v>1574</v>
      </c>
      <c r="B53" s="23" t="s">
        <v>1360</v>
      </c>
      <c r="C53" s="51" t="s">
        <v>89</v>
      </c>
      <c r="D53" s="155">
        <v>0.73</v>
      </c>
      <c r="E53" s="155">
        <v>6.5000000000000002E-2</v>
      </c>
      <c r="F53" s="153">
        <f>(grains_table[[#This Row],[Extract %]]*46.214)/1000+1</f>
        <v>1.03373622</v>
      </c>
      <c r="G53" s="131">
        <v>45.5</v>
      </c>
      <c r="H53" s="133" t="s">
        <v>1401</v>
      </c>
    </row>
    <row r="54" spans="1:8" ht="13.2" customHeight="1" x14ac:dyDescent="0.25">
      <c r="A54" s="23" t="s">
        <v>1575</v>
      </c>
      <c r="B54" s="23" t="s">
        <v>1360</v>
      </c>
      <c r="C54" s="51" t="s">
        <v>89</v>
      </c>
      <c r="D54" s="155">
        <v>0.73</v>
      </c>
      <c r="E54" s="155">
        <v>6.5000000000000002E-2</v>
      </c>
      <c r="F54" s="153">
        <f>(grains_table[[#This Row],[Extract %]]*46.214)/1000+1</f>
        <v>1.03373622</v>
      </c>
      <c r="G54" s="131">
        <v>56.75</v>
      </c>
      <c r="H54" s="133" t="s">
        <v>1401</v>
      </c>
    </row>
    <row r="55" spans="1:8" ht="13.2" customHeight="1" x14ac:dyDescent="0.25">
      <c r="A55" s="23" t="s">
        <v>1576</v>
      </c>
      <c r="B55" s="23" t="s">
        <v>1360</v>
      </c>
      <c r="C55" s="51" t="s">
        <v>89</v>
      </c>
      <c r="D55" s="155">
        <v>0.75</v>
      </c>
      <c r="E55" s="155">
        <v>7.0000000000000007E-2</v>
      </c>
      <c r="F55" s="153">
        <f>(grains_table[[#This Row],[Extract %]]*46.214)/1000+1</f>
        <v>1.0346605</v>
      </c>
      <c r="G55" s="131">
        <v>2.2000000000000002</v>
      </c>
      <c r="H55" s="133" t="s">
        <v>1401</v>
      </c>
    </row>
    <row r="56" spans="1:8" ht="13.2" customHeight="1" x14ac:dyDescent="0.25">
      <c r="A56" s="23" t="s">
        <v>1577</v>
      </c>
      <c r="B56" s="23" t="s">
        <v>1360</v>
      </c>
      <c r="C56" s="51" t="s">
        <v>89</v>
      </c>
      <c r="D56" s="155">
        <v>0.74</v>
      </c>
      <c r="E56" s="155">
        <v>7.4999999999999997E-2</v>
      </c>
      <c r="F56" s="153">
        <f>(grains_table[[#This Row],[Extract %]]*46.214)/1000+1</f>
        <v>1.03419836</v>
      </c>
      <c r="G56" s="131">
        <v>19.5</v>
      </c>
      <c r="H56" s="133" t="s">
        <v>1401</v>
      </c>
    </row>
    <row r="57" spans="1:8" ht="13.2" customHeight="1" x14ac:dyDescent="0.25">
      <c r="A57" s="23" t="s">
        <v>1578</v>
      </c>
      <c r="B57" s="23" t="s">
        <v>1360</v>
      </c>
      <c r="C57" s="51" t="s">
        <v>89</v>
      </c>
      <c r="D57" s="155">
        <v>0.74</v>
      </c>
      <c r="E57" s="155">
        <v>6.5000000000000002E-2</v>
      </c>
      <c r="F57" s="153">
        <f>(grains_table[[#This Row],[Extract %]]*46.214)/1000+1</f>
        <v>1.03419836</v>
      </c>
      <c r="G57" s="49">
        <v>66.5</v>
      </c>
      <c r="H57" s="133" t="s">
        <v>1401</v>
      </c>
    </row>
    <row r="58" spans="1:8" ht="13.2" customHeight="1" x14ac:dyDescent="0.25">
      <c r="A58" s="23" t="s">
        <v>1579</v>
      </c>
      <c r="B58" s="23" t="s">
        <v>1360</v>
      </c>
      <c r="C58" s="51" t="s">
        <v>89</v>
      </c>
      <c r="D58" s="155">
        <v>0.68</v>
      </c>
      <c r="E58" s="155">
        <v>6.5000000000000002E-2</v>
      </c>
      <c r="F58" s="153">
        <f>(grains_table[[#This Row],[Extract %]]*46.214)/1000+1</f>
        <v>1.03142552</v>
      </c>
      <c r="G58" s="131">
        <v>47.5</v>
      </c>
      <c r="H58" s="133" t="s">
        <v>1401</v>
      </c>
    </row>
    <row r="59" spans="1:8" ht="13.2" customHeight="1" x14ac:dyDescent="0.25">
      <c r="A59" s="23" t="s">
        <v>1471</v>
      </c>
      <c r="B59" s="23" t="s">
        <v>1361</v>
      </c>
      <c r="C59" s="51" t="s">
        <v>89</v>
      </c>
      <c r="D59" s="155">
        <v>0.69</v>
      </c>
      <c r="E59" s="155">
        <v>0.05</v>
      </c>
      <c r="F59" s="153">
        <f>(grains_table[[#This Row],[Extract %]]*46.214)/1000+1</f>
        <v>1.03188766</v>
      </c>
      <c r="G59" s="49">
        <v>100.9</v>
      </c>
      <c r="H59" s="134" t="s">
        <v>1383</v>
      </c>
    </row>
    <row r="60" spans="1:8" ht="13.2" customHeight="1" x14ac:dyDescent="0.25">
      <c r="A60" s="23" t="s">
        <v>1472</v>
      </c>
      <c r="B60" s="23" t="s">
        <v>1361</v>
      </c>
      <c r="C60" s="51" t="s">
        <v>89</v>
      </c>
      <c r="D60" s="155">
        <v>0.69</v>
      </c>
      <c r="E60" s="155">
        <v>0.05</v>
      </c>
      <c r="F60" s="153">
        <f>(grains_table[[#This Row],[Extract %]]*46.214)/1000+1</f>
        <v>1.03188766</v>
      </c>
      <c r="G60" s="626">
        <v>178.7</v>
      </c>
      <c r="H60" s="133" t="s">
        <v>1384</v>
      </c>
    </row>
    <row r="61" spans="1:8" ht="13.2" customHeight="1" x14ac:dyDescent="0.25">
      <c r="A61" s="23" t="s">
        <v>1473</v>
      </c>
      <c r="B61" s="23" t="s">
        <v>1361</v>
      </c>
      <c r="C61" s="51" t="s">
        <v>89</v>
      </c>
      <c r="D61" s="155">
        <v>0.69</v>
      </c>
      <c r="E61" s="155">
        <v>0.06</v>
      </c>
      <c r="F61" s="153">
        <f>(grains_table[[#This Row],[Extract %]]*46.214)/1000+1</f>
        <v>1.03188766</v>
      </c>
      <c r="G61" s="626">
        <v>39.549999999999997</v>
      </c>
      <c r="H61" s="133" t="s">
        <v>1380</v>
      </c>
    </row>
    <row r="62" spans="1:8" ht="13.2" customHeight="1" x14ac:dyDescent="0.25">
      <c r="A62" s="23" t="s">
        <v>1474</v>
      </c>
      <c r="B62" s="23" t="s">
        <v>1361</v>
      </c>
      <c r="C62" s="51" t="s">
        <v>89</v>
      </c>
      <c r="D62" s="155">
        <v>0.69</v>
      </c>
      <c r="E62" s="155">
        <v>0.05</v>
      </c>
      <c r="F62" s="153">
        <f>(grains_table[[#This Row],[Extract %]]*46.214)/1000+1</f>
        <v>1.03188766</v>
      </c>
      <c r="G62" s="626">
        <v>67.5</v>
      </c>
      <c r="H62" s="134" t="s">
        <v>1382</v>
      </c>
    </row>
    <row r="63" spans="1:8" ht="13.2" customHeight="1" x14ac:dyDescent="0.25">
      <c r="A63" s="23" t="s">
        <v>2069</v>
      </c>
      <c r="B63" s="168" t="s">
        <v>2041</v>
      </c>
      <c r="C63" s="97" t="s">
        <v>89</v>
      </c>
      <c r="D63" s="152">
        <v>0.79</v>
      </c>
      <c r="E63" s="152">
        <v>4.4999999999999998E-2</v>
      </c>
      <c r="F63" s="153">
        <f>(grains_table[[#This Row],[Extract %]]*46.214)/1000+1</f>
        <v>1.03650906</v>
      </c>
      <c r="G63" s="626">
        <v>26.8</v>
      </c>
      <c r="H63" s="134" t="s">
        <v>2042</v>
      </c>
    </row>
    <row r="64" spans="1:8" ht="13.2" customHeight="1" x14ac:dyDescent="0.25">
      <c r="A64" s="23" t="s">
        <v>1475</v>
      </c>
      <c r="B64" s="23" t="s">
        <v>1361</v>
      </c>
      <c r="C64" s="51" t="s">
        <v>89</v>
      </c>
      <c r="D64" s="155">
        <v>0.69</v>
      </c>
      <c r="E64" s="155">
        <v>0.05</v>
      </c>
      <c r="F64" s="153">
        <f>(grains_table[[#This Row],[Extract %]]*46.214)/1000+1</f>
        <v>1.03188766</v>
      </c>
      <c r="G64" s="626">
        <v>50.5</v>
      </c>
      <c r="H64" s="134" t="s">
        <v>1381</v>
      </c>
    </row>
    <row r="65" spans="1:8" ht="13.2" customHeight="1" x14ac:dyDescent="0.25">
      <c r="A65" s="23" t="s">
        <v>2052</v>
      </c>
      <c r="B65" s="168" t="s">
        <v>2041</v>
      </c>
      <c r="C65" s="97" t="s">
        <v>89</v>
      </c>
      <c r="D65" s="152">
        <v>0.78</v>
      </c>
      <c r="E65" s="152">
        <v>0.06</v>
      </c>
      <c r="F65" s="153">
        <f>(grains_table[[#This Row],[Extract %]]*46.214)/1000+1</f>
        <v>1.03604692</v>
      </c>
      <c r="G65" s="626">
        <v>75.599999999999994</v>
      </c>
      <c r="H65" s="134" t="s">
        <v>2042</v>
      </c>
    </row>
    <row r="66" spans="1:8" ht="13.2" customHeight="1" x14ac:dyDescent="0.25">
      <c r="A66" s="23" t="s">
        <v>1476</v>
      </c>
      <c r="B66" s="23" t="s">
        <v>1361</v>
      </c>
      <c r="C66" s="51" t="s">
        <v>89</v>
      </c>
      <c r="D66" s="155">
        <v>0.69</v>
      </c>
      <c r="E66" s="155">
        <v>0.05</v>
      </c>
      <c r="F66" s="153">
        <f>(grains_table[[#This Row],[Extract %]]*46.214)/1000+1</f>
        <v>1.03188766</v>
      </c>
      <c r="G66" s="626">
        <v>67.5</v>
      </c>
      <c r="H66" s="133" t="s">
        <v>1386</v>
      </c>
    </row>
    <row r="67" spans="1:8" ht="13.2" customHeight="1" x14ac:dyDescent="0.25">
      <c r="A67" s="23" t="s">
        <v>2050</v>
      </c>
      <c r="B67" s="168" t="s">
        <v>2041</v>
      </c>
      <c r="C67" s="97" t="s">
        <v>89</v>
      </c>
      <c r="D67" s="152">
        <v>0.78</v>
      </c>
      <c r="E67" s="152">
        <v>6.5000000000000002E-2</v>
      </c>
      <c r="F67" s="153">
        <f>(grains_table[[#This Row],[Extract %]]*46.214)/1000+1</f>
        <v>1.03604692</v>
      </c>
      <c r="G67" s="49">
        <v>19.3</v>
      </c>
      <c r="H67" s="134" t="s">
        <v>2042</v>
      </c>
    </row>
    <row r="68" spans="1:8" ht="13.2" customHeight="1" x14ac:dyDescent="0.25">
      <c r="A68" s="23" t="s">
        <v>2051</v>
      </c>
      <c r="B68" s="168" t="s">
        <v>2041</v>
      </c>
      <c r="C68" s="97" t="s">
        <v>89</v>
      </c>
      <c r="D68" s="152">
        <v>0.78</v>
      </c>
      <c r="E68" s="152">
        <v>0.06</v>
      </c>
      <c r="F68" s="153">
        <f>(grains_table[[#This Row],[Extract %]]*46.214)/1000+1</f>
        <v>1.03604692</v>
      </c>
      <c r="G68" s="49">
        <v>39.9</v>
      </c>
      <c r="H68" s="134" t="s">
        <v>2042</v>
      </c>
    </row>
    <row r="69" spans="1:8" ht="13.2" customHeight="1" x14ac:dyDescent="0.25">
      <c r="A69" s="23" t="s">
        <v>1477</v>
      </c>
      <c r="B69" s="23" t="s">
        <v>1361</v>
      </c>
      <c r="C69" s="51" t="s">
        <v>89</v>
      </c>
      <c r="D69" s="155">
        <v>0.71</v>
      </c>
      <c r="E69" s="155">
        <v>3.5000000000000003E-2</v>
      </c>
      <c r="F69" s="153">
        <f>(grains_table[[#This Row],[Extract %]]*46.214)/1000+1</f>
        <v>1.03281194</v>
      </c>
      <c r="G69" s="49">
        <v>23.05</v>
      </c>
      <c r="H69" s="133" t="s">
        <v>1379</v>
      </c>
    </row>
    <row r="70" spans="1:8" ht="13.2" customHeight="1" x14ac:dyDescent="0.25">
      <c r="A70" s="23" t="s">
        <v>1549</v>
      </c>
      <c r="B70" s="23" t="s">
        <v>1361</v>
      </c>
      <c r="C70" s="51" t="s">
        <v>89</v>
      </c>
      <c r="D70" s="155">
        <v>0.65</v>
      </c>
      <c r="E70" s="155">
        <v>0.02</v>
      </c>
      <c r="F70" s="153">
        <f>(grains_table[[#This Row],[Extract %]]*46.214)/1000+1</f>
        <v>1.0300391</v>
      </c>
      <c r="G70" s="49">
        <v>103.1</v>
      </c>
      <c r="H70" s="133" t="s">
        <v>1395</v>
      </c>
    </row>
    <row r="71" spans="1:8" ht="13.2" customHeight="1" x14ac:dyDescent="0.25">
      <c r="A71" s="23" t="s">
        <v>2063</v>
      </c>
      <c r="B71" s="168" t="s">
        <v>2041</v>
      </c>
      <c r="C71" s="97" t="s">
        <v>89</v>
      </c>
      <c r="D71" s="152">
        <v>0.78</v>
      </c>
      <c r="E71" s="152">
        <v>6.5000000000000002E-2</v>
      </c>
      <c r="F71" s="153">
        <f>(grains_table[[#This Row],[Extract %]]*46.214)/1000+1</f>
        <v>1.03604692</v>
      </c>
      <c r="G71" s="131">
        <v>24.94</v>
      </c>
      <c r="H71" s="134" t="s">
        <v>2042</v>
      </c>
    </row>
    <row r="72" spans="1:8" ht="13.2" customHeight="1" x14ac:dyDescent="0.25">
      <c r="A72" s="23" t="s">
        <v>1478</v>
      </c>
      <c r="B72" s="23" t="s">
        <v>1361</v>
      </c>
      <c r="C72" s="51" t="s">
        <v>89</v>
      </c>
      <c r="D72" s="155">
        <v>0.69</v>
      </c>
      <c r="E72" s="155">
        <v>0.05</v>
      </c>
      <c r="F72" s="153">
        <f>(grains_table[[#This Row],[Extract %]]*46.214)/1000+1</f>
        <v>1.03188766</v>
      </c>
      <c r="G72" s="49">
        <v>113.1</v>
      </c>
      <c r="H72" s="133" t="s">
        <v>1385</v>
      </c>
    </row>
    <row r="73" spans="1:8" ht="13.2" customHeight="1" x14ac:dyDescent="0.25">
      <c r="A73" s="23" t="s">
        <v>1479</v>
      </c>
      <c r="B73" s="23" t="s">
        <v>1363</v>
      </c>
      <c r="C73" s="51" t="s">
        <v>89</v>
      </c>
      <c r="D73" s="155">
        <v>0.72</v>
      </c>
      <c r="E73" s="155">
        <v>0.05</v>
      </c>
      <c r="F73" s="153">
        <f>(grains_table[[#This Row],[Extract %]]*46.214)/1000+1</f>
        <v>1.03327408</v>
      </c>
      <c r="G73" s="131">
        <v>125</v>
      </c>
      <c r="H73" s="133" t="s">
        <v>1399</v>
      </c>
    </row>
    <row r="74" spans="1:8" ht="13.2" customHeight="1" x14ac:dyDescent="0.25">
      <c r="A74" s="23" t="s">
        <v>2072</v>
      </c>
      <c r="B74" s="168" t="s">
        <v>2041</v>
      </c>
      <c r="C74" s="97" t="s">
        <v>89</v>
      </c>
      <c r="D74" s="152">
        <v>0.71</v>
      </c>
      <c r="E74" s="152">
        <v>0.06</v>
      </c>
      <c r="F74" s="153">
        <f>(grains_table[[#This Row],[Extract %]]*46.214)/1000+1</f>
        <v>1.03281194</v>
      </c>
      <c r="G74" s="49">
        <v>43.3</v>
      </c>
      <c r="H74" s="134" t="s">
        <v>2042</v>
      </c>
    </row>
    <row r="75" spans="1:8" ht="13.2" customHeight="1" x14ac:dyDescent="0.25">
      <c r="A75" s="23" t="s">
        <v>2073</v>
      </c>
      <c r="B75" s="168" t="s">
        <v>2041</v>
      </c>
      <c r="C75" s="97" t="s">
        <v>89</v>
      </c>
      <c r="D75" s="152">
        <v>0.74</v>
      </c>
      <c r="E75" s="152">
        <v>7.4999999999999997E-2</v>
      </c>
      <c r="F75" s="153">
        <f>(grains_table[[#This Row],[Extract %]]*46.214)/1000+1</f>
        <v>1.03419836</v>
      </c>
      <c r="G75" s="49">
        <v>5.0999999999999996</v>
      </c>
      <c r="H75" s="134" t="s">
        <v>2042</v>
      </c>
    </row>
    <row r="76" spans="1:8" ht="13.2" customHeight="1" x14ac:dyDescent="0.25">
      <c r="A76" s="23" t="s">
        <v>1567</v>
      </c>
      <c r="B76" s="23" t="s">
        <v>1405</v>
      </c>
      <c r="C76" s="51" t="s">
        <v>89</v>
      </c>
      <c r="D76" s="155">
        <v>0.5</v>
      </c>
      <c r="E76" s="155">
        <v>4.9000000000000002E-2</v>
      </c>
      <c r="F76" s="153">
        <f>(grains_table[[#This Row],[Extract %]]*46.214)/1000+1</f>
        <v>1.023107</v>
      </c>
      <c r="G76" s="49">
        <v>1.4</v>
      </c>
      <c r="H76" s="134" t="s">
        <v>1439</v>
      </c>
    </row>
    <row r="77" spans="1:8" ht="13.2" customHeight="1" x14ac:dyDescent="0.25">
      <c r="A77" s="23" t="s">
        <v>2049</v>
      </c>
      <c r="B77" s="168" t="s">
        <v>2041</v>
      </c>
      <c r="C77" s="97" t="s">
        <v>89</v>
      </c>
      <c r="D77" s="152">
        <v>0.71</v>
      </c>
      <c r="E77" s="152">
        <v>4.4999999999999998E-2</v>
      </c>
      <c r="F77" s="153">
        <f>(grains_table[[#This Row],[Extract %]]*46.214)/1000+1</f>
        <v>1.03281194</v>
      </c>
      <c r="G77" s="626">
        <v>488</v>
      </c>
      <c r="H77" s="134" t="s">
        <v>2042</v>
      </c>
    </row>
    <row r="78" spans="1:8" ht="13.2" customHeight="1" x14ac:dyDescent="0.25">
      <c r="A78" s="23" t="s">
        <v>2048</v>
      </c>
      <c r="B78" s="168" t="s">
        <v>2041</v>
      </c>
      <c r="C78" s="97" t="s">
        <v>89</v>
      </c>
      <c r="D78" s="152">
        <v>0.71</v>
      </c>
      <c r="E78" s="152">
        <v>4.4999999999999998E-2</v>
      </c>
      <c r="F78" s="153">
        <f>(grains_table[[#This Row],[Extract %]]*46.214)/1000+1</f>
        <v>1.03281194</v>
      </c>
      <c r="G78" s="626">
        <v>356.8</v>
      </c>
      <c r="H78" s="134" t="s">
        <v>2042</v>
      </c>
    </row>
    <row r="79" spans="1:8" ht="13.2" customHeight="1" x14ac:dyDescent="0.25">
      <c r="A79" s="23" t="s">
        <v>1654</v>
      </c>
      <c r="B79" s="23" t="s">
        <v>1363</v>
      </c>
      <c r="C79" s="51" t="s">
        <v>89</v>
      </c>
      <c r="D79" s="155">
        <v>0.7</v>
      </c>
      <c r="E79" s="155">
        <v>4.4999999999999998E-2</v>
      </c>
      <c r="F79" s="153">
        <f>(grains_table[[#This Row],[Extract %]]*46.214)/1000+1</f>
        <v>1.0323498</v>
      </c>
      <c r="G79" s="626">
        <v>340</v>
      </c>
      <c r="H79" s="134" t="s">
        <v>1400</v>
      </c>
    </row>
    <row r="80" spans="1:8" ht="13.2" customHeight="1" x14ac:dyDescent="0.25">
      <c r="A80" s="23" t="s">
        <v>2057</v>
      </c>
      <c r="B80" s="168" t="s">
        <v>2041</v>
      </c>
      <c r="C80" s="97" t="s">
        <v>89</v>
      </c>
      <c r="D80" s="152">
        <v>0.58919999999999995</v>
      </c>
      <c r="E80" s="152">
        <v>6.2799999999999995E-2</v>
      </c>
      <c r="F80" s="153">
        <f>(grains_table[[#This Row],[Extract %]]*46.214)/1000+1</f>
        <v>1.0272292888000001</v>
      </c>
      <c r="G80" s="49">
        <v>1.5</v>
      </c>
      <c r="H80" s="134" t="s">
        <v>2042</v>
      </c>
    </row>
    <row r="81" spans="1:8" ht="13.2" customHeight="1" x14ac:dyDescent="0.25">
      <c r="A81" s="23" t="s">
        <v>1480</v>
      </c>
      <c r="B81" s="23" t="s">
        <v>1362</v>
      </c>
      <c r="C81" s="51" t="s">
        <v>89</v>
      </c>
      <c r="D81" s="155">
        <v>0.75</v>
      </c>
      <c r="E81" s="155">
        <v>6.5000000000000002E-2</v>
      </c>
      <c r="F81" s="153">
        <f>(grains_table[[#This Row],[Extract %]]*46.214)/1000+1</f>
        <v>1.0346605</v>
      </c>
      <c r="G81" s="49">
        <v>1.5</v>
      </c>
      <c r="H81" s="133" t="s">
        <v>1406</v>
      </c>
    </row>
    <row r="82" spans="1:8" ht="13.2" customHeight="1" x14ac:dyDescent="0.25">
      <c r="A82" s="23" t="s">
        <v>1481</v>
      </c>
      <c r="B82" s="23" t="s">
        <v>1362</v>
      </c>
      <c r="C82" s="51" t="s">
        <v>89</v>
      </c>
      <c r="D82" s="155">
        <v>0.75</v>
      </c>
      <c r="E82" s="155">
        <v>5.5E-2</v>
      </c>
      <c r="F82" s="153">
        <f>(grains_table[[#This Row],[Extract %]]*46.214)/1000+1</f>
        <v>1.0346605</v>
      </c>
      <c r="G82" s="49">
        <v>30</v>
      </c>
      <c r="H82" s="133" t="s">
        <v>1406</v>
      </c>
    </row>
    <row r="83" spans="1:8" ht="13.2" customHeight="1" x14ac:dyDescent="0.25">
      <c r="A83" s="23" t="s">
        <v>1482</v>
      </c>
      <c r="B83" s="23" t="s">
        <v>1361</v>
      </c>
      <c r="C83" s="51" t="s">
        <v>89</v>
      </c>
      <c r="D83" s="155">
        <v>0.67500000000000004</v>
      </c>
      <c r="E83" s="155">
        <v>7.0000000000000007E-2</v>
      </c>
      <c r="F83" s="153">
        <f>(grains_table[[#This Row],[Extract %]]*46.214)/1000+1</f>
        <v>1.0311944500000001</v>
      </c>
      <c r="G83" s="626">
        <v>1.1000000000000001</v>
      </c>
      <c r="H83" s="133" t="s">
        <v>1397</v>
      </c>
    </row>
    <row r="84" spans="1:8" ht="13.2" customHeight="1" x14ac:dyDescent="0.25">
      <c r="A84" s="23" t="s">
        <v>2055</v>
      </c>
      <c r="B84" s="168" t="s">
        <v>2041</v>
      </c>
      <c r="C84" s="97" t="s">
        <v>89</v>
      </c>
      <c r="D84" s="152">
        <v>0.82</v>
      </c>
      <c r="E84" s="152">
        <v>0.05</v>
      </c>
      <c r="F84" s="153">
        <f>(grains_table[[#This Row],[Extract %]]*46.214)/1000+1</f>
        <v>1.03789548</v>
      </c>
      <c r="G84" s="49">
        <v>3.6</v>
      </c>
      <c r="H84" s="133" t="s">
        <v>2042</v>
      </c>
    </row>
    <row r="85" spans="1:8" x14ac:dyDescent="0.25">
      <c r="A85" s="23" t="s">
        <v>1656</v>
      </c>
      <c r="B85" s="23" t="s">
        <v>1362</v>
      </c>
      <c r="C85" s="51" t="s">
        <v>776</v>
      </c>
      <c r="D85" s="152"/>
      <c r="E85" s="152"/>
      <c r="F85" s="153">
        <v>1.0449999999999999</v>
      </c>
      <c r="G85" s="49">
        <v>6</v>
      </c>
      <c r="H85" s="133" t="s">
        <v>1604</v>
      </c>
    </row>
    <row r="86" spans="1:8" ht="13.2" customHeight="1" x14ac:dyDescent="0.25">
      <c r="A86" s="23" t="s">
        <v>1657</v>
      </c>
      <c r="B86" s="23" t="s">
        <v>1362</v>
      </c>
      <c r="C86" s="51" t="s">
        <v>776</v>
      </c>
      <c r="D86" s="152"/>
      <c r="E86" s="152"/>
      <c r="F86" s="153">
        <v>1.0449999999999999</v>
      </c>
      <c r="G86" s="131">
        <v>2</v>
      </c>
      <c r="H86" s="133" t="s">
        <v>1604</v>
      </c>
    </row>
    <row r="87" spans="1:8" ht="13.2" customHeight="1" x14ac:dyDescent="0.25">
      <c r="A87" s="23" t="s">
        <v>1588</v>
      </c>
      <c r="B87" s="23" t="s">
        <v>587</v>
      </c>
      <c r="C87" s="51" t="s">
        <v>776</v>
      </c>
      <c r="D87" s="155"/>
      <c r="E87" s="155"/>
      <c r="F87" s="153">
        <v>1.0383439999999999</v>
      </c>
      <c r="G87" s="49">
        <v>6.7</v>
      </c>
      <c r="H87" s="133" t="s">
        <v>1580</v>
      </c>
    </row>
    <row r="88" spans="1:8" ht="13.2" customHeight="1" x14ac:dyDescent="0.25">
      <c r="A88" s="23" t="s">
        <v>1589</v>
      </c>
      <c r="B88" s="23" t="s">
        <v>587</v>
      </c>
      <c r="C88" s="51" t="s">
        <v>776</v>
      </c>
      <c r="D88" s="155"/>
      <c r="E88" s="155"/>
      <c r="F88" s="153">
        <v>1.0377449999999999</v>
      </c>
      <c r="G88" s="49">
        <v>22</v>
      </c>
      <c r="H88" s="133" t="s">
        <v>1580</v>
      </c>
    </row>
    <row r="89" spans="1:8" ht="13.2" customHeight="1" x14ac:dyDescent="0.25">
      <c r="A89" s="23" t="s">
        <v>1590</v>
      </c>
      <c r="B89" s="23" t="s">
        <v>587</v>
      </c>
      <c r="C89" s="51" t="s">
        <v>776</v>
      </c>
      <c r="D89" s="155"/>
      <c r="E89" s="155"/>
      <c r="F89" s="153">
        <v>1.0377449999999999</v>
      </c>
      <c r="G89" s="49">
        <v>36</v>
      </c>
      <c r="H89" s="133" t="s">
        <v>1580</v>
      </c>
    </row>
    <row r="90" spans="1:8" ht="13.2" customHeight="1" x14ac:dyDescent="0.25">
      <c r="A90" s="23" t="s">
        <v>1591</v>
      </c>
      <c r="B90" s="23" t="s">
        <v>587</v>
      </c>
      <c r="C90" s="51" t="s">
        <v>776</v>
      </c>
      <c r="D90" s="155"/>
      <c r="E90" s="155"/>
      <c r="F90" s="153">
        <v>1.0383439999999999</v>
      </c>
      <c r="G90" s="135">
        <v>5.0999999999999996</v>
      </c>
      <c r="H90" s="133" t="s">
        <v>1580</v>
      </c>
    </row>
    <row r="91" spans="1:8" ht="13.2" customHeight="1" x14ac:dyDescent="0.25">
      <c r="A91" s="23" t="s">
        <v>1592</v>
      </c>
      <c r="B91" s="23" t="s">
        <v>587</v>
      </c>
      <c r="C91" s="51" t="s">
        <v>776</v>
      </c>
      <c r="D91" s="155"/>
      <c r="E91" s="155"/>
      <c r="F91" s="153">
        <v>1.0383439999999999</v>
      </c>
      <c r="G91" s="135">
        <v>3.8</v>
      </c>
      <c r="H91" s="133" t="s">
        <v>1580</v>
      </c>
    </row>
    <row r="92" spans="1:8" ht="13.2" customHeight="1" x14ac:dyDescent="0.25">
      <c r="A92" s="23" t="s">
        <v>1593</v>
      </c>
      <c r="B92" s="23" t="s">
        <v>587</v>
      </c>
      <c r="C92" s="51" t="s">
        <v>776</v>
      </c>
      <c r="D92" s="155"/>
      <c r="E92" s="155"/>
      <c r="F92" s="153">
        <v>1.0377449999999999</v>
      </c>
      <c r="G92" s="135">
        <v>12.75</v>
      </c>
      <c r="H92" s="133" t="s">
        <v>1580</v>
      </c>
    </row>
    <row r="93" spans="1:8" ht="13.2" customHeight="1" x14ac:dyDescent="0.25">
      <c r="A93" s="23" t="s">
        <v>1594</v>
      </c>
      <c r="B93" s="23" t="s">
        <v>587</v>
      </c>
      <c r="C93" s="51" t="s">
        <v>776</v>
      </c>
      <c r="D93" s="155"/>
      <c r="E93" s="155"/>
      <c r="F93" s="153">
        <v>1.0377449999999999</v>
      </c>
      <c r="G93" s="135">
        <v>533.5</v>
      </c>
      <c r="H93" s="133" t="s">
        <v>1580</v>
      </c>
    </row>
    <row r="94" spans="1:8" ht="13.2" customHeight="1" x14ac:dyDescent="0.25">
      <c r="A94" s="23" t="s">
        <v>1351</v>
      </c>
      <c r="B94" s="23" t="s">
        <v>1362</v>
      </c>
      <c r="C94" s="51" t="s">
        <v>89</v>
      </c>
      <c r="D94" s="155">
        <v>0.7</v>
      </c>
      <c r="E94" s="155">
        <v>0.09</v>
      </c>
      <c r="F94" s="153">
        <f>(grains_table[[#This Row],[Extract %]]*46.214)/1000+1</f>
        <v>1.0323498</v>
      </c>
      <c r="G94" s="135">
        <v>1.4</v>
      </c>
      <c r="H94" s="133" t="s">
        <v>1603</v>
      </c>
    </row>
    <row r="95" spans="1:8" ht="13.2" customHeight="1" x14ac:dyDescent="0.25">
      <c r="A95" s="23" t="s">
        <v>2054</v>
      </c>
      <c r="B95" s="168" t="s">
        <v>2041</v>
      </c>
      <c r="C95" s="97" t="s">
        <v>89</v>
      </c>
      <c r="D95" s="152">
        <v>0.7</v>
      </c>
      <c r="E95" s="152">
        <v>0.09</v>
      </c>
      <c r="F95" s="153">
        <v>1.032</v>
      </c>
      <c r="G95" s="626">
        <v>1.4</v>
      </c>
      <c r="H95" s="133" t="s">
        <v>2042</v>
      </c>
    </row>
    <row r="96" spans="1:8" ht="13.2" customHeight="1" x14ac:dyDescent="0.25">
      <c r="A96" s="23" t="s">
        <v>1354</v>
      </c>
      <c r="B96" s="23" t="s">
        <v>1362</v>
      </c>
      <c r="C96" s="51" t="s">
        <v>89</v>
      </c>
      <c r="D96" s="155">
        <v>0.6</v>
      </c>
      <c r="E96" s="155">
        <v>7.0000000000000007E-2</v>
      </c>
      <c r="F96" s="153">
        <f>(grains_table[[#This Row],[Extract %]]*46.214)/1000+1</f>
        <v>1.0277284</v>
      </c>
      <c r="G96" s="135">
        <v>1</v>
      </c>
      <c r="H96" s="133" t="s">
        <v>1603</v>
      </c>
    </row>
    <row r="97" spans="1:8" ht="13.2" customHeight="1" x14ac:dyDescent="0.25">
      <c r="A97" s="23" t="s">
        <v>1353</v>
      </c>
      <c r="B97" s="23" t="s">
        <v>1362</v>
      </c>
      <c r="C97" s="51" t="s">
        <v>89</v>
      </c>
      <c r="D97" s="155">
        <v>0.7</v>
      </c>
      <c r="E97" s="155">
        <v>7.4999999999999997E-2</v>
      </c>
      <c r="F97" s="153">
        <f>(grains_table[[#This Row],[Extract %]]*46.214)/1000+1</f>
        <v>1.0323498</v>
      </c>
      <c r="G97" s="145">
        <v>2.5</v>
      </c>
      <c r="H97" s="133" t="s">
        <v>1603</v>
      </c>
    </row>
    <row r="98" spans="1:8" ht="13.2" customHeight="1" x14ac:dyDescent="0.25">
      <c r="A98" s="23" t="s">
        <v>1355</v>
      </c>
      <c r="B98" s="23" t="s">
        <v>1362</v>
      </c>
      <c r="C98" s="51" t="s">
        <v>89</v>
      </c>
      <c r="D98" s="155">
        <v>0.7</v>
      </c>
      <c r="E98" s="155">
        <v>7.0000000000000007E-2</v>
      </c>
      <c r="F98" s="153">
        <f>(grains_table[[#This Row],[Extract %]]*46.214)/1000+1</f>
        <v>1.0323498</v>
      </c>
      <c r="G98" s="145">
        <v>2</v>
      </c>
      <c r="H98" s="133" t="s">
        <v>1603</v>
      </c>
    </row>
    <row r="99" spans="1:8" ht="13.2" customHeight="1" x14ac:dyDescent="0.25">
      <c r="A99" s="23" t="s">
        <v>1356</v>
      </c>
      <c r="B99" s="23" t="s">
        <v>1362</v>
      </c>
      <c r="C99" s="51" t="s">
        <v>89</v>
      </c>
      <c r="D99" s="155">
        <v>0.71</v>
      </c>
      <c r="E99" s="155">
        <v>0.09</v>
      </c>
      <c r="F99" s="153">
        <f>(grains_table[[#This Row],[Extract %]]*46.214)/1000+1</f>
        <v>1.03281194</v>
      </c>
      <c r="G99" s="145">
        <v>3</v>
      </c>
      <c r="H99" s="133" t="s">
        <v>1603</v>
      </c>
    </row>
    <row r="100" spans="1:8" ht="13.2" customHeight="1" x14ac:dyDescent="0.25">
      <c r="A100" s="23" t="s">
        <v>1357</v>
      </c>
      <c r="B100" s="23" t="s">
        <v>1362</v>
      </c>
      <c r="C100" s="51" t="s">
        <v>89</v>
      </c>
      <c r="D100" s="155">
        <v>0.71</v>
      </c>
      <c r="E100" s="155">
        <v>7.0000000000000007E-2</v>
      </c>
      <c r="F100" s="153">
        <f>(grains_table[[#This Row],[Extract %]]*46.214)/1000+1</f>
        <v>1.03281194</v>
      </c>
      <c r="G100" s="135">
        <v>2.5</v>
      </c>
      <c r="H100" s="133" t="s">
        <v>1603</v>
      </c>
    </row>
    <row r="101" spans="1:8" ht="13.2" customHeight="1" x14ac:dyDescent="0.25">
      <c r="A101" s="23" t="s">
        <v>1352</v>
      </c>
      <c r="B101" s="23" t="s">
        <v>1362</v>
      </c>
      <c r="C101" s="51" t="s">
        <v>89</v>
      </c>
      <c r="D101" s="155">
        <v>0.75</v>
      </c>
      <c r="E101" s="155">
        <v>0.08</v>
      </c>
      <c r="F101" s="153">
        <f>(grains_table[[#This Row],[Extract %]]*46.214)/1000+1</f>
        <v>1.0346605</v>
      </c>
      <c r="G101" s="135">
        <v>0.8</v>
      </c>
      <c r="H101" s="133" t="s">
        <v>1603</v>
      </c>
    </row>
    <row r="102" spans="1:8" ht="13.2" customHeight="1" x14ac:dyDescent="0.25">
      <c r="A102" s="23" t="s">
        <v>1649</v>
      </c>
      <c r="B102" s="23" t="s">
        <v>1360</v>
      </c>
      <c r="C102" s="51" t="s">
        <v>89</v>
      </c>
      <c r="D102" s="155">
        <v>0.78</v>
      </c>
      <c r="E102" s="155">
        <v>4.4999999999999998E-2</v>
      </c>
      <c r="F102" s="153">
        <f>(grains_table[[#This Row],[Extract %]]*46.214)/1000+1</f>
        <v>1.03604692</v>
      </c>
      <c r="G102" s="135">
        <v>6.6</v>
      </c>
      <c r="H102" s="133" t="s">
        <v>1401</v>
      </c>
    </row>
    <row r="103" spans="1:8" ht="13.2" customHeight="1" x14ac:dyDescent="0.25">
      <c r="A103" s="23" t="s">
        <v>1659</v>
      </c>
      <c r="B103" s="23" t="s">
        <v>1362</v>
      </c>
      <c r="C103" s="51" t="s">
        <v>776</v>
      </c>
      <c r="D103" s="152"/>
      <c r="E103" s="152"/>
      <c r="F103" s="153">
        <v>1.036</v>
      </c>
      <c r="G103" s="135">
        <v>6</v>
      </c>
      <c r="H103" s="133" t="s">
        <v>1604</v>
      </c>
    </row>
    <row r="104" spans="1:8" ht="13.2" customHeight="1" x14ac:dyDescent="0.25">
      <c r="A104" s="23" t="s">
        <v>1658</v>
      </c>
      <c r="B104" s="23" t="s">
        <v>1362</v>
      </c>
      <c r="C104" s="51" t="s">
        <v>776</v>
      </c>
      <c r="D104" s="155"/>
      <c r="E104" s="155"/>
      <c r="F104" s="153">
        <v>1.036</v>
      </c>
      <c r="G104" s="135">
        <v>2</v>
      </c>
      <c r="H104" s="133" t="s">
        <v>1604</v>
      </c>
    </row>
    <row r="105" spans="1:8" ht="13.2" customHeight="1" x14ac:dyDescent="0.25">
      <c r="A105" s="23" t="s">
        <v>1595</v>
      </c>
      <c r="B105" s="23" t="s">
        <v>587</v>
      </c>
      <c r="C105" s="51" t="s">
        <v>776</v>
      </c>
      <c r="D105" s="155"/>
      <c r="E105" s="155"/>
      <c r="F105" s="153">
        <v>1.036</v>
      </c>
      <c r="G105" s="135">
        <v>7.2</v>
      </c>
      <c r="H105" s="133" t="s">
        <v>1580</v>
      </c>
    </row>
    <row r="106" spans="1:8" ht="13.2" customHeight="1" x14ac:dyDescent="0.25">
      <c r="A106" s="23" t="s">
        <v>1596</v>
      </c>
      <c r="B106" s="23" t="s">
        <v>587</v>
      </c>
      <c r="C106" s="51" t="s">
        <v>776</v>
      </c>
      <c r="D106" s="155"/>
      <c r="E106" s="155"/>
      <c r="F106" s="153">
        <v>1.036</v>
      </c>
      <c r="G106" s="135">
        <v>3.8</v>
      </c>
      <c r="H106" s="133" t="s">
        <v>1580</v>
      </c>
    </row>
    <row r="107" spans="1:8" ht="13.2" customHeight="1" x14ac:dyDescent="0.25">
      <c r="A107" s="23" t="s">
        <v>1597</v>
      </c>
      <c r="B107" s="23" t="s">
        <v>587</v>
      </c>
      <c r="C107" s="51" t="s">
        <v>776</v>
      </c>
      <c r="D107" s="155"/>
      <c r="E107" s="155"/>
      <c r="F107" s="153">
        <v>1.036</v>
      </c>
      <c r="G107" s="49">
        <v>10.25</v>
      </c>
      <c r="H107" s="133" t="s">
        <v>1580</v>
      </c>
    </row>
    <row r="108" spans="1:8" ht="13.2" customHeight="1" x14ac:dyDescent="0.25">
      <c r="A108" s="23" t="s">
        <v>1598</v>
      </c>
      <c r="B108" s="23" t="s">
        <v>587</v>
      </c>
      <c r="C108" s="51" t="s">
        <v>776</v>
      </c>
      <c r="D108" s="155"/>
      <c r="E108" s="155"/>
      <c r="F108" s="153">
        <v>1.036</v>
      </c>
      <c r="G108" s="49">
        <v>5.3</v>
      </c>
      <c r="H108" s="133" t="s">
        <v>1580</v>
      </c>
    </row>
    <row r="109" spans="1:8" ht="13.2" customHeight="1" x14ac:dyDescent="0.25">
      <c r="A109" s="23" t="s">
        <v>1501</v>
      </c>
      <c r="B109" s="23" t="s">
        <v>1405</v>
      </c>
      <c r="C109" s="51" t="s">
        <v>89</v>
      </c>
      <c r="D109" s="155">
        <v>0.75</v>
      </c>
      <c r="E109" s="155">
        <v>4.9000000000000002E-2</v>
      </c>
      <c r="F109" s="153">
        <f>(grains_table[[#This Row],[Extract %]]*46.214)/1000+1</f>
        <v>1.0346605</v>
      </c>
      <c r="G109" s="131">
        <v>28</v>
      </c>
      <c r="H109" s="133" t="s">
        <v>1421</v>
      </c>
    </row>
    <row r="110" spans="1:8" ht="13.2" customHeight="1" x14ac:dyDescent="0.25">
      <c r="A110" s="23" t="s">
        <v>1502</v>
      </c>
      <c r="B110" s="23" t="s">
        <v>1405</v>
      </c>
      <c r="C110" s="51" t="s">
        <v>89</v>
      </c>
      <c r="D110" s="155">
        <v>0.75</v>
      </c>
      <c r="E110" s="155">
        <v>4.9000000000000002E-2</v>
      </c>
      <c r="F110" s="153">
        <f>(grains_table[[#This Row],[Extract %]]*46.214)/1000+1</f>
        <v>1.0346605</v>
      </c>
      <c r="G110" s="49">
        <v>19.5</v>
      </c>
      <c r="H110" s="133" t="s">
        <v>1422</v>
      </c>
    </row>
    <row r="111" spans="1:8" ht="13.2" customHeight="1" x14ac:dyDescent="0.25">
      <c r="A111" s="23" t="s">
        <v>1503</v>
      </c>
      <c r="B111" s="23" t="s">
        <v>1360</v>
      </c>
      <c r="C111" s="51" t="s">
        <v>89</v>
      </c>
      <c r="D111" s="155">
        <v>0.75</v>
      </c>
      <c r="E111" s="155">
        <v>4.4999999999999998E-2</v>
      </c>
      <c r="F111" s="153">
        <f>(grains_table[[#This Row],[Extract %]]*46.214)/1000+1</f>
        <v>1.0346605</v>
      </c>
      <c r="G111" s="49">
        <v>27</v>
      </c>
      <c r="H111" s="133" t="s">
        <v>1401</v>
      </c>
    </row>
    <row r="112" spans="1:8" ht="13.2" customHeight="1" x14ac:dyDescent="0.25">
      <c r="A112" s="23" t="s">
        <v>1495</v>
      </c>
      <c r="B112" s="23" t="s">
        <v>1362</v>
      </c>
      <c r="C112" s="51" t="s">
        <v>89</v>
      </c>
      <c r="D112" s="155">
        <v>0.77</v>
      </c>
      <c r="E112" s="155">
        <v>2.5000000000000001E-2</v>
      </c>
      <c r="F112" s="153">
        <f>(grains_table[[#This Row],[Extract %]]*46.214)/1000+1</f>
        <v>1.03558478</v>
      </c>
      <c r="G112" s="131">
        <v>20</v>
      </c>
      <c r="H112" s="133" t="s">
        <v>1402</v>
      </c>
    </row>
    <row r="113" spans="1:8" ht="13.2" customHeight="1" x14ac:dyDescent="0.25">
      <c r="A113" s="23" t="s">
        <v>1496</v>
      </c>
      <c r="B113" s="23" t="s">
        <v>1405</v>
      </c>
      <c r="C113" s="51" t="s">
        <v>89</v>
      </c>
      <c r="D113" s="155">
        <v>0.80500000000000005</v>
      </c>
      <c r="E113" s="155">
        <v>4.9000000000000002E-2</v>
      </c>
      <c r="F113" s="153">
        <f>(grains_table[[#This Row],[Extract %]]*46.214)/1000+1</f>
        <v>1.0372022700000001</v>
      </c>
      <c r="G113" s="49">
        <v>6.3</v>
      </c>
      <c r="H113" s="133" t="s">
        <v>1423</v>
      </c>
    </row>
    <row r="114" spans="1:8" ht="13.2" customHeight="1" x14ac:dyDescent="0.25">
      <c r="A114" s="23" t="s">
        <v>1497</v>
      </c>
      <c r="B114" s="23" t="s">
        <v>1405</v>
      </c>
      <c r="C114" s="51" t="s">
        <v>89</v>
      </c>
      <c r="D114" s="155">
        <v>0.8</v>
      </c>
      <c r="E114" s="155">
        <v>4.9000000000000002E-2</v>
      </c>
      <c r="F114" s="153">
        <f>(grains_table[[#This Row],[Extract %]]*46.214)/1000+1</f>
        <v>1.0369712</v>
      </c>
      <c r="G114" s="132">
        <v>11.05</v>
      </c>
      <c r="H114" s="133" t="s">
        <v>1420</v>
      </c>
    </row>
    <row r="115" spans="1:8" ht="13.2" customHeight="1" x14ac:dyDescent="0.25">
      <c r="A115" s="23" t="s">
        <v>1498</v>
      </c>
      <c r="B115" s="23" t="s">
        <v>1362</v>
      </c>
      <c r="C115" s="51" t="s">
        <v>89</v>
      </c>
      <c r="D115" s="155">
        <v>0.78</v>
      </c>
      <c r="E115" s="155">
        <v>3.3000000000000002E-2</v>
      </c>
      <c r="F115" s="153">
        <f>(grains_table[[#This Row],[Extract %]]*46.214)/1000+1</f>
        <v>1.03604692</v>
      </c>
      <c r="G115" s="49">
        <v>10</v>
      </c>
      <c r="H115" s="133" t="s">
        <v>1411</v>
      </c>
    </row>
    <row r="116" spans="1:8" ht="13.2" customHeight="1" x14ac:dyDescent="0.25">
      <c r="A116" s="23" t="s">
        <v>2060</v>
      </c>
      <c r="B116" s="168" t="s">
        <v>2041</v>
      </c>
      <c r="C116" s="97" t="s">
        <v>89</v>
      </c>
      <c r="D116" s="152">
        <v>0.81</v>
      </c>
      <c r="E116" s="152">
        <v>0.03</v>
      </c>
      <c r="F116" s="153">
        <f>(grains_table[[#This Row],[Extract %]]*46.214)/1000+1</f>
        <v>1.03743334</v>
      </c>
      <c r="G116" s="626">
        <v>6</v>
      </c>
      <c r="H116" s="133" t="s">
        <v>2042</v>
      </c>
    </row>
    <row r="117" spans="1:8" ht="13.2" customHeight="1" x14ac:dyDescent="0.25">
      <c r="A117" s="23" t="s">
        <v>1500</v>
      </c>
      <c r="B117" s="23" t="s">
        <v>1361</v>
      </c>
      <c r="C117" s="51" t="s">
        <v>89</v>
      </c>
      <c r="D117" s="155">
        <v>0.8</v>
      </c>
      <c r="E117" s="155">
        <v>0.04</v>
      </c>
      <c r="F117" s="153">
        <f>(grains_table[[#This Row],[Extract %]]*46.214)/1000+1</f>
        <v>1.0369712</v>
      </c>
      <c r="G117" s="132">
        <v>8.6</v>
      </c>
      <c r="H117" s="133" t="s">
        <v>1374</v>
      </c>
    </row>
    <row r="118" spans="1:8" ht="13.2" customHeight="1" x14ac:dyDescent="0.25">
      <c r="A118" s="23" t="s">
        <v>1499</v>
      </c>
      <c r="B118" s="23" t="s">
        <v>1363</v>
      </c>
      <c r="C118" s="51" t="s">
        <v>89</v>
      </c>
      <c r="D118" s="155">
        <v>0.79500000000000004</v>
      </c>
      <c r="E118" s="155">
        <v>4.4999999999999998E-2</v>
      </c>
      <c r="F118" s="153">
        <f>(grains_table[[#This Row],[Extract %]]*46.214)/1000+1</f>
        <v>1.0367401300000001</v>
      </c>
      <c r="G118" s="131">
        <v>6</v>
      </c>
      <c r="H118" s="133" t="s">
        <v>1398</v>
      </c>
    </row>
    <row r="119" spans="1:8" ht="13.2" customHeight="1" x14ac:dyDescent="0.25">
      <c r="A119" s="23" t="s">
        <v>2061</v>
      </c>
      <c r="B119" s="168"/>
      <c r="C119" s="97" t="s">
        <v>89</v>
      </c>
      <c r="D119" s="152">
        <v>0</v>
      </c>
      <c r="E119" s="152">
        <v>0</v>
      </c>
      <c r="F119" s="153">
        <v>1</v>
      </c>
      <c r="G119" s="49">
        <v>0</v>
      </c>
      <c r="H119" s="133"/>
    </row>
    <row r="120" spans="1:8" ht="13.2" customHeight="1" x14ac:dyDescent="0.25">
      <c r="A120" s="23" t="s">
        <v>1570</v>
      </c>
      <c r="B120" s="23" t="s">
        <v>1361</v>
      </c>
      <c r="C120" s="51" t="s">
        <v>89</v>
      </c>
      <c r="D120" s="155">
        <v>0.69</v>
      </c>
      <c r="E120" s="155">
        <v>7.0000000000000007E-2</v>
      </c>
      <c r="F120" s="153">
        <f>(grains_table[[#This Row],[Extract %]]*46.214)/1000+1</f>
        <v>1.03188766</v>
      </c>
      <c r="G120" s="626">
        <v>7.35</v>
      </c>
      <c r="H120" s="133" t="s">
        <v>1394</v>
      </c>
    </row>
    <row r="121" spans="1:8" ht="13.2" customHeight="1" x14ac:dyDescent="0.25">
      <c r="A121" s="23" t="s">
        <v>1568</v>
      </c>
      <c r="B121" s="23" t="s">
        <v>1361</v>
      </c>
      <c r="C121" s="51" t="s">
        <v>89</v>
      </c>
      <c r="D121" s="155">
        <v>0.74</v>
      </c>
      <c r="E121" s="155">
        <v>7.0000000000000007E-2</v>
      </c>
      <c r="F121" s="153">
        <f>(grains_table[[#This Row],[Extract %]]*46.214)/1000+1</f>
        <v>1.03419836</v>
      </c>
      <c r="G121" s="49">
        <v>1.7</v>
      </c>
      <c r="H121" s="133" t="s">
        <v>1392</v>
      </c>
    </row>
    <row r="122" spans="1:8" ht="13.2" customHeight="1" x14ac:dyDescent="0.25">
      <c r="A122" s="23" t="s">
        <v>1566</v>
      </c>
      <c r="B122" s="23" t="s">
        <v>1405</v>
      </c>
      <c r="C122" s="97" t="s">
        <v>89</v>
      </c>
      <c r="D122" s="155">
        <v>0.79</v>
      </c>
      <c r="E122" s="155">
        <v>4.9000000000000002E-2</v>
      </c>
      <c r="F122" s="153">
        <f>(grains_table[[#This Row],[Extract %]]*46.214)/1000+1</f>
        <v>1.03650906</v>
      </c>
      <c r="G122" s="49">
        <v>12</v>
      </c>
      <c r="H122" s="133" t="s">
        <v>1428</v>
      </c>
    </row>
    <row r="123" spans="1:8" ht="13.2" customHeight="1" x14ac:dyDescent="0.25">
      <c r="A123" s="23" t="s">
        <v>1564</v>
      </c>
      <c r="B123" s="23" t="s">
        <v>1405</v>
      </c>
      <c r="C123" s="51" t="s">
        <v>89</v>
      </c>
      <c r="D123" s="155">
        <v>0.75</v>
      </c>
      <c r="E123" s="155">
        <v>4.4999999999999998E-2</v>
      </c>
      <c r="F123" s="153">
        <f>(grains_table[[#This Row],[Extract %]]*46.214)/1000+1</f>
        <v>1.0346605</v>
      </c>
      <c r="G123" s="49">
        <v>132.5</v>
      </c>
      <c r="H123" s="133" t="s">
        <v>1429</v>
      </c>
    </row>
    <row r="124" spans="1:8" ht="13.2" customHeight="1" x14ac:dyDescent="0.25">
      <c r="A124" s="23" t="s">
        <v>1630</v>
      </c>
      <c r="B124" s="23" t="s">
        <v>1360</v>
      </c>
      <c r="C124" s="51" t="s">
        <v>89</v>
      </c>
      <c r="D124" s="155">
        <v>0.75</v>
      </c>
      <c r="E124" s="155">
        <v>4.4999999999999998E-2</v>
      </c>
      <c r="F124" s="153">
        <f>(grains_table[[#This Row],[Extract %]]*46.214)/1000+1</f>
        <v>1.0346605</v>
      </c>
      <c r="G124" s="131">
        <v>17.5</v>
      </c>
      <c r="H124" s="133" t="s">
        <v>1401</v>
      </c>
    </row>
    <row r="125" spans="1:8" ht="13.2" customHeight="1" x14ac:dyDescent="0.25">
      <c r="A125" s="23" t="s">
        <v>1485</v>
      </c>
      <c r="B125" s="23" t="s">
        <v>1405</v>
      </c>
      <c r="C125" s="51" t="s">
        <v>89</v>
      </c>
      <c r="D125" s="155">
        <v>0.80500000000000005</v>
      </c>
      <c r="E125" s="155">
        <v>4.9000000000000002E-2</v>
      </c>
      <c r="F125" s="153">
        <f>(grains_table[[#This Row],[Extract %]]*46.214)/1000+1</f>
        <v>1.0372022700000001</v>
      </c>
      <c r="G125" s="49">
        <v>2.7</v>
      </c>
      <c r="H125" s="133" t="s">
        <v>1418</v>
      </c>
    </row>
    <row r="126" spans="1:8" ht="13.2" customHeight="1" x14ac:dyDescent="0.25">
      <c r="A126" s="23" t="s">
        <v>1486</v>
      </c>
      <c r="B126" s="23" t="s">
        <v>1361</v>
      </c>
      <c r="C126" s="51" t="s">
        <v>89</v>
      </c>
      <c r="D126" s="155">
        <v>0.80500000000000005</v>
      </c>
      <c r="E126" s="155">
        <v>3.6999999999999998E-2</v>
      </c>
      <c r="F126" s="153">
        <f>(grains_table[[#This Row],[Extract %]]*46.214)/1000+1</f>
        <v>1.0372022700000001</v>
      </c>
      <c r="G126" s="131">
        <v>2.6</v>
      </c>
      <c r="H126" s="133" t="s">
        <v>1370</v>
      </c>
    </row>
    <row r="127" spans="1:8" ht="13.2" customHeight="1" x14ac:dyDescent="0.25">
      <c r="A127" s="23" t="s">
        <v>1483</v>
      </c>
      <c r="B127" s="23" t="s">
        <v>1361</v>
      </c>
      <c r="C127" s="51" t="s">
        <v>89</v>
      </c>
      <c r="D127" s="155">
        <v>0.8</v>
      </c>
      <c r="E127" s="155">
        <v>0.04</v>
      </c>
      <c r="F127" s="153">
        <f>(grains_table[[#This Row],[Extract %]]*46.214)/1000+1</f>
        <v>1.0369712</v>
      </c>
      <c r="G127" s="49">
        <v>8.6</v>
      </c>
      <c r="H127" s="133" t="s">
        <v>1377</v>
      </c>
    </row>
    <row r="128" spans="1:8" ht="13.2" customHeight="1" x14ac:dyDescent="0.25">
      <c r="A128" s="23" t="s">
        <v>1487</v>
      </c>
      <c r="B128" s="23" t="s">
        <v>1361</v>
      </c>
      <c r="C128" s="51" t="s">
        <v>89</v>
      </c>
      <c r="D128" s="155">
        <v>0.80500000000000005</v>
      </c>
      <c r="E128" s="155">
        <v>3.6999999999999998E-2</v>
      </c>
      <c r="F128" s="153">
        <f>(grains_table[[#This Row],[Extract %]]*46.214)/1000+1</f>
        <v>1.0372022700000001</v>
      </c>
      <c r="G128" s="131">
        <v>1.85</v>
      </c>
      <c r="H128" s="133" t="s">
        <v>1371</v>
      </c>
    </row>
    <row r="129" spans="1:8" ht="13.2" customHeight="1" x14ac:dyDescent="0.25">
      <c r="A129" s="23" t="s">
        <v>1599</v>
      </c>
      <c r="B129" s="23" t="s">
        <v>1361</v>
      </c>
      <c r="C129" s="51" t="s">
        <v>89</v>
      </c>
      <c r="D129" s="155">
        <v>0.81</v>
      </c>
      <c r="E129" s="155">
        <v>3.6999999999999998E-2</v>
      </c>
      <c r="F129" s="153">
        <f>(grains_table[[#This Row],[Extract %]]*46.214)/1000+1</f>
        <v>1.03743334</v>
      </c>
      <c r="G129" s="131">
        <v>2.6</v>
      </c>
      <c r="H129" s="133" t="s">
        <v>1367</v>
      </c>
    </row>
    <row r="130" spans="1:8" ht="13.2" customHeight="1" x14ac:dyDescent="0.25">
      <c r="A130" s="23" t="s">
        <v>1600</v>
      </c>
      <c r="B130" s="23" t="s">
        <v>1361</v>
      </c>
      <c r="C130" s="51" t="s">
        <v>89</v>
      </c>
      <c r="D130" s="155">
        <v>0.81</v>
      </c>
      <c r="E130" s="155">
        <v>3.6999999999999998E-2</v>
      </c>
      <c r="F130" s="153">
        <f>(grains_table[[#This Row],[Extract %]]*46.214)/1000+1</f>
        <v>1.03743334</v>
      </c>
      <c r="G130" s="49">
        <v>2.6</v>
      </c>
      <c r="H130" s="133" t="s">
        <v>1368</v>
      </c>
    </row>
    <row r="131" spans="1:8" ht="13.2" customHeight="1" x14ac:dyDescent="0.25">
      <c r="A131" s="23" t="s">
        <v>1545</v>
      </c>
      <c r="B131" s="23" t="s">
        <v>1546</v>
      </c>
      <c r="C131" s="51" t="s">
        <v>89</v>
      </c>
      <c r="D131" s="155">
        <v>0.8</v>
      </c>
      <c r="E131" s="155">
        <v>0.04</v>
      </c>
      <c r="F131" s="153">
        <f>(grains_table[[#This Row],[Extract %]]*46.214)/1000+1</f>
        <v>1.0369712</v>
      </c>
      <c r="G131" s="626">
        <v>2.65</v>
      </c>
      <c r="H131" s="133" t="s">
        <v>1606</v>
      </c>
    </row>
    <row r="132" spans="1:8" ht="13.2" customHeight="1" x14ac:dyDescent="0.25">
      <c r="A132" s="23" t="s">
        <v>1484</v>
      </c>
      <c r="B132" s="23" t="s">
        <v>1361</v>
      </c>
      <c r="C132" s="51" t="s">
        <v>89</v>
      </c>
      <c r="D132" s="155">
        <v>0.75</v>
      </c>
      <c r="E132" s="155">
        <v>3.5000000000000003E-2</v>
      </c>
      <c r="F132" s="153">
        <f>(grains_table[[#This Row],[Extract %]]*46.214)/1000+1</f>
        <v>1.0346605</v>
      </c>
      <c r="G132" s="626">
        <v>17.45</v>
      </c>
      <c r="H132" s="133" t="s">
        <v>1375</v>
      </c>
    </row>
    <row r="133" spans="1:8" ht="13.2" customHeight="1" x14ac:dyDescent="0.25">
      <c r="A133" s="23" t="s">
        <v>1488</v>
      </c>
      <c r="B133" s="23" t="s">
        <v>1362</v>
      </c>
      <c r="C133" s="51" t="s">
        <v>89</v>
      </c>
      <c r="D133" s="155">
        <v>0.78500000000000003</v>
      </c>
      <c r="E133" s="155">
        <v>1.4999999999999999E-2</v>
      </c>
      <c r="F133" s="153">
        <f>(grains_table[[#This Row],[Extract %]]*46.214)/1000+1</f>
        <v>1.0362779900000001</v>
      </c>
      <c r="G133" s="49">
        <v>3.5</v>
      </c>
      <c r="H133" s="133" t="s">
        <v>1639</v>
      </c>
    </row>
    <row r="134" spans="1:8" ht="13.2" customHeight="1" x14ac:dyDescent="0.25">
      <c r="A134" s="23" t="s">
        <v>1832</v>
      </c>
      <c r="B134" s="23" t="s">
        <v>1670</v>
      </c>
      <c r="C134" s="51" t="s">
        <v>89</v>
      </c>
      <c r="D134" s="155">
        <v>0.79</v>
      </c>
      <c r="E134" s="155">
        <v>4.4999999999999998E-2</v>
      </c>
      <c r="F134" s="153">
        <f>(grains_table[[#This Row],[Extract %]]*46.214)/1000+1</f>
        <v>1.03650906</v>
      </c>
      <c r="G134" s="131">
        <v>3.5</v>
      </c>
      <c r="H134" s="133" t="s">
        <v>1833</v>
      </c>
    </row>
    <row r="135" spans="1:8" ht="13.2" customHeight="1" x14ac:dyDescent="0.25">
      <c r="A135" s="23" t="s">
        <v>1490</v>
      </c>
      <c r="B135" s="23" t="s">
        <v>1360</v>
      </c>
      <c r="C135" s="51" t="s">
        <v>89</v>
      </c>
      <c r="D135" s="155">
        <v>0.79</v>
      </c>
      <c r="E135" s="155">
        <v>4.4999999999999998E-2</v>
      </c>
      <c r="F135" s="153">
        <f>(grains_table[[#This Row],[Extract %]]*46.214)/1000+1</f>
        <v>1.03650906</v>
      </c>
      <c r="G135" s="49">
        <v>3</v>
      </c>
      <c r="H135" s="133" t="s">
        <v>1401</v>
      </c>
    </row>
    <row r="136" spans="1:8" ht="13.2" customHeight="1" x14ac:dyDescent="0.25">
      <c r="A136" s="23" t="s">
        <v>1489</v>
      </c>
      <c r="B136" s="23" t="s">
        <v>1363</v>
      </c>
      <c r="C136" s="51" t="s">
        <v>89</v>
      </c>
      <c r="D136" s="155">
        <v>0.8</v>
      </c>
      <c r="E136" s="155">
        <v>4.4999999999999998E-2</v>
      </c>
      <c r="F136" s="153">
        <f>(grains_table[[#This Row],[Extract %]]*46.214)/1000+1</f>
        <v>1.0369712</v>
      </c>
      <c r="G136" s="233">
        <v>3.8</v>
      </c>
      <c r="H136" s="133" t="s">
        <v>1398</v>
      </c>
    </row>
    <row r="137" spans="1:8" ht="13.2" customHeight="1" x14ac:dyDescent="0.25">
      <c r="A137" s="23" t="s">
        <v>2043</v>
      </c>
      <c r="B137" s="23" t="s">
        <v>2041</v>
      </c>
      <c r="C137" s="51" t="s">
        <v>89</v>
      </c>
      <c r="D137" s="155">
        <v>0.80500000000000005</v>
      </c>
      <c r="E137" s="155">
        <v>3.5000000000000003E-2</v>
      </c>
      <c r="F137" s="153">
        <f>(grains_table[[#This Row],[Extract %]]*46.214)/1000+1</f>
        <v>1.0372022700000001</v>
      </c>
      <c r="G137" s="131">
        <v>2.7</v>
      </c>
      <c r="H137" s="133" t="s">
        <v>2042</v>
      </c>
    </row>
    <row r="138" spans="1:8" ht="13.2" customHeight="1" x14ac:dyDescent="0.25">
      <c r="A138" s="23" t="s">
        <v>2044</v>
      </c>
      <c r="B138" s="23" t="s">
        <v>2041</v>
      </c>
      <c r="C138" s="51" t="s">
        <v>89</v>
      </c>
      <c r="D138" s="155">
        <v>0.80500000000000005</v>
      </c>
      <c r="E138" s="155">
        <v>3.5000000000000003E-2</v>
      </c>
      <c r="F138" s="153">
        <f>(grains_table[[#This Row],[Extract %]]*46.214)/1000+1</f>
        <v>1.0372022700000001</v>
      </c>
      <c r="G138" s="131">
        <v>2.4</v>
      </c>
      <c r="H138" s="133" t="s">
        <v>2042</v>
      </c>
    </row>
    <row r="139" spans="1:8" ht="13.2" customHeight="1" x14ac:dyDescent="0.25">
      <c r="A139" s="23" t="s">
        <v>1491</v>
      </c>
      <c r="B139" s="23" t="s">
        <v>1362</v>
      </c>
      <c r="C139" s="51" t="s">
        <v>89</v>
      </c>
      <c r="D139" s="155">
        <v>0.79</v>
      </c>
      <c r="E139" s="155">
        <v>3.5000000000000003E-2</v>
      </c>
      <c r="F139" s="153">
        <f>(grains_table[[#This Row],[Extract %]]*46.214)/1000+1</f>
        <v>1.03650906</v>
      </c>
      <c r="G139" s="131">
        <v>5.3</v>
      </c>
      <c r="H139" s="133" t="s">
        <v>1639</v>
      </c>
    </row>
    <row r="140" spans="1:8" ht="13.2" customHeight="1" x14ac:dyDescent="0.25">
      <c r="A140" s="23" t="s">
        <v>1492</v>
      </c>
      <c r="B140" s="23" t="s">
        <v>1362</v>
      </c>
      <c r="C140" s="51" t="s">
        <v>89</v>
      </c>
      <c r="D140" s="155">
        <v>0.81</v>
      </c>
      <c r="E140" s="155">
        <v>4.2000000000000003E-2</v>
      </c>
      <c r="F140" s="153">
        <f>(grains_table[[#This Row],[Extract %]]*46.214)/1000+1</f>
        <v>1.03743334</v>
      </c>
      <c r="G140" s="49">
        <v>1.8</v>
      </c>
      <c r="H140" s="133" t="s">
        <v>1639</v>
      </c>
    </row>
    <row r="141" spans="1:8" ht="13.2" customHeight="1" x14ac:dyDescent="0.25">
      <c r="A141" s="23" t="s">
        <v>1669</v>
      </c>
      <c r="B141" s="23" t="s">
        <v>1670</v>
      </c>
      <c r="C141" s="97" t="s">
        <v>89</v>
      </c>
      <c r="D141" s="152">
        <v>0.8</v>
      </c>
      <c r="E141" s="152">
        <v>0.04</v>
      </c>
      <c r="F141" s="153">
        <v>1.0369999999999999</v>
      </c>
      <c r="G141" s="159">
        <v>1.8</v>
      </c>
      <c r="H141" s="133" t="s">
        <v>1671</v>
      </c>
    </row>
    <row r="142" spans="1:8" ht="13.2" customHeight="1" x14ac:dyDescent="0.25">
      <c r="A142" s="23" t="s">
        <v>1493</v>
      </c>
      <c r="B142" s="23" t="s">
        <v>1362</v>
      </c>
      <c r="C142" s="51" t="s">
        <v>89</v>
      </c>
      <c r="D142" s="155">
        <v>0.8</v>
      </c>
      <c r="E142" s="155">
        <v>4.5999999999999999E-2</v>
      </c>
      <c r="F142" s="153">
        <f>(grains_table[[#This Row],[Extract %]]*46.214)/1000+1</f>
        <v>1.0369712</v>
      </c>
      <c r="G142" s="159">
        <v>1.7</v>
      </c>
      <c r="H142" s="133" t="s">
        <v>1412</v>
      </c>
    </row>
    <row r="143" spans="1:8" ht="13.2" customHeight="1" x14ac:dyDescent="0.25">
      <c r="A143" s="23" t="s">
        <v>1494</v>
      </c>
      <c r="B143" s="23" t="s">
        <v>1361</v>
      </c>
      <c r="C143" s="51" t="s">
        <v>89</v>
      </c>
      <c r="D143" s="155">
        <v>0.80500000000000005</v>
      </c>
      <c r="E143" s="155">
        <v>3.6999999999999998E-2</v>
      </c>
      <c r="F143" s="153">
        <f>(grains_table[[#This Row],[Extract %]]*46.214)/1000+1</f>
        <v>1.0372022700000001</v>
      </c>
      <c r="G143" s="131">
        <v>1.7</v>
      </c>
      <c r="H143" s="133" t="s">
        <v>1369</v>
      </c>
    </row>
    <row r="144" spans="1:8" ht="13.2" customHeight="1" x14ac:dyDescent="0.25">
      <c r="A144" s="23" t="s">
        <v>1744</v>
      </c>
      <c r="B144" s="23" t="s">
        <v>1670</v>
      </c>
      <c r="C144" s="51" t="s">
        <v>89</v>
      </c>
      <c r="D144" s="155">
        <v>0.79</v>
      </c>
      <c r="E144" s="155">
        <v>4.2000000000000003E-2</v>
      </c>
      <c r="F144" s="153">
        <f>(grains_table[[#This Row],[Extract %]]*46.214)/1000+1</f>
        <v>1.03650906</v>
      </c>
      <c r="G144" s="131">
        <v>2.2999999999999998</v>
      </c>
      <c r="H144" s="133" t="s">
        <v>1745</v>
      </c>
    </row>
    <row r="145" spans="1:8" ht="13.2" customHeight="1" x14ac:dyDescent="0.25">
      <c r="A145" s="23" t="s">
        <v>1444</v>
      </c>
      <c r="B145" s="23" t="s">
        <v>1405</v>
      </c>
      <c r="C145" s="51" t="s">
        <v>89</v>
      </c>
      <c r="D145" s="155">
        <v>0.80500000000000005</v>
      </c>
      <c r="E145" s="155">
        <v>4.9000000000000002E-2</v>
      </c>
      <c r="F145" s="153">
        <f>(grains_table[[#This Row],[Extract %]]*46.214)/1000+1</f>
        <v>1.0372022700000001</v>
      </c>
      <c r="G145" s="131">
        <v>1.5</v>
      </c>
      <c r="H145" s="133" t="s">
        <v>1416</v>
      </c>
    </row>
    <row r="146" spans="1:8" ht="13.2" customHeight="1" x14ac:dyDescent="0.25">
      <c r="A146" s="23" t="s">
        <v>1445</v>
      </c>
      <c r="B146" s="23" t="s">
        <v>1405</v>
      </c>
      <c r="C146" s="51" t="s">
        <v>89</v>
      </c>
      <c r="D146" s="155">
        <v>0.80500000000000005</v>
      </c>
      <c r="E146" s="155">
        <v>4.9000000000000002E-2</v>
      </c>
      <c r="F146" s="153">
        <f>(grains_table[[#This Row],[Extract %]]*46.214)/1000+1</f>
        <v>1.0372022700000001</v>
      </c>
      <c r="G146" s="131">
        <v>1.95</v>
      </c>
      <c r="H146" s="133" t="s">
        <v>1417</v>
      </c>
    </row>
    <row r="147" spans="1:8" ht="13.2" customHeight="1" x14ac:dyDescent="0.25">
      <c r="A147" s="23" t="s">
        <v>1446</v>
      </c>
      <c r="B147" s="23" t="s">
        <v>1360</v>
      </c>
      <c r="C147" s="51" t="s">
        <v>89</v>
      </c>
      <c r="D147" s="155">
        <v>0.8</v>
      </c>
      <c r="E147" s="155">
        <v>0.05</v>
      </c>
      <c r="F147" s="153">
        <f>(grains_table[[#This Row],[Extract %]]*46.214)/1000+1</f>
        <v>1.0369712</v>
      </c>
      <c r="G147" s="49">
        <v>2.0499999999999998</v>
      </c>
      <c r="H147" s="133" t="s">
        <v>1401</v>
      </c>
    </row>
    <row r="148" spans="1:8" ht="13.2" customHeight="1" x14ac:dyDescent="0.25">
      <c r="A148" s="23" t="s">
        <v>1601</v>
      </c>
      <c r="B148" s="23" t="s">
        <v>1360</v>
      </c>
      <c r="C148" s="51" t="s">
        <v>89</v>
      </c>
      <c r="D148" s="155">
        <v>0.80500000000000005</v>
      </c>
      <c r="E148" s="155">
        <v>4.4999999999999998E-2</v>
      </c>
      <c r="F148" s="153">
        <f>(grains_table[[#This Row],[Extract %]]*46.214)/1000+1</f>
        <v>1.0372022700000001</v>
      </c>
      <c r="G148" s="49">
        <v>1.3</v>
      </c>
      <c r="H148" s="133" t="s">
        <v>1401</v>
      </c>
    </row>
    <row r="149" spans="1:8" ht="13.2" customHeight="1" x14ac:dyDescent="0.25">
      <c r="A149" s="23" t="s">
        <v>1447</v>
      </c>
      <c r="B149" s="23" t="s">
        <v>1361</v>
      </c>
      <c r="C149" s="51" t="s">
        <v>89</v>
      </c>
      <c r="D149" s="155">
        <v>0.81</v>
      </c>
      <c r="E149" s="155">
        <v>4.4999999999999998E-2</v>
      </c>
      <c r="F149" s="153">
        <f>(grains_table[[#This Row],[Extract %]]*46.214)/1000+1</f>
        <v>1.03743334</v>
      </c>
      <c r="G149" s="626">
        <v>1.7</v>
      </c>
      <c r="H149" s="133" t="s">
        <v>1372</v>
      </c>
    </row>
    <row r="150" spans="1:8" ht="13.2" customHeight="1" x14ac:dyDescent="0.25">
      <c r="A150" s="23" t="s">
        <v>1650</v>
      </c>
      <c r="B150" s="23" t="s">
        <v>1360</v>
      </c>
      <c r="C150" s="51" t="s">
        <v>89</v>
      </c>
      <c r="D150" s="155">
        <v>0.79</v>
      </c>
      <c r="E150" s="155">
        <v>5.5E-2</v>
      </c>
      <c r="F150" s="153">
        <f>(grains_table[[#This Row],[Extract %]]*46.214)/1000+1</f>
        <v>1.03650906</v>
      </c>
      <c r="G150" s="626">
        <v>1.95</v>
      </c>
      <c r="H150" s="133" t="s">
        <v>1401</v>
      </c>
    </row>
    <row r="151" spans="1:8" ht="13.2" customHeight="1" x14ac:dyDescent="0.25">
      <c r="A151" s="23" t="s">
        <v>2053</v>
      </c>
      <c r="B151" s="168" t="s">
        <v>2041</v>
      </c>
      <c r="C151" s="97" t="s">
        <v>89</v>
      </c>
      <c r="D151" s="152">
        <v>0.81</v>
      </c>
      <c r="E151" s="152">
        <v>3.5000000000000003E-2</v>
      </c>
      <c r="F151" s="153">
        <f>(grains_table[[#This Row],[Extract %]]*46.214)/1000+1</f>
        <v>1.03743334</v>
      </c>
      <c r="G151" s="626">
        <v>2.1</v>
      </c>
      <c r="H151" s="133" t="s">
        <v>2042</v>
      </c>
    </row>
    <row r="152" spans="1:8" ht="13.2" customHeight="1" x14ac:dyDescent="0.25">
      <c r="A152" s="23" t="s">
        <v>2056</v>
      </c>
      <c r="B152" s="168" t="s">
        <v>2041</v>
      </c>
      <c r="C152" s="97" t="s">
        <v>89</v>
      </c>
      <c r="D152" s="152">
        <v>0.81</v>
      </c>
      <c r="E152" s="152">
        <v>3.5000000000000003E-2</v>
      </c>
      <c r="F152" s="153">
        <f>(grains_table[[#This Row],[Extract %]]*46.214)/1000+1</f>
        <v>1.03743334</v>
      </c>
      <c r="G152" s="49">
        <v>1.6</v>
      </c>
      <c r="H152" s="133" t="s">
        <v>2042</v>
      </c>
    </row>
    <row r="153" spans="1:8" ht="13.2" customHeight="1" x14ac:dyDescent="0.25">
      <c r="A153" s="23" t="s">
        <v>1544</v>
      </c>
      <c r="B153" s="23" t="s">
        <v>1546</v>
      </c>
      <c r="C153" s="51" t="s">
        <v>89</v>
      </c>
      <c r="D153" s="155">
        <v>0.8</v>
      </c>
      <c r="E153" s="155">
        <v>0.04</v>
      </c>
      <c r="F153" s="153">
        <f>(grains_table[[#This Row],[Extract %]]*46.214)/1000+1</f>
        <v>1.0369712</v>
      </c>
      <c r="G153" s="131">
        <v>1.6</v>
      </c>
      <c r="H153" s="133" t="s">
        <v>1606</v>
      </c>
    </row>
    <row r="154" spans="1:8" ht="13.2" customHeight="1" x14ac:dyDescent="0.25">
      <c r="A154" s="23" t="s">
        <v>1448</v>
      </c>
      <c r="B154" s="23" t="s">
        <v>1362</v>
      </c>
      <c r="C154" s="51" t="s">
        <v>89</v>
      </c>
      <c r="D154" s="155">
        <v>0.80500000000000005</v>
      </c>
      <c r="E154" s="155">
        <v>4.4999999999999998E-2</v>
      </c>
      <c r="F154" s="153">
        <f>(grains_table[[#This Row],[Extract %]]*46.214)/1000+1</f>
        <v>1.0372022700000001</v>
      </c>
      <c r="G154" s="49">
        <v>1.2</v>
      </c>
      <c r="H154" s="133" t="s">
        <v>1412</v>
      </c>
    </row>
    <row r="155" spans="1:8" ht="13.2" customHeight="1" x14ac:dyDescent="0.25">
      <c r="A155" s="23" t="s">
        <v>1449</v>
      </c>
      <c r="B155" s="23" t="s">
        <v>1363</v>
      </c>
      <c r="C155" s="51" t="s">
        <v>89</v>
      </c>
      <c r="D155" s="155">
        <v>0.8</v>
      </c>
      <c r="E155" s="155">
        <v>4.4999999999999998E-2</v>
      </c>
      <c r="F155" s="153">
        <f>(grains_table[[#This Row],[Extract %]]*46.214)/1000+1</f>
        <v>1.0369712</v>
      </c>
      <c r="G155" s="49">
        <v>1.6</v>
      </c>
      <c r="H155" s="133" t="s">
        <v>1398</v>
      </c>
    </row>
    <row r="156" spans="1:8" ht="13.2" customHeight="1" x14ac:dyDescent="0.25">
      <c r="A156" s="23" t="s">
        <v>1450</v>
      </c>
      <c r="B156" s="23" t="s">
        <v>1360</v>
      </c>
      <c r="C156" s="51" t="s">
        <v>89</v>
      </c>
      <c r="D156" s="155">
        <v>0.80500000000000005</v>
      </c>
      <c r="E156" s="155">
        <v>0.05</v>
      </c>
      <c r="F156" s="153">
        <f>(grains_table[[#This Row],[Extract %]]*46.214)/1000+1</f>
        <v>1.0372022700000001</v>
      </c>
      <c r="G156" s="170">
        <v>1.85</v>
      </c>
      <c r="H156" s="133" t="s">
        <v>1401</v>
      </c>
    </row>
    <row r="157" spans="1:8" ht="13.2" customHeight="1" x14ac:dyDescent="0.25">
      <c r="A157" s="23" t="s">
        <v>2062</v>
      </c>
      <c r="B157" s="168" t="s">
        <v>2041</v>
      </c>
      <c r="C157" s="97" t="s">
        <v>89</v>
      </c>
      <c r="D157" s="152">
        <v>0.81</v>
      </c>
      <c r="E157" s="152">
        <v>3.5000000000000003E-2</v>
      </c>
      <c r="F157" s="153">
        <f>(grains_table[[#This Row],[Extract %]]*46.214)/1000+1</f>
        <v>1.03743334</v>
      </c>
      <c r="G157" s="49">
        <v>2</v>
      </c>
      <c r="H157" s="133" t="s">
        <v>2042</v>
      </c>
    </row>
    <row r="158" spans="1:8" ht="13.2" customHeight="1" x14ac:dyDescent="0.25">
      <c r="A158" s="23" t="s">
        <v>1751</v>
      </c>
      <c r="B158" s="168" t="s">
        <v>1750</v>
      </c>
      <c r="C158" s="97" t="s">
        <v>89</v>
      </c>
      <c r="D158" s="155">
        <v>0.81</v>
      </c>
      <c r="E158" s="155">
        <v>4.4999999999999998E-2</v>
      </c>
      <c r="F158" s="153">
        <f>(grains_table[[#This Row],[Extract %]]*46.214)/1000+1</f>
        <v>1.03743334</v>
      </c>
      <c r="G158" s="49">
        <v>2</v>
      </c>
      <c r="H158" s="133" t="s">
        <v>1749</v>
      </c>
    </row>
    <row r="159" spans="1:8" ht="13.2" customHeight="1" x14ac:dyDescent="0.25">
      <c r="A159" s="23" t="s">
        <v>1451</v>
      </c>
      <c r="B159" s="23" t="s">
        <v>1362</v>
      </c>
      <c r="C159" s="51" t="s">
        <v>89</v>
      </c>
      <c r="D159" s="155">
        <v>0.83299999999999996</v>
      </c>
      <c r="E159" s="155">
        <v>4.3999999999999997E-2</v>
      </c>
      <c r="F159" s="153">
        <f>(grains_table[[#This Row],[Extract %]]*46.214)/1000+1</f>
        <v>1.038496262</v>
      </c>
      <c r="G159" s="49">
        <v>1.8</v>
      </c>
      <c r="H159" s="133" t="s">
        <v>1412</v>
      </c>
    </row>
    <row r="160" spans="1:8" ht="13.2" customHeight="1" x14ac:dyDescent="0.25">
      <c r="A160" s="23" t="s">
        <v>1746</v>
      </c>
      <c r="B160" s="168"/>
      <c r="C160" s="97" t="s">
        <v>89</v>
      </c>
      <c r="D160" s="152">
        <v>0</v>
      </c>
      <c r="E160" s="152">
        <v>0</v>
      </c>
      <c r="F160" s="153">
        <f>(grains_table[[#This Row],[Extract %]]*46.214)/1000+1</f>
        <v>1</v>
      </c>
      <c r="G160" s="160">
        <v>0</v>
      </c>
      <c r="H160" s="133"/>
    </row>
    <row r="161" spans="1:8" ht="13.2" customHeight="1" x14ac:dyDescent="0.25">
      <c r="A161" s="23" t="s">
        <v>1348</v>
      </c>
      <c r="B161" s="23" t="s">
        <v>1362</v>
      </c>
      <c r="C161" s="51" t="s">
        <v>89</v>
      </c>
      <c r="D161" s="155"/>
      <c r="E161" s="155">
        <v>0.05</v>
      </c>
      <c r="F161" s="153">
        <v>1.0249999999999999</v>
      </c>
      <c r="G161" s="626">
        <v>300</v>
      </c>
      <c r="H161" s="133" t="s">
        <v>1668</v>
      </c>
    </row>
    <row r="162" spans="1:8" ht="13.2" customHeight="1" x14ac:dyDescent="0.25">
      <c r="A162" s="23" t="s">
        <v>2064</v>
      </c>
      <c r="B162" s="168" t="s">
        <v>2041</v>
      </c>
      <c r="C162" s="97" t="s">
        <v>89</v>
      </c>
      <c r="D162" s="152">
        <v>0.72</v>
      </c>
      <c r="E162" s="152">
        <v>4.4999999999999998E-2</v>
      </c>
      <c r="F162" s="153">
        <f>(grains_table[[#This Row],[Extract %]]*46.214)/1000+1</f>
        <v>1.03327408</v>
      </c>
      <c r="G162" s="626">
        <v>507</v>
      </c>
      <c r="H162" s="133" t="s">
        <v>2042</v>
      </c>
    </row>
    <row r="163" spans="1:8" ht="13.2" customHeight="1" x14ac:dyDescent="0.25">
      <c r="A163" s="23" t="s">
        <v>1364</v>
      </c>
      <c r="B163" s="23" t="s">
        <v>1361</v>
      </c>
      <c r="C163" s="51" t="s">
        <v>89</v>
      </c>
      <c r="D163" s="155">
        <v>0.62</v>
      </c>
      <c r="E163" s="155">
        <v>0.03</v>
      </c>
      <c r="F163" s="153">
        <f>(grains_table[[#This Row],[Extract %]]*46.214)/1000+1</f>
        <v>1.02865268</v>
      </c>
      <c r="G163" s="49">
        <v>600.6</v>
      </c>
      <c r="H163" s="133" t="s">
        <v>1391</v>
      </c>
    </row>
    <row r="164" spans="1:8" ht="13.2" customHeight="1" x14ac:dyDescent="0.25">
      <c r="A164" s="23" t="s">
        <v>1365</v>
      </c>
      <c r="B164" s="23" t="s">
        <v>1360</v>
      </c>
      <c r="C164" s="51" t="s">
        <v>89</v>
      </c>
      <c r="D164" s="155">
        <v>0.65</v>
      </c>
      <c r="E164" s="155">
        <v>3.7999999999999999E-2</v>
      </c>
      <c r="F164" s="153">
        <f>(grains_table[[#This Row],[Extract %]]*46.214)/1000+1</f>
        <v>1.0300391</v>
      </c>
      <c r="G164" s="131">
        <v>431.5</v>
      </c>
      <c r="H164" s="133" t="s">
        <v>1401</v>
      </c>
    </row>
    <row r="165" spans="1:8" ht="13.2" customHeight="1" x14ac:dyDescent="0.25">
      <c r="A165" s="23" t="s">
        <v>1563</v>
      </c>
      <c r="B165" s="23" t="s">
        <v>1405</v>
      </c>
      <c r="C165" s="51" t="s">
        <v>89</v>
      </c>
      <c r="D165" s="155"/>
      <c r="E165" s="155">
        <v>5.5E-2</v>
      </c>
      <c r="F165" s="153">
        <f>(grains_table[[#This Row],[Extract %]]*46.214)/1000+1</f>
        <v>1</v>
      </c>
      <c r="G165" s="49">
        <v>490</v>
      </c>
      <c r="H165" s="134" t="s">
        <v>1443</v>
      </c>
    </row>
    <row r="166" spans="1:8" ht="13.2" customHeight="1" x14ac:dyDescent="0.25">
      <c r="A166" s="23" t="s">
        <v>1572</v>
      </c>
      <c r="B166" s="23" t="s">
        <v>1362</v>
      </c>
      <c r="C166" s="51" t="s">
        <v>89</v>
      </c>
      <c r="D166" s="155"/>
      <c r="E166" s="155">
        <v>0.06</v>
      </c>
      <c r="F166" s="153">
        <f>(grains_table[[#This Row],[Extract %]]*46.214)/1000+1</f>
        <v>1</v>
      </c>
      <c r="G166" s="132">
        <v>500</v>
      </c>
      <c r="H166" s="133" t="s">
        <v>1607</v>
      </c>
    </row>
    <row r="167" spans="1:8" ht="13.2" customHeight="1" x14ac:dyDescent="0.25">
      <c r="A167" s="23" t="s">
        <v>1548</v>
      </c>
      <c r="B167" s="23" t="s">
        <v>1363</v>
      </c>
      <c r="C167" s="51" t="s">
        <v>89</v>
      </c>
      <c r="D167" s="155">
        <v>0.7</v>
      </c>
      <c r="E167" s="155">
        <v>4.4999999999999998E-2</v>
      </c>
      <c r="F167" s="153">
        <f>(grains_table[[#This Row],[Extract %]]*46.214)/1000+1</f>
        <v>1.0323498</v>
      </c>
      <c r="G167" s="131">
        <v>453</v>
      </c>
      <c r="H167" s="134" t="s">
        <v>1400</v>
      </c>
    </row>
    <row r="168" spans="1:8" ht="13.2" customHeight="1" x14ac:dyDescent="0.25">
      <c r="A168" s="23" t="s">
        <v>1504</v>
      </c>
      <c r="B168" s="23" t="s">
        <v>1361</v>
      </c>
      <c r="C168" s="51" t="s">
        <v>89</v>
      </c>
      <c r="D168" s="155">
        <v>0.69</v>
      </c>
      <c r="E168" s="155">
        <v>0.05</v>
      </c>
      <c r="F168" s="153">
        <f>(grains_table[[#This Row],[Extract %]]*46.214)/1000+1</f>
        <v>1.03188766</v>
      </c>
      <c r="G168" s="49">
        <v>24</v>
      </c>
      <c r="H168" s="133" t="s">
        <v>1387</v>
      </c>
    </row>
    <row r="169" spans="1:8" ht="13.2" customHeight="1" x14ac:dyDescent="0.25">
      <c r="A169" s="23" t="s">
        <v>1505</v>
      </c>
      <c r="B169" s="23" t="s">
        <v>1405</v>
      </c>
      <c r="C169" s="51" t="s">
        <v>89</v>
      </c>
      <c r="D169" s="155">
        <v>0.65</v>
      </c>
      <c r="E169" s="155">
        <v>4.4999999999999998E-2</v>
      </c>
      <c r="F169" s="153">
        <f>(grains_table[[#This Row],[Extract %]]*46.214)/1000+1</f>
        <v>1.0300391</v>
      </c>
      <c r="G169" s="626">
        <v>432.5</v>
      </c>
      <c r="H169" s="134" t="s">
        <v>1437</v>
      </c>
    </row>
    <row r="170" spans="1:8" ht="13.2" customHeight="1" x14ac:dyDescent="0.25">
      <c r="A170" s="23" t="s">
        <v>1506</v>
      </c>
      <c r="B170" s="23" t="s">
        <v>1405</v>
      </c>
      <c r="C170" s="51" t="s">
        <v>89</v>
      </c>
      <c r="D170" s="155">
        <v>0.65</v>
      </c>
      <c r="E170" s="155">
        <v>4.4999999999999998E-2</v>
      </c>
      <c r="F170" s="153">
        <f>(grains_table[[#This Row],[Extract %]]*46.214)/1000+1</f>
        <v>1.0300391</v>
      </c>
      <c r="G170" s="49">
        <v>509.5</v>
      </c>
      <c r="H170" s="134" t="s">
        <v>1438</v>
      </c>
    </row>
    <row r="171" spans="1:8" ht="13.2" customHeight="1" x14ac:dyDescent="0.25">
      <c r="A171" s="23" t="s">
        <v>1507</v>
      </c>
      <c r="B171" s="23" t="s">
        <v>1405</v>
      </c>
      <c r="C171" s="51" t="s">
        <v>89</v>
      </c>
      <c r="D171" s="155">
        <v>0.75</v>
      </c>
      <c r="E171" s="155">
        <v>4.4999999999999998E-2</v>
      </c>
      <c r="F171" s="153">
        <f>(grains_table[[#This Row],[Extract %]]*46.214)/1000+1</f>
        <v>1.0346605</v>
      </c>
      <c r="G171" s="131">
        <v>340</v>
      </c>
      <c r="H171" s="133" t="s">
        <v>1620</v>
      </c>
    </row>
    <row r="172" spans="1:8" ht="13.2" customHeight="1" x14ac:dyDescent="0.25">
      <c r="A172" s="23" t="s">
        <v>1508</v>
      </c>
      <c r="B172" s="23" t="s">
        <v>1362</v>
      </c>
      <c r="C172" s="51" t="s">
        <v>89</v>
      </c>
      <c r="D172" s="155"/>
      <c r="E172" s="155">
        <v>0.06</v>
      </c>
      <c r="F172" s="153">
        <f>(grains_table[[#This Row],[Extract %]]*46.214)/1000+1</f>
        <v>1</v>
      </c>
      <c r="G172" s="132">
        <v>500</v>
      </c>
      <c r="H172" s="133" t="s">
        <v>1619</v>
      </c>
    </row>
    <row r="173" spans="1:8" ht="13.2" customHeight="1" x14ac:dyDescent="0.25">
      <c r="A173" s="23" t="s">
        <v>1509</v>
      </c>
      <c r="B173" s="23" t="s">
        <v>1361</v>
      </c>
      <c r="C173" s="51" t="s">
        <v>89</v>
      </c>
      <c r="D173" s="155">
        <v>0.69</v>
      </c>
      <c r="E173" s="155">
        <v>0.03</v>
      </c>
      <c r="F173" s="153">
        <f>(grains_table[[#This Row],[Extract %]]*46.214)/1000+1</f>
        <v>1.03188766</v>
      </c>
      <c r="G173" s="131">
        <v>625.54999999999995</v>
      </c>
      <c r="H173" s="133" t="s">
        <v>1390</v>
      </c>
    </row>
    <row r="174" spans="1:8" ht="13.2" customHeight="1" x14ac:dyDescent="0.25">
      <c r="A174" s="23" t="s">
        <v>1510</v>
      </c>
      <c r="B174" s="23" t="s">
        <v>1362</v>
      </c>
      <c r="C174" s="51" t="s">
        <v>89</v>
      </c>
      <c r="D174" s="155"/>
      <c r="E174" s="155">
        <v>0.06</v>
      </c>
      <c r="F174" s="153">
        <f>(grains_table[[#This Row],[Extract %]]*46.214)/1000+1</f>
        <v>1</v>
      </c>
      <c r="G174" s="49">
        <v>500</v>
      </c>
      <c r="H174" s="133" t="s">
        <v>1619</v>
      </c>
    </row>
    <row r="175" spans="1:8" ht="13.2" customHeight="1" x14ac:dyDescent="0.25">
      <c r="A175" s="23" t="s">
        <v>1511</v>
      </c>
      <c r="B175" s="23" t="s">
        <v>1362</v>
      </c>
      <c r="C175" s="51" t="s">
        <v>89</v>
      </c>
      <c r="D175" s="155"/>
      <c r="E175" s="155">
        <v>0.06</v>
      </c>
      <c r="F175" s="153">
        <f>(grains_table[[#This Row],[Extract %]]*46.214)/1000+1</f>
        <v>1</v>
      </c>
      <c r="G175" s="49">
        <v>500</v>
      </c>
      <c r="H175" s="133" t="s">
        <v>1619</v>
      </c>
    </row>
    <row r="176" spans="1:8" ht="13.2" customHeight="1" x14ac:dyDescent="0.25">
      <c r="A176" s="23" t="s">
        <v>1512</v>
      </c>
      <c r="B176" s="23" t="s">
        <v>1361</v>
      </c>
      <c r="C176" s="51" t="s">
        <v>89</v>
      </c>
      <c r="D176" s="155">
        <v>0.68700000000000006</v>
      </c>
      <c r="E176" s="155">
        <v>0.04</v>
      </c>
      <c r="F176" s="153">
        <f>(grains_table[[#This Row],[Extract %]]*46.214)/1000+1</f>
        <v>1.031749018</v>
      </c>
      <c r="G176" s="49">
        <v>193.7</v>
      </c>
      <c r="H176" s="133" t="s">
        <v>1388</v>
      </c>
    </row>
    <row r="177" spans="1:8" ht="13.2" customHeight="1" x14ac:dyDescent="0.25">
      <c r="A177" s="23" t="s">
        <v>1513</v>
      </c>
      <c r="B177" s="23" t="s">
        <v>1362</v>
      </c>
      <c r="C177" s="51" t="s">
        <v>89</v>
      </c>
      <c r="D177" s="155">
        <v>0.79</v>
      </c>
      <c r="E177" s="155">
        <v>2.1999999999999999E-2</v>
      </c>
      <c r="F177" s="153">
        <f>(grains_table[[#This Row],[Extract %]]*46.214)/1000+1</f>
        <v>1.03650906</v>
      </c>
      <c r="G177" s="131">
        <v>55</v>
      </c>
      <c r="H177" s="133" t="s">
        <v>1403</v>
      </c>
    </row>
    <row r="178" spans="1:8" ht="13.2" customHeight="1" x14ac:dyDescent="0.25">
      <c r="A178" s="23" t="s">
        <v>1514</v>
      </c>
      <c r="B178" s="23" t="s">
        <v>1362</v>
      </c>
      <c r="C178" s="51" t="s">
        <v>89</v>
      </c>
      <c r="D178" s="155">
        <v>0.6</v>
      </c>
      <c r="E178" s="155">
        <v>0</v>
      </c>
      <c r="F178" s="153">
        <f>(grains_table[[#This Row],[Extract %]]*46.214)/1000+1</f>
        <v>1.0277284</v>
      </c>
      <c r="G178" s="132">
        <v>350</v>
      </c>
      <c r="H178" s="133" t="s">
        <v>1407</v>
      </c>
    </row>
    <row r="179" spans="1:8" ht="13.2" customHeight="1" x14ac:dyDescent="0.25">
      <c r="A179" s="23" t="s">
        <v>1515</v>
      </c>
      <c r="B179" s="23" t="s">
        <v>1361</v>
      </c>
      <c r="C179" s="51" t="s">
        <v>89</v>
      </c>
      <c r="D179" s="155">
        <v>0.69</v>
      </c>
      <c r="E179" s="155">
        <v>0.03</v>
      </c>
      <c r="F179" s="153">
        <f>(grains_table[[#This Row],[Extract %]]*46.214)/1000+1</f>
        <v>1.03188766</v>
      </c>
      <c r="G179" s="49">
        <v>444.4</v>
      </c>
      <c r="H179" s="133" t="s">
        <v>1389</v>
      </c>
    </row>
    <row r="180" spans="1:8" ht="13.2" customHeight="1" x14ac:dyDescent="0.25">
      <c r="A180" s="23" t="s">
        <v>1541</v>
      </c>
      <c r="B180" s="23" t="s">
        <v>1360</v>
      </c>
      <c r="C180" s="51" t="s">
        <v>89</v>
      </c>
      <c r="D180" s="155">
        <v>0.65</v>
      </c>
      <c r="E180" s="155">
        <v>0.04</v>
      </c>
      <c r="F180" s="153">
        <f>(grains_table[[#This Row],[Extract %]]*46.214)/1000+1</f>
        <v>1.0300391</v>
      </c>
      <c r="G180" s="131">
        <v>244</v>
      </c>
      <c r="H180" s="133" t="s">
        <v>1401</v>
      </c>
    </row>
    <row r="181" spans="1:8" ht="13.2" customHeight="1" x14ac:dyDescent="0.25">
      <c r="A181" s="23" t="s">
        <v>1542</v>
      </c>
      <c r="B181" s="23" t="s">
        <v>1360</v>
      </c>
      <c r="C181" s="51" t="s">
        <v>89</v>
      </c>
      <c r="D181" s="155">
        <v>0.65</v>
      </c>
      <c r="E181" s="155">
        <v>0.04</v>
      </c>
      <c r="F181" s="153">
        <f>(grains_table[[#This Row],[Extract %]]*46.214)/1000+1</f>
        <v>1.0300391</v>
      </c>
      <c r="G181" s="49">
        <v>273</v>
      </c>
      <c r="H181" s="133" t="s">
        <v>1401</v>
      </c>
    </row>
    <row r="182" spans="1:8" ht="13.2" customHeight="1" x14ac:dyDescent="0.25">
      <c r="A182" s="23" t="s">
        <v>1543</v>
      </c>
      <c r="B182" s="23" t="s">
        <v>1360</v>
      </c>
      <c r="C182" s="51" t="s">
        <v>89</v>
      </c>
      <c r="D182" s="155">
        <v>0.65</v>
      </c>
      <c r="E182" s="155">
        <v>0.04</v>
      </c>
      <c r="F182" s="153">
        <f>(grains_table[[#This Row],[Extract %]]*46.214)/1000+1</f>
        <v>1.0300391</v>
      </c>
      <c r="G182" s="131">
        <v>394.5</v>
      </c>
      <c r="H182" s="133" t="s">
        <v>1401</v>
      </c>
    </row>
    <row r="183" spans="1:8" ht="13.2" customHeight="1" x14ac:dyDescent="0.25">
      <c r="A183" s="23" t="s">
        <v>1516</v>
      </c>
      <c r="B183" s="23" t="s">
        <v>1362</v>
      </c>
      <c r="C183" s="51" t="s">
        <v>89</v>
      </c>
      <c r="D183" s="155"/>
      <c r="E183" s="155">
        <v>5.5E-2</v>
      </c>
      <c r="F183" s="153">
        <f>(grains_table[[#This Row],[Extract %]]*46.214)/1000+1</f>
        <v>1</v>
      </c>
      <c r="G183" s="49">
        <v>420</v>
      </c>
      <c r="H183" s="133" t="s">
        <v>1608</v>
      </c>
    </row>
    <row r="184" spans="1:8" ht="13.2" customHeight="1" x14ac:dyDescent="0.25">
      <c r="A184" s="23" t="s">
        <v>1517</v>
      </c>
      <c r="B184" s="23" t="s">
        <v>1362</v>
      </c>
      <c r="C184" s="51" t="s">
        <v>89</v>
      </c>
      <c r="D184" s="155">
        <v>0.72</v>
      </c>
      <c r="E184" s="155">
        <v>2.5000000000000001E-2</v>
      </c>
      <c r="F184" s="153">
        <f>(grains_table[[#This Row],[Extract %]]*46.214)/1000+1</f>
        <v>1.03327408</v>
      </c>
      <c r="G184" s="131">
        <v>130</v>
      </c>
      <c r="H184" s="133" t="s">
        <v>1408</v>
      </c>
    </row>
    <row r="185" spans="1:8" ht="13.2" customHeight="1" x14ac:dyDescent="0.25">
      <c r="A185" s="23" t="s">
        <v>1518</v>
      </c>
      <c r="B185" s="23" t="s">
        <v>1362</v>
      </c>
      <c r="C185" s="51" t="s">
        <v>89</v>
      </c>
      <c r="D185" s="155"/>
      <c r="E185" s="155">
        <v>6.5000000000000002E-2</v>
      </c>
      <c r="F185" s="153">
        <f>(grains_table[[#This Row],[Extract %]]*46.214)/1000+1</f>
        <v>1</v>
      </c>
      <c r="G185" s="49">
        <v>550</v>
      </c>
      <c r="H185" s="134" t="s">
        <v>1608</v>
      </c>
    </row>
    <row r="186" spans="1:8" ht="13.2" customHeight="1" x14ac:dyDescent="0.25">
      <c r="A186" s="23" t="s">
        <v>1550</v>
      </c>
      <c r="B186" s="23" t="s">
        <v>1360</v>
      </c>
      <c r="C186" s="51" t="s">
        <v>89</v>
      </c>
      <c r="D186" s="155">
        <v>0.65</v>
      </c>
      <c r="E186" s="155">
        <v>0.04</v>
      </c>
      <c r="F186" s="153">
        <f>(grains_table[[#This Row],[Extract %]]*46.214)/1000+1</f>
        <v>1.0300391</v>
      </c>
      <c r="G186" s="626">
        <v>244</v>
      </c>
      <c r="H186" s="133" t="s">
        <v>1401</v>
      </c>
    </row>
    <row r="187" spans="1:8" ht="13.2" customHeight="1" x14ac:dyDescent="0.25">
      <c r="A187" s="23" t="s">
        <v>2070</v>
      </c>
      <c r="B187" s="168" t="s">
        <v>2041</v>
      </c>
      <c r="C187" s="97" t="s">
        <v>89</v>
      </c>
      <c r="D187" s="152">
        <v>0.78</v>
      </c>
      <c r="E187" s="152">
        <v>0.05</v>
      </c>
      <c r="F187" s="153">
        <f>(grains_table[[#This Row],[Extract %]]*46.214)/1000+1</f>
        <v>1.03604692</v>
      </c>
      <c r="G187" s="131">
        <v>120.6</v>
      </c>
      <c r="H187" s="133" t="s">
        <v>2042</v>
      </c>
    </row>
    <row r="188" spans="1:8" ht="13.2" customHeight="1" x14ac:dyDescent="0.25">
      <c r="A188" s="23" t="s">
        <v>1519</v>
      </c>
      <c r="B188" s="23" t="s">
        <v>1363</v>
      </c>
      <c r="C188" s="51" t="s">
        <v>89</v>
      </c>
      <c r="D188" s="155">
        <v>0.83</v>
      </c>
      <c r="E188" s="155">
        <v>6.5000000000000002E-2</v>
      </c>
      <c r="F188" s="153">
        <f>(grains_table[[#This Row],[Extract %]]*46.214)/1000+1</f>
        <v>1.03835762</v>
      </c>
      <c r="G188" s="49">
        <v>12</v>
      </c>
      <c r="H188" s="133" t="s">
        <v>1400</v>
      </c>
    </row>
    <row r="189" spans="1:8" ht="13.2" customHeight="1" x14ac:dyDescent="0.25">
      <c r="A189" s="23" t="s">
        <v>2065</v>
      </c>
      <c r="B189" s="168" t="s">
        <v>2041</v>
      </c>
      <c r="C189" s="97" t="s">
        <v>89</v>
      </c>
      <c r="D189" s="152">
        <v>0.71</v>
      </c>
      <c r="E189" s="152">
        <v>4.4999999999999998E-2</v>
      </c>
      <c r="F189" s="153">
        <f>(grains_table[[#This Row],[Extract %]]*46.214)/1000+1</f>
        <v>1.03281194</v>
      </c>
      <c r="G189" s="135">
        <v>207</v>
      </c>
      <c r="H189" s="134" t="s">
        <v>2042</v>
      </c>
    </row>
    <row r="190" spans="1:8" ht="13.2" customHeight="1" x14ac:dyDescent="0.25">
      <c r="A190" s="23" t="s">
        <v>2066</v>
      </c>
      <c r="B190" s="168"/>
      <c r="C190" s="97" t="s">
        <v>89</v>
      </c>
      <c r="D190" s="152">
        <v>0</v>
      </c>
      <c r="E190" s="152">
        <v>0</v>
      </c>
      <c r="F190" s="153">
        <v>1.032</v>
      </c>
      <c r="G190" s="135">
        <v>2.5</v>
      </c>
      <c r="H190" s="133"/>
    </row>
    <row r="191" spans="1:8" ht="13.2" customHeight="1" x14ac:dyDescent="0.25">
      <c r="A191" s="23" t="s">
        <v>2068</v>
      </c>
      <c r="B191" s="168" t="s">
        <v>2041</v>
      </c>
      <c r="C191" s="97" t="s">
        <v>89</v>
      </c>
      <c r="D191" s="152">
        <v>0.73</v>
      </c>
      <c r="E191" s="152">
        <v>0.03</v>
      </c>
      <c r="F191" s="153">
        <f>(grains_table[[#This Row],[Extract %]]*46.214)/1000+1</f>
        <v>1.03373622</v>
      </c>
      <c r="G191" s="49">
        <v>188</v>
      </c>
      <c r="H191" s="133" t="s">
        <v>2042</v>
      </c>
    </row>
    <row r="192" spans="1:8" ht="13.2" customHeight="1" x14ac:dyDescent="0.25">
      <c r="A192" s="23" t="s">
        <v>1569</v>
      </c>
      <c r="B192" s="23" t="s">
        <v>1361</v>
      </c>
      <c r="C192" s="51" t="s">
        <v>89</v>
      </c>
      <c r="D192" s="155">
        <v>0.78</v>
      </c>
      <c r="E192" s="155">
        <v>7.0000000000000007E-2</v>
      </c>
      <c r="F192" s="153">
        <f>(grains_table[[#This Row],[Extract %]]*46.214)/1000+1</f>
        <v>1.03604692</v>
      </c>
      <c r="G192" s="49">
        <v>2.0499999999999998</v>
      </c>
      <c r="H192" s="133" t="s">
        <v>1396</v>
      </c>
    </row>
    <row r="193" spans="1:8" ht="13.2" customHeight="1" x14ac:dyDescent="0.25">
      <c r="A193" s="23" t="s">
        <v>1547</v>
      </c>
      <c r="B193" s="23" t="s">
        <v>1360</v>
      </c>
      <c r="C193" s="51" t="s">
        <v>89</v>
      </c>
      <c r="D193" s="155">
        <v>0.81</v>
      </c>
      <c r="E193" s="155">
        <v>0.06</v>
      </c>
      <c r="F193" s="153">
        <f>(grains_table[[#This Row],[Extract %]]*46.214)/1000+1</f>
        <v>1.03743334</v>
      </c>
      <c r="G193" s="626">
        <v>3.15</v>
      </c>
      <c r="H193" s="133" t="s">
        <v>1401</v>
      </c>
    </row>
    <row r="194" spans="1:8" ht="13.2" customHeight="1" x14ac:dyDescent="0.25">
      <c r="A194" s="23" t="s">
        <v>1571</v>
      </c>
      <c r="B194" s="23" t="s">
        <v>1362</v>
      </c>
      <c r="C194" s="51" t="s">
        <v>89</v>
      </c>
      <c r="D194" s="155">
        <v>0.8</v>
      </c>
      <c r="E194" s="155">
        <v>4.4999999999999998E-2</v>
      </c>
      <c r="F194" s="153">
        <f>(grains_table[[#This Row],[Extract %]]*46.214)/1000+1</f>
        <v>1.0369712</v>
      </c>
      <c r="G194" s="626">
        <v>3.7</v>
      </c>
      <c r="H194" s="133" t="s">
        <v>1610</v>
      </c>
    </row>
    <row r="195" spans="1:8" ht="13.2" customHeight="1" x14ac:dyDescent="0.25">
      <c r="A195" s="23" t="s">
        <v>2067</v>
      </c>
      <c r="B195" s="168" t="s">
        <v>2041</v>
      </c>
      <c r="C195" s="97" t="s">
        <v>89</v>
      </c>
      <c r="D195" s="152">
        <v>0.81</v>
      </c>
      <c r="E195" s="152">
        <v>0.06</v>
      </c>
      <c r="F195" s="153">
        <f>(grains_table[[#This Row],[Extract %]]*46.214)/1000+1</f>
        <v>1.03743334</v>
      </c>
      <c r="G195" s="131">
        <v>3.2</v>
      </c>
      <c r="H195" s="133" t="s">
        <v>2042</v>
      </c>
    </row>
    <row r="196" spans="1:8" ht="13.2" customHeight="1" x14ac:dyDescent="0.25">
      <c r="A196" s="23" t="s">
        <v>1524</v>
      </c>
      <c r="B196" s="23" t="s">
        <v>1362</v>
      </c>
      <c r="C196" s="51" t="s">
        <v>89</v>
      </c>
      <c r="D196" s="155">
        <v>0.80500000000000005</v>
      </c>
      <c r="E196" s="155">
        <v>0.06</v>
      </c>
      <c r="F196" s="153">
        <f>(grains_table[[#This Row],[Extract %]]*46.214)/1000+1</f>
        <v>1.0372022700000001</v>
      </c>
      <c r="G196" s="131">
        <v>6</v>
      </c>
      <c r="H196" s="133" t="s">
        <v>1610</v>
      </c>
    </row>
    <row r="197" spans="1:8" ht="13.2" customHeight="1" x14ac:dyDescent="0.25">
      <c r="A197" s="23" t="s">
        <v>1525</v>
      </c>
      <c r="B197" s="23" t="s">
        <v>1360</v>
      </c>
      <c r="C197" s="51" t="s">
        <v>89</v>
      </c>
      <c r="D197" s="155">
        <v>0.77</v>
      </c>
      <c r="E197" s="155">
        <v>0.05</v>
      </c>
      <c r="F197" s="153">
        <f>(grains_table[[#This Row],[Extract %]]*46.214)/1000+1</f>
        <v>1.03558478</v>
      </c>
      <c r="G197" s="135">
        <v>2.85</v>
      </c>
      <c r="H197" s="133" t="s">
        <v>1401</v>
      </c>
    </row>
    <row r="198" spans="1:8" ht="13.2" customHeight="1" x14ac:dyDescent="0.25">
      <c r="A198" s="23" t="s">
        <v>1526</v>
      </c>
      <c r="B198" s="23" t="s">
        <v>1405</v>
      </c>
      <c r="C198" s="51" t="s">
        <v>89</v>
      </c>
      <c r="D198" s="155">
        <v>0.78</v>
      </c>
      <c r="E198" s="155">
        <v>5.5E-2</v>
      </c>
      <c r="F198" s="153">
        <f>(grains_table[[#This Row],[Extract %]]*46.214)/1000+1</f>
        <v>1.03604692</v>
      </c>
      <c r="G198" s="626">
        <v>5.85</v>
      </c>
      <c r="H198" s="134" t="s">
        <v>1442</v>
      </c>
    </row>
    <row r="199" spans="1:8" ht="13.2" customHeight="1" x14ac:dyDescent="0.25">
      <c r="A199" s="23" t="s">
        <v>1527</v>
      </c>
      <c r="B199" s="23" t="s">
        <v>1405</v>
      </c>
      <c r="C199" s="51" t="s">
        <v>89</v>
      </c>
      <c r="D199" s="155">
        <v>0.77</v>
      </c>
      <c r="E199" s="155">
        <v>5.5E-2</v>
      </c>
      <c r="F199" s="153">
        <f>(grains_table[[#This Row],[Extract %]]*46.214)/1000+1</f>
        <v>1.03558478</v>
      </c>
      <c r="G199" s="626">
        <v>5.85</v>
      </c>
      <c r="H199" s="134" t="s">
        <v>1441</v>
      </c>
    </row>
    <row r="200" spans="1:8" ht="13.2" customHeight="1" x14ac:dyDescent="0.25">
      <c r="A200" s="23" t="s">
        <v>1528</v>
      </c>
      <c r="B200" s="23" t="s">
        <v>1362</v>
      </c>
      <c r="C200" s="51" t="s">
        <v>89</v>
      </c>
      <c r="D200" s="155">
        <v>0.80500000000000005</v>
      </c>
      <c r="E200" s="155">
        <v>0.06</v>
      </c>
      <c r="F200" s="153">
        <f>(grains_table[[#This Row],[Extract %]]*46.214)/1000+1</f>
        <v>1.0372022700000001</v>
      </c>
      <c r="G200" s="135">
        <v>5</v>
      </c>
      <c r="H200" s="133" t="s">
        <v>1610</v>
      </c>
    </row>
    <row r="201" spans="1:8" ht="13.2" customHeight="1" x14ac:dyDescent="0.25">
      <c r="A201" s="23" t="s">
        <v>2058</v>
      </c>
      <c r="B201" s="168" t="s">
        <v>2041</v>
      </c>
      <c r="C201" s="97" t="s">
        <v>89</v>
      </c>
      <c r="D201" s="152">
        <v>0.81499999999999995</v>
      </c>
      <c r="E201" s="152">
        <v>3.7999999999999999E-2</v>
      </c>
      <c r="F201" s="153">
        <f>(grains_table[[#This Row],[Extract %]]*46.214)/1000+1</f>
        <v>1.0376644100000001</v>
      </c>
      <c r="G201" s="135">
        <v>2.02</v>
      </c>
      <c r="H201" s="133" t="s">
        <v>2042</v>
      </c>
    </row>
    <row r="202" spans="1:8" ht="13.2" customHeight="1" x14ac:dyDescent="0.25">
      <c r="A202" s="23" t="s">
        <v>1529</v>
      </c>
      <c r="B202" s="23" t="s">
        <v>1362</v>
      </c>
      <c r="C202" s="51" t="s">
        <v>89</v>
      </c>
      <c r="D202" s="155">
        <v>0.80500000000000005</v>
      </c>
      <c r="E202" s="155">
        <v>0.06</v>
      </c>
      <c r="F202" s="153">
        <f>(grains_table[[#This Row],[Extract %]]*46.214)/1000+1</f>
        <v>1.0372022700000001</v>
      </c>
      <c r="G202" s="135">
        <v>5</v>
      </c>
      <c r="H202" s="133" t="s">
        <v>1610</v>
      </c>
    </row>
    <row r="203" spans="1:8" ht="13.2" customHeight="1" x14ac:dyDescent="0.25">
      <c r="A203" s="23" t="s">
        <v>2059</v>
      </c>
      <c r="B203" s="168" t="s">
        <v>2041</v>
      </c>
      <c r="C203" s="97" t="s">
        <v>89</v>
      </c>
      <c r="D203" s="152">
        <v>0.81</v>
      </c>
      <c r="E203" s="152">
        <v>3.5000000000000003E-2</v>
      </c>
      <c r="F203" s="153">
        <f>(grains_table[[#This Row],[Extract %]]*46.214)/1000+1</f>
        <v>1.03743334</v>
      </c>
      <c r="G203" s="135">
        <v>1.99</v>
      </c>
      <c r="H203" s="133" t="s">
        <v>2042</v>
      </c>
    </row>
    <row r="204" spans="1:8" ht="13.2" customHeight="1" x14ac:dyDescent="0.25">
      <c r="A204" s="23" t="s">
        <v>1530</v>
      </c>
      <c r="B204" s="23" t="s">
        <v>1360</v>
      </c>
      <c r="C204" s="51" t="s">
        <v>89</v>
      </c>
      <c r="D204" s="155">
        <v>0.82</v>
      </c>
      <c r="E204" s="155">
        <v>5.5E-2</v>
      </c>
      <c r="F204" s="153">
        <f>(grains_table[[#This Row],[Extract %]]*46.214)/1000+1</f>
        <v>1.03789548</v>
      </c>
      <c r="G204" s="135">
        <v>2.4500000000000002</v>
      </c>
      <c r="H204" s="133" t="s">
        <v>1401</v>
      </c>
    </row>
    <row r="205" spans="1:8" ht="13.2" customHeight="1" x14ac:dyDescent="0.25">
      <c r="A205" s="23" t="s">
        <v>1366</v>
      </c>
      <c r="B205" s="23" t="s">
        <v>1360</v>
      </c>
      <c r="C205" s="51" t="s">
        <v>89</v>
      </c>
      <c r="D205" s="155">
        <v>0.8</v>
      </c>
      <c r="E205" s="155">
        <v>0.06</v>
      </c>
      <c r="F205" s="153">
        <f>(grains_table[[#This Row],[Extract %]]*46.214)/1000+1</f>
        <v>1.0369712</v>
      </c>
      <c r="G205" s="132">
        <v>2.4500000000000002</v>
      </c>
      <c r="H205" s="133" t="s">
        <v>1401</v>
      </c>
    </row>
    <row r="206" spans="1:8" ht="13.2" customHeight="1" x14ac:dyDescent="0.25">
      <c r="A206" s="23" t="s">
        <v>1565</v>
      </c>
      <c r="B206" s="23" t="s">
        <v>1405</v>
      </c>
      <c r="C206" s="51" t="s">
        <v>89</v>
      </c>
      <c r="D206" s="155">
        <v>0.82</v>
      </c>
      <c r="E206" s="155">
        <v>5.5E-2</v>
      </c>
      <c r="F206" s="153">
        <f>(grains_table[[#This Row],[Extract %]]*46.214)/1000+1</f>
        <v>1.03789548</v>
      </c>
      <c r="G206" s="132">
        <v>2.25</v>
      </c>
      <c r="H206" s="134" t="s">
        <v>1426</v>
      </c>
    </row>
    <row r="207" spans="1:8" ht="13.2" customHeight="1" x14ac:dyDescent="0.25">
      <c r="A207" s="23" t="s">
        <v>1616</v>
      </c>
      <c r="B207" s="23"/>
      <c r="C207" s="51" t="s">
        <v>776</v>
      </c>
      <c r="D207" s="155"/>
      <c r="E207" s="155"/>
      <c r="F207" s="153">
        <v>1.046</v>
      </c>
      <c r="G207" s="99">
        <v>50</v>
      </c>
      <c r="H207" s="133" t="s">
        <v>1614</v>
      </c>
    </row>
    <row r="208" spans="1:8" ht="13.2" customHeight="1" x14ac:dyDescent="0.25">
      <c r="A208" s="23" t="s">
        <v>1615</v>
      </c>
      <c r="B208" s="23"/>
      <c r="C208" s="51" t="s">
        <v>776</v>
      </c>
      <c r="D208" s="155"/>
      <c r="E208" s="155"/>
      <c r="F208" s="153">
        <v>1.046</v>
      </c>
      <c r="G208" s="131">
        <v>8</v>
      </c>
      <c r="H208" s="133" t="s">
        <v>1614</v>
      </c>
    </row>
    <row r="209" spans="1:8" ht="13.2" customHeight="1" x14ac:dyDescent="0.25">
      <c r="A209" s="23" t="s">
        <v>1612</v>
      </c>
      <c r="B209" s="23"/>
      <c r="C209" s="51" t="s">
        <v>776</v>
      </c>
      <c r="D209" s="155"/>
      <c r="E209" s="155"/>
      <c r="F209" s="153">
        <v>1.036</v>
      </c>
      <c r="G209" s="132">
        <v>75</v>
      </c>
      <c r="H209" s="133" t="s">
        <v>1614</v>
      </c>
    </row>
    <row r="210" spans="1:8" ht="13.2" customHeight="1" x14ac:dyDescent="0.25">
      <c r="A210" s="23" t="s">
        <v>1611</v>
      </c>
      <c r="B210" s="23"/>
      <c r="C210" s="51" t="s">
        <v>776</v>
      </c>
      <c r="D210" s="155"/>
      <c r="E210" s="155"/>
      <c r="F210" s="153">
        <v>1.036</v>
      </c>
      <c r="G210" s="136">
        <v>1</v>
      </c>
      <c r="H210" s="133" t="s">
        <v>1614</v>
      </c>
    </row>
    <row r="211" spans="1:8" ht="13.2" customHeight="1" x14ac:dyDescent="0.25">
      <c r="A211" s="23" t="s">
        <v>1613</v>
      </c>
      <c r="B211" s="23"/>
      <c r="C211" s="51" t="s">
        <v>776</v>
      </c>
      <c r="D211" s="155"/>
      <c r="E211" s="155"/>
      <c r="F211" s="153">
        <v>1.036</v>
      </c>
      <c r="G211" s="49">
        <v>275</v>
      </c>
      <c r="H211" s="133" t="s">
        <v>1614</v>
      </c>
    </row>
    <row r="212" spans="1:8" ht="13.2" customHeight="1" x14ac:dyDescent="0.25">
      <c r="A212" s="23" t="s">
        <v>1617</v>
      </c>
      <c r="B212" s="23"/>
      <c r="C212" s="51" t="s">
        <v>776</v>
      </c>
      <c r="D212" s="155"/>
      <c r="E212" s="155"/>
      <c r="F212" s="153">
        <v>1.046</v>
      </c>
      <c r="G212" s="49">
        <v>0</v>
      </c>
      <c r="H212" s="133" t="s">
        <v>1614</v>
      </c>
    </row>
    <row r="213" spans="1:8" ht="13.2" customHeight="1" x14ac:dyDescent="0.25">
      <c r="A213" s="23" t="s">
        <v>1562</v>
      </c>
      <c r="B213" s="23"/>
      <c r="C213" s="51" t="s">
        <v>776</v>
      </c>
      <c r="D213" s="155"/>
      <c r="E213" s="155"/>
      <c r="F213" s="153">
        <v>1.046</v>
      </c>
      <c r="G213" s="131">
        <v>2</v>
      </c>
      <c r="H213" s="133" t="s">
        <v>1614</v>
      </c>
    </row>
    <row r="214" spans="1:8" ht="13.2" customHeight="1" x14ac:dyDescent="0.25">
      <c r="A214" s="23" t="s">
        <v>1556</v>
      </c>
      <c r="B214" s="23"/>
      <c r="C214" s="51" t="s">
        <v>776</v>
      </c>
      <c r="D214" s="155"/>
      <c r="E214" s="155"/>
      <c r="F214" s="153">
        <v>1.0349999999999999</v>
      </c>
      <c r="G214" s="131">
        <v>1</v>
      </c>
      <c r="H214" s="133" t="s">
        <v>1614</v>
      </c>
    </row>
    <row r="215" spans="1:8" ht="13.2" customHeight="1" x14ac:dyDescent="0.25">
      <c r="A215" s="23" t="s">
        <v>1557</v>
      </c>
      <c r="B215" s="23"/>
      <c r="C215" s="51" t="s">
        <v>776</v>
      </c>
      <c r="D215" s="155"/>
      <c r="E215" s="155"/>
      <c r="F215" s="153">
        <v>1.046</v>
      </c>
      <c r="G215" s="49">
        <v>0</v>
      </c>
      <c r="H215" s="133" t="s">
        <v>1614</v>
      </c>
    </row>
    <row r="216" spans="1:8" ht="13.2" customHeight="1" x14ac:dyDescent="0.25">
      <c r="A216" s="23" t="s">
        <v>1558</v>
      </c>
      <c r="B216" s="23"/>
      <c r="C216" s="51" t="s">
        <v>776</v>
      </c>
      <c r="D216" s="155"/>
      <c r="E216" s="155"/>
      <c r="F216" s="153">
        <v>1.0349999999999999</v>
      </c>
      <c r="G216" s="49">
        <v>0</v>
      </c>
      <c r="H216" s="133" t="s">
        <v>1614</v>
      </c>
    </row>
    <row r="217" spans="1:8" ht="13.2" customHeight="1" x14ac:dyDescent="0.25">
      <c r="A217" s="23" t="s">
        <v>1559</v>
      </c>
      <c r="B217" s="23"/>
      <c r="C217" s="51" t="s">
        <v>776</v>
      </c>
      <c r="D217" s="155"/>
      <c r="E217" s="155"/>
      <c r="F217" s="153">
        <v>1.03</v>
      </c>
      <c r="G217" s="49">
        <v>35</v>
      </c>
      <c r="H217" s="133" t="s">
        <v>1614</v>
      </c>
    </row>
    <row r="218" spans="1:8" ht="13.2" customHeight="1" x14ac:dyDescent="0.25">
      <c r="A218" s="23" t="s">
        <v>1560</v>
      </c>
      <c r="B218" s="23"/>
      <c r="C218" s="51" t="s">
        <v>776</v>
      </c>
      <c r="D218" s="155"/>
      <c r="E218" s="155"/>
      <c r="F218" s="153">
        <v>1.036</v>
      </c>
      <c r="G218" s="131">
        <v>80</v>
      </c>
      <c r="H218" s="133" t="s">
        <v>1614</v>
      </c>
    </row>
    <row r="219" spans="1:8" ht="13.2" customHeight="1" x14ac:dyDescent="0.25">
      <c r="A219" s="23" t="s">
        <v>1561</v>
      </c>
      <c r="B219" s="23"/>
      <c r="C219" s="51" t="s">
        <v>776</v>
      </c>
      <c r="D219" s="155"/>
      <c r="E219" s="155"/>
      <c r="F219" s="153">
        <v>1.046</v>
      </c>
      <c r="G219" s="49">
        <v>1</v>
      </c>
      <c r="H219" s="133" t="s">
        <v>1614</v>
      </c>
    </row>
    <row r="220" spans="1:8" ht="13.2" customHeight="1" x14ac:dyDescent="0.25">
      <c r="A220" s="23" t="s">
        <v>1349</v>
      </c>
      <c r="B220" s="23" t="s">
        <v>1362</v>
      </c>
      <c r="C220" s="51" t="s">
        <v>89</v>
      </c>
      <c r="D220" s="155">
        <v>0.76</v>
      </c>
      <c r="E220" s="155">
        <v>8.5000000000000006E-2</v>
      </c>
      <c r="F220" s="153">
        <f>(grains_table[[#This Row],[Extract %]]*46.214)/1000+1</f>
        <v>1.03512264</v>
      </c>
      <c r="G220" s="49">
        <v>1.5</v>
      </c>
      <c r="H220" s="133" t="s">
        <v>1618</v>
      </c>
    </row>
    <row r="221" spans="1:8" ht="13.2" customHeight="1" x14ac:dyDescent="0.25">
      <c r="A221" s="23" t="s">
        <v>1520</v>
      </c>
      <c r="B221" s="23" t="s">
        <v>1405</v>
      </c>
      <c r="C221" s="51" t="s">
        <v>89</v>
      </c>
      <c r="D221" s="155">
        <v>0.80500000000000005</v>
      </c>
      <c r="E221" s="155">
        <v>4.9000000000000002E-2</v>
      </c>
      <c r="F221" s="153">
        <f>(grains_table[[#This Row],[Extract %]]*46.214)/1000+1</f>
        <v>1.0372022700000001</v>
      </c>
      <c r="G221" s="135">
        <v>3.85</v>
      </c>
      <c r="H221" s="133" t="s">
        <v>1419</v>
      </c>
    </row>
    <row r="222" spans="1:8" ht="13.2" customHeight="1" x14ac:dyDescent="0.25">
      <c r="A222" s="23" t="s">
        <v>1521</v>
      </c>
      <c r="B222" s="23" t="s">
        <v>1362</v>
      </c>
      <c r="C222" s="51" t="s">
        <v>89</v>
      </c>
      <c r="D222" s="155">
        <v>0.8</v>
      </c>
      <c r="E222" s="155">
        <v>3.5000000000000003E-2</v>
      </c>
      <c r="F222" s="153">
        <f>(grains_table[[#This Row],[Extract %]]*46.214)/1000+1</f>
        <v>1.0369712</v>
      </c>
      <c r="G222" s="626">
        <v>3.5</v>
      </c>
      <c r="H222" s="133" t="s">
        <v>1413</v>
      </c>
    </row>
    <row r="223" spans="1:8" ht="13.2" customHeight="1" x14ac:dyDescent="0.25">
      <c r="A223" s="23" t="s">
        <v>2074</v>
      </c>
      <c r="B223" s="168" t="s">
        <v>2041</v>
      </c>
      <c r="C223" s="97" t="s">
        <v>89</v>
      </c>
      <c r="D223" s="152">
        <v>0.80500000000000005</v>
      </c>
      <c r="E223" s="152">
        <v>3.5000000000000003E-2</v>
      </c>
      <c r="F223" s="153">
        <f>(grains_table[[#This Row],[Extract %]]*46.214)/1000+1</f>
        <v>1.0372022700000001</v>
      </c>
      <c r="G223" s="132">
        <v>3.1</v>
      </c>
      <c r="H223" s="133" t="s">
        <v>2042</v>
      </c>
    </row>
    <row r="224" spans="1:8" ht="13.2" customHeight="1" x14ac:dyDescent="0.25">
      <c r="A224" s="23" t="s">
        <v>1522</v>
      </c>
      <c r="B224" s="23" t="s">
        <v>1361</v>
      </c>
      <c r="C224" s="51" t="s">
        <v>89</v>
      </c>
      <c r="D224" s="155">
        <v>0.75</v>
      </c>
      <c r="E224" s="155">
        <v>3.5000000000000003E-2</v>
      </c>
      <c r="F224" s="153">
        <f>(grains_table[[#This Row],[Extract %]]*46.214)/1000+1</f>
        <v>1.0346605</v>
      </c>
      <c r="G224" s="51">
        <v>3.35</v>
      </c>
      <c r="H224" s="133" t="s">
        <v>1373</v>
      </c>
    </row>
    <row r="225" spans="1:8" ht="13.2" customHeight="1" x14ac:dyDescent="0.25">
      <c r="A225" s="23" t="s">
        <v>1523</v>
      </c>
      <c r="B225" s="23" t="s">
        <v>1360</v>
      </c>
      <c r="C225" s="51" t="s">
        <v>89</v>
      </c>
      <c r="D225" s="155">
        <v>0.79</v>
      </c>
      <c r="E225" s="155">
        <v>5.5E-2</v>
      </c>
      <c r="F225" s="153">
        <f>(grains_table[[#This Row],[Extract %]]*46.214)/1000+1</f>
        <v>1.03650906</v>
      </c>
      <c r="G225" s="138">
        <v>3.35</v>
      </c>
      <c r="H225" s="133" t="s">
        <v>1401</v>
      </c>
    </row>
    <row r="226" spans="1:8" ht="13.2" customHeight="1" x14ac:dyDescent="0.25">
      <c r="A226" s="23" t="s">
        <v>1531</v>
      </c>
      <c r="B226" s="23" t="s">
        <v>1405</v>
      </c>
      <c r="C226" s="51" t="s">
        <v>89</v>
      </c>
      <c r="D226" s="155">
        <v>0.82</v>
      </c>
      <c r="E226" s="155">
        <v>5.5E-2</v>
      </c>
      <c r="F226" s="153">
        <f>(grains_table[[#This Row],[Extract %]]*46.214)/1000+1</f>
        <v>1.03789548</v>
      </c>
      <c r="G226" s="135">
        <v>1.6</v>
      </c>
      <c r="H226" s="134" t="s">
        <v>1427</v>
      </c>
    </row>
    <row r="227" spans="1:8" ht="13.2" customHeight="1" x14ac:dyDescent="0.25">
      <c r="A227" s="23" t="s">
        <v>1532</v>
      </c>
      <c r="B227" s="23" t="s">
        <v>1405</v>
      </c>
      <c r="C227" s="51" t="s">
        <v>89</v>
      </c>
      <c r="D227" s="155">
        <v>0.82</v>
      </c>
      <c r="E227" s="155">
        <v>5.5E-2</v>
      </c>
      <c r="F227" s="153">
        <f>(grains_table[[#This Row],[Extract %]]*46.214)/1000+1</f>
        <v>1.03789548</v>
      </c>
      <c r="G227" s="135">
        <v>2.25</v>
      </c>
      <c r="H227" s="134" t="s">
        <v>1424</v>
      </c>
    </row>
    <row r="228" spans="1:8" ht="13.2" customHeight="1" x14ac:dyDescent="0.25">
      <c r="A228" s="23" t="s">
        <v>1533</v>
      </c>
      <c r="B228" s="23" t="s">
        <v>1405</v>
      </c>
      <c r="C228" s="51" t="s">
        <v>89</v>
      </c>
      <c r="D228" s="155">
        <v>0.82</v>
      </c>
      <c r="E228" s="155">
        <v>5.5E-2</v>
      </c>
      <c r="F228" s="153">
        <f>(grains_table[[#This Row],[Extract %]]*46.214)/1000+1</f>
        <v>1.03789548</v>
      </c>
      <c r="G228" s="135">
        <v>7.25</v>
      </c>
      <c r="H228" s="134" t="s">
        <v>1425</v>
      </c>
    </row>
    <row r="229" spans="1:8" ht="13.2" customHeight="1" x14ac:dyDescent="0.25">
      <c r="A229" s="23" t="s">
        <v>1534</v>
      </c>
      <c r="B229" s="23" t="s">
        <v>1360</v>
      </c>
      <c r="C229" s="51" t="s">
        <v>89</v>
      </c>
      <c r="D229" s="155">
        <v>0.81</v>
      </c>
      <c r="E229" s="155">
        <v>7.0000000000000007E-2</v>
      </c>
      <c r="F229" s="153">
        <f>(grains_table[[#This Row],[Extract %]]*46.214)/1000+1</f>
        <v>1.03743334</v>
      </c>
      <c r="G229" s="135">
        <v>2.0499999999999998</v>
      </c>
      <c r="H229" s="133" t="s">
        <v>1401</v>
      </c>
    </row>
    <row r="230" spans="1:8" ht="13.2" customHeight="1" x14ac:dyDescent="0.25">
      <c r="A230" s="23" t="s">
        <v>1535</v>
      </c>
      <c r="B230" s="23" t="s">
        <v>1360</v>
      </c>
      <c r="C230" s="51" t="s">
        <v>89</v>
      </c>
      <c r="D230" s="155">
        <v>0.82</v>
      </c>
      <c r="E230" s="155">
        <v>5.5E-2</v>
      </c>
      <c r="F230" s="153">
        <f>(grains_table[[#This Row],[Extract %]]*46.214)/1000+1</f>
        <v>1.03789548</v>
      </c>
      <c r="G230" s="626">
        <v>2.0499999999999998</v>
      </c>
      <c r="H230" s="133" t="s">
        <v>1401</v>
      </c>
    </row>
    <row r="231" spans="1:8" ht="13.2" customHeight="1" x14ac:dyDescent="0.25">
      <c r="A231" s="23" t="s">
        <v>2075</v>
      </c>
      <c r="B231" s="168" t="s">
        <v>2041</v>
      </c>
      <c r="C231" s="97" t="s">
        <v>89</v>
      </c>
      <c r="D231" s="152">
        <v>0.85</v>
      </c>
      <c r="E231" s="152">
        <v>4.8000000000000001E-2</v>
      </c>
      <c r="F231" s="153">
        <f>(grains_table[[#This Row],[Extract %]]*46.214)/1000+1</f>
        <v>1.0392819</v>
      </c>
      <c r="G231" s="626">
        <v>2.1</v>
      </c>
      <c r="H231" s="133" t="s">
        <v>2042</v>
      </c>
    </row>
    <row r="232" spans="1:8" ht="13.2" customHeight="1" x14ac:dyDescent="0.25">
      <c r="A232" s="23" t="s">
        <v>1536</v>
      </c>
      <c r="B232" s="23" t="s">
        <v>1361</v>
      </c>
      <c r="C232" s="51" t="s">
        <v>89</v>
      </c>
      <c r="D232" s="155">
        <v>0.82899999999999996</v>
      </c>
      <c r="E232" s="155">
        <v>0.04</v>
      </c>
      <c r="F232" s="153">
        <f>(grains_table[[#This Row],[Extract %]]*46.214)/1000+1</f>
        <v>1.038311406</v>
      </c>
      <c r="G232" s="135">
        <v>2.0499999999999998</v>
      </c>
      <c r="H232" s="134" t="s">
        <v>1393</v>
      </c>
    </row>
    <row r="233" spans="1:8" ht="13.2" customHeight="1" x14ac:dyDescent="0.25">
      <c r="A233" s="23" t="s">
        <v>1537</v>
      </c>
      <c r="B233" s="23" t="s">
        <v>1363</v>
      </c>
      <c r="C233" s="51" t="s">
        <v>89</v>
      </c>
      <c r="D233" s="155">
        <v>0.83</v>
      </c>
      <c r="E233" s="155">
        <v>6.5000000000000002E-2</v>
      </c>
      <c r="F233" s="153">
        <f>(grains_table[[#This Row],[Extract %]]*46.214)/1000+1</f>
        <v>1.03835762</v>
      </c>
      <c r="G233" s="135">
        <v>1.6</v>
      </c>
      <c r="H233" s="133" t="s">
        <v>1398</v>
      </c>
    </row>
    <row r="234" spans="1:8" ht="13.2" customHeight="1" x14ac:dyDescent="0.25">
      <c r="A234" s="23" t="s">
        <v>1538</v>
      </c>
      <c r="B234" s="23" t="s">
        <v>1360</v>
      </c>
      <c r="C234" s="51" t="s">
        <v>89</v>
      </c>
      <c r="D234" s="155"/>
      <c r="E234" s="155"/>
      <c r="F234" s="153">
        <f>(grains_table[[#This Row],[Extract %]]*46.214)/1000+1</f>
        <v>1</v>
      </c>
      <c r="G234" s="135">
        <v>7.15</v>
      </c>
      <c r="H234" s="133" t="s">
        <v>1401</v>
      </c>
    </row>
    <row r="235" spans="1:8" ht="13.2" customHeight="1" x14ac:dyDescent="0.25">
      <c r="A235" s="23" t="s">
        <v>1539</v>
      </c>
      <c r="B235" s="23" t="s">
        <v>1362</v>
      </c>
      <c r="C235" s="51" t="s">
        <v>89</v>
      </c>
      <c r="D235" s="155">
        <v>0.81</v>
      </c>
      <c r="E235" s="155">
        <v>0.04</v>
      </c>
      <c r="F235" s="153">
        <f>(grains_table[[#This Row],[Extract %]]*46.214)/1000+1</f>
        <v>1.03743334</v>
      </c>
      <c r="G235" s="135">
        <v>2.2999999999999998</v>
      </c>
      <c r="H235" s="134" t="s">
        <v>1414</v>
      </c>
    </row>
    <row r="236" spans="1:8" ht="13.2" customHeight="1" x14ac:dyDescent="0.25">
      <c r="A236" s="23" t="s">
        <v>1540</v>
      </c>
      <c r="B236" s="23" t="s">
        <v>1362</v>
      </c>
      <c r="C236" s="51" t="s">
        <v>89</v>
      </c>
      <c r="D236" s="155">
        <v>0.85</v>
      </c>
      <c r="E236" s="155">
        <v>0.04</v>
      </c>
      <c r="F236" s="153">
        <f>(grains_table[[#This Row],[Extract %]]*46.214)/1000+1</f>
        <v>1.0392819</v>
      </c>
      <c r="G236" s="131">
        <v>2.5</v>
      </c>
      <c r="H236" s="134" t="s">
        <v>1414</v>
      </c>
    </row>
    <row r="240" spans="1:8" x14ac:dyDescent="0.25">
      <c r="B240" s="23"/>
      <c r="C240" s="23"/>
      <c r="D240" s="23"/>
      <c r="E240" s="23"/>
    </row>
    <row r="241" spans="2:5" x14ac:dyDescent="0.25">
      <c r="B241" s="23"/>
      <c r="C241" s="23"/>
      <c r="D241" s="23"/>
      <c r="E241" s="23"/>
    </row>
    <row r="242" spans="2:5" x14ac:dyDescent="0.25">
      <c r="B242" s="23"/>
      <c r="C242" s="23"/>
      <c r="D242" s="23"/>
      <c r="E242" s="23"/>
    </row>
  </sheetData>
  <sheetProtection sheet="1" formatCells="0" formatColumns="0" formatRows="0" insertRows="0" sort="0" autoFilter="0"/>
  <sortState ref="A1:AC1">
    <sortCondition ref="A1"/>
  </sortState>
  <dataValidations count="2">
    <dataValidation type="list" showInputMessage="1" showErrorMessage="1" sqref="C2:C236" xr:uid="{00000000-0002-0000-0600-000000000000}">
      <formula1>"Grain,Sugar"</formula1>
    </dataValidation>
    <dataValidation showInputMessage="1" showErrorMessage="1" sqref="D2:E236" xr:uid="{00000000-0002-0000-0600-000001000000}"/>
  </dataValidations>
  <hyperlinks>
    <hyperlink ref="H129" r:id="rId1" xr:uid="{00000000-0004-0000-0600-000000000000}"/>
    <hyperlink ref="H130" r:id="rId2" xr:uid="{00000000-0004-0000-0600-000001000000}"/>
    <hyperlink ref="H143" r:id="rId3" xr:uid="{00000000-0004-0000-0600-000002000000}"/>
    <hyperlink ref="H131" r:id="rId4" xr:uid="{00000000-0004-0000-0600-000003000000}"/>
    <hyperlink ref="H128" r:id="rId5" xr:uid="{00000000-0004-0000-0600-000004000000}"/>
    <hyperlink ref="H149" r:id="rId6" xr:uid="{00000000-0004-0000-0600-000005000000}"/>
    <hyperlink ref="H224" r:id="rId7" xr:uid="{00000000-0004-0000-0600-000006000000}"/>
    <hyperlink ref="H117" r:id="rId8" xr:uid="{00000000-0004-0000-0600-000007000000}"/>
    <hyperlink ref="H132" r:id="rId9" xr:uid="{00000000-0004-0000-0600-000008000000}"/>
    <hyperlink ref="H6" r:id="rId10" xr:uid="{00000000-0004-0000-0600-000009000000}"/>
    <hyperlink ref="H127"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68" r:id="rId20" xr:uid="{00000000-0004-0000-0600-000013000000}"/>
    <hyperlink ref="H176" r:id="rId21" xr:uid="{00000000-0004-0000-0600-000014000000}"/>
    <hyperlink ref="H179" r:id="rId22" xr:uid="{00000000-0004-0000-0600-000015000000}"/>
    <hyperlink ref="H173" r:id="rId23" xr:uid="{00000000-0004-0000-0600-000016000000}"/>
    <hyperlink ref="H163" r:id="rId24" xr:uid="{00000000-0004-0000-0600-000017000000}"/>
    <hyperlink ref="H121" r:id="rId25" xr:uid="{00000000-0004-0000-0600-000018000000}"/>
    <hyperlink ref="H232" r:id="rId26" xr:uid="{00000000-0004-0000-0600-000019000000}"/>
    <hyperlink ref="H120" r:id="rId27" xr:uid="{00000000-0004-0000-0600-00001A000000}"/>
    <hyperlink ref="H70" r:id="rId28" xr:uid="{00000000-0004-0000-0600-00001B000000}"/>
    <hyperlink ref="H192" r:id="rId29" xr:uid="{00000000-0004-0000-0600-00001C000000}"/>
    <hyperlink ref="H83" r:id="rId30" xr:uid="{00000000-0004-0000-0600-00001D000000}"/>
    <hyperlink ref="H155" r:id="rId31" xr:uid="{00000000-0004-0000-0600-00001E000000}"/>
    <hyperlink ref="H233" r:id="rId32" xr:uid="{00000000-0004-0000-0600-00001F000000}"/>
    <hyperlink ref="H136" r:id="rId33" xr:uid="{00000000-0004-0000-0600-000020000000}"/>
    <hyperlink ref="H118"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7" r:id="rId44" xr:uid="{00000000-0004-0000-0600-00002B000000}"/>
    <hyperlink ref="H188" r:id="rId45" xr:uid="{00000000-0004-0000-0600-00002C000000}"/>
    <hyperlink ref="H5" r:id="rId46" xr:uid="{00000000-0004-0000-0600-00002D000000}"/>
    <hyperlink ref="H124" r:id="rId47" xr:uid="{00000000-0004-0000-0600-00002E000000}"/>
    <hyperlink ref="H2" r:id="rId48" xr:uid="{00000000-0004-0000-0600-00002F000000}"/>
    <hyperlink ref="H197"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8" r:id="rId56" xr:uid="{00000000-0004-0000-0600-000038000000}"/>
    <hyperlink ref="H111" r:id="rId57" xr:uid="{00000000-0004-0000-0600-000039000000}"/>
    <hyperlink ref="H204" r:id="rId58" xr:uid="{00000000-0004-0000-0600-00003A000000}"/>
    <hyperlink ref="H135" r:id="rId59" xr:uid="{00000000-0004-0000-0600-00003B000000}"/>
    <hyperlink ref="H159" r:id="rId60" location="Brewers" xr:uid="{00000000-0004-0000-0600-00003C000000}"/>
    <hyperlink ref="H156" r:id="rId61" xr:uid="{00000000-0004-0000-0600-00003D000000}"/>
    <hyperlink ref="H164" r:id="rId62" xr:uid="{00000000-0004-0000-0600-00003E000000}"/>
    <hyperlink ref="H186" r:id="rId63" xr:uid="{00000000-0004-0000-0600-00003F000000}"/>
    <hyperlink ref="H205" r:id="rId64" xr:uid="{00000000-0004-0000-0600-000040000000}"/>
    <hyperlink ref="H225" r:id="rId65" xr:uid="{00000000-0004-0000-0600-000041000000}"/>
    <hyperlink ref="H234" r:id="rId66" xr:uid="{00000000-0004-0000-0600-000042000000}"/>
    <hyperlink ref="H112" r:id="rId67" location="Aromatic" xr:uid="{00000000-0004-0000-0600-000043000000}"/>
    <hyperlink ref="H177"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78" r:id="rId83" location="2RowChocolate" xr:uid="{00000000-0004-0000-0600-000053000000}"/>
    <hyperlink ref="H184" r:id="rId84" location="ExtraSpecial" xr:uid="{00000000-0004-0000-0600-000054000000}"/>
    <hyperlink ref="H115" r:id="rId85" location="Bonlander" xr:uid="{00000000-0004-0000-0600-000055000000}"/>
    <hyperlink ref="H154" r:id="rId86" location="Brewers" xr:uid="{00000000-0004-0000-0600-000056000000}"/>
    <hyperlink ref="H142" r:id="rId87" location="Brewers" xr:uid="{00000000-0004-0000-0600-000057000000}"/>
    <hyperlink ref="H133" r:id="rId88" xr:uid="{00000000-0004-0000-0600-000058000000}"/>
    <hyperlink ref="H222" r:id="rId89" location="Goldpils" xr:uid="{00000000-0004-0000-0600-000059000000}"/>
    <hyperlink ref="H139" r:id="rId90" xr:uid="{00000000-0004-0000-0600-00005A000000}"/>
    <hyperlink ref="H235" r:id="rId91" xr:uid="{00000000-0004-0000-0600-00005B000000}"/>
    <hyperlink ref="H236" r:id="rId92" xr:uid="{00000000-0004-0000-0600-00005C000000}"/>
    <hyperlink ref="H15" r:id="rId93" xr:uid="{00000000-0004-0000-0600-00005D000000}"/>
    <hyperlink ref="H145" r:id="rId94" xr:uid="{00000000-0004-0000-0600-00005E000000}"/>
    <hyperlink ref="H146" r:id="rId95" xr:uid="{00000000-0004-0000-0600-00005F000000}"/>
    <hyperlink ref="H125" r:id="rId96" xr:uid="{00000000-0004-0000-0600-000060000000}"/>
    <hyperlink ref="H221"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6" r:id="rId102" xr:uid="{00000000-0004-0000-0600-000066000000}"/>
    <hyperlink ref="H59" r:id="rId103" xr:uid="{00000000-0004-0000-0600-000067000000}"/>
    <hyperlink ref="H227" r:id="rId104" xr:uid="{00000000-0004-0000-0600-000068000000}"/>
    <hyperlink ref="H228" r:id="rId105" xr:uid="{00000000-0004-0000-0600-000069000000}"/>
    <hyperlink ref="H206" r:id="rId106" xr:uid="{00000000-0004-0000-0600-00006A000000}"/>
    <hyperlink ref="H226" r:id="rId107" xr:uid="{00000000-0004-0000-0600-00006B000000}"/>
    <hyperlink ref="H122" r:id="rId108" xr:uid="{00000000-0004-0000-0600-00006C000000}"/>
    <hyperlink ref="H123"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69" r:id="rId117" xr:uid="{00000000-0004-0000-0600-000075000000}"/>
    <hyperlink ref="H170" r:id="rId118" xr:uid="{00000000-0004-0000-0600-000076000000}"/>
    <hyperlink ref="H76" r:id="rId119" xr:uid="{00000000-0004-0000-0600-000077000000}"/>
    <hyperlink ref="H3" r:id="rId120" xr:uid="{00000000-0004-0000-0600-000078000000}"/>
    <hyperlink ref="H199" r:id="rId121" xr:uid="{00000000-0004-0000-0600-000079000000}"/>
    <hyperlink ref="H198" r:id="rId122" xr:uid="{00000000-0004-0000-0600-00007A000000}"/>
    <hyperlink ref="H165"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3" r:id="rId138" xr:uid="{00000000-0004-0000-0600-00008A000000}"/>
    <hyperlink ref="H166" r:id="rId139" xr:uid="{00000000-0004-0000-0600-00008C000000}"/>
    <hyperlink ref="H183" r:id="rId140" xr:uid="{00000000-0004-0000-0600-00008D000000}"/>
    <hyperlink ref="H185" r:id="rId141" xr:uid="{00000000-0004-0000-0600-00008E000000}"/>
    <hyperlink ref="H14" r:id="rId142" xr:uid="{00000000-0004-0000-0600-00008F000000}"/>
    <hyperlink ref="H194" r:id="rId143" xr:uid="{00000000-0004-0000-0600-000090000000}"/>
    <hyperlink ref="H196" r:id="rId144" xr:uid="{00000000-0004-0000-0600-000091000000}"/>
    <hyperlink ref="H200" r:id="rId145" xr:uid="{00000000-0004-0000-0600-000092000000}"/>
    <hyperlink ref="H202" r:id="rId146" xr:uid="{00000000-0004-0000-0600-000093000000}"/>
    <hyperlink ref="H210" r:id="rId147" xr:uid="{00000000-0004-0000-0600-000094000000}"/>
    <hyperlink ref="H209" r:id="rId148" xr:uid="{00000000-0004-0000-0600-000095000000}"/>
    <hyperlink ref="H211" r:id="rId149" xr:uid="{00000000-0004-0000-0600-000096000000}"/>
    <hyperlink ref="H208" r:id="rId150" xr:uid="{00000000-0004-0000-0600-000097000000}"/>
    <hyperlink ref="H207" r:id="rId151" xr:uid="{00000000-0004-0000-0600-000098000000}"/>
    <hyperlink ref="H212" r:id="rId152" xr:uid="{00000000-0004-0000-0600-000099000000}"/>
    <hyperlink ref="H214" r:id="rId153" xr:uid="{00000000-0004-0000-0600-00009A000000}"/>
    <hyperlink ref="H213" r:id="rId154" xr:uid="{00000000-0004-0000-0600-00009B000000}"/>
    <hyperlink ref="H215" r:id="rId155" xr:uid="{00000000-0004-0000-0600-00009C000000}"/>
    <hyperlink ref="H216" r:id="rId156" xr:uid="{00000000-0004-0000-0600-00009D000000}"/>
    <hyperlink ref="H217" r:id="rId157" xr:uid="{00000000-0004-0000-0600-00009E000000}"/>
    <hyperlink ref="H218" r:id="rId158" xr:uid="{00000000-0004-0000-0600-00009F000000}"/>
    <hyperlink ref="H219" r:id="rId159" xr:uid="{00000000-0004-0000-0600-0000A0000000}"/>
    <hyperlink ref="H220" r:id="rId160" location="TorrifiedWheat" xr:uid="{00000000-0004-0000-0600-0000A1000000}"/>
    <hyperlink ref="H174" r:id="rId161" xr:uid="{00000000-0004-0000-0600-0000A2000000}"/>
    <hyperlink ref="H175" r:id="rId162" xr:uid="{00000000-0004-0000-0600-0000A3000000}"/>
    <hyperlink ref="H172" r:id="rId163" xr:uid="{00000000-0004-0000-0600-0000A4000000}"/>
    <hyperlink ref="H171" r:id="rId164" xr:uid="{00000000-0004-0000-0600-0000A5000000}"/>
    <hyperlink ref="H140"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1" r:id="rId170" xr:uid="{00000000-0004-0000-0600-0000AB000000}"/>
    <hyperlink ref="H144" r:id="rId171" xr:uid="{00000000-0004-0000-0600-0000AC000000}"/>
    <hyperlink ref="H158" r:id="rId172" xr:uid="{13711CBD-0205-45C4-B7F3-ACC02CED9BE4}"/>
    <hyperlink ref="H134" r:id="rId173" location="{%22issue_id%22:453924,%22page%22:50}" xr:uid="{8C439332-78DE-437D-A3C5-08B1B6A74DE3}"/>
    <hyperlink ref="H138" r:id="rId174" xr:uid="{D7F8BAFD-07E5-4957-BD7E-DF8F85B6BE61}"/>
    <hyperlink ref="H137"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1" r:id="rId182" xr:uid="{BC7D9F85-5E58-4871-9070-80A69172F7EA}"/>
    <hyperlink ref="H161"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2028</v>
      </c>
      <c r="B30" t="s">
        <v>2029</v>
      </c>
      <c r="D30" t="s">
        <v>2030</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1587</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1313</v>
      </c>
      <c r="H1" s="103" t="s">
        <v>1314</v>
      </c>
      <c r="I1" s="54" t="s">
        <v>67</v>
      </c>
    </row>
    <row r="2" spans="1:9" x14ac:dyDescent="0.25">
      <c r="A2" s="23" t="s">
        <v>1682</v>
      </c>
      <c r="B2" s="23" t="s">
        <v>436</v>
      </c>
      <c r="C2" s="23" t="s">
        <v>1683</v>
      </c>
      <c r="D2" s="23" t="s">
        <v>445</v>
      </c>
      <c r="E2" s="23" t="s">
        <v>1684</v>
      </c>
      <c r="F2" s="167">
        <v>0.74</v>
      </c>
      <c r="G2" s="159">
        <v>62</v>
      </c>
      <c r="H2" s="104">
        <v>70</v>
      </c>
      <c r="I2" s="23" t="s">
        <v>1685</v>
      </c>
    </row>
    <row r="3" spans="1:9" x14ac:dyDescent="0.25">
      <c r="A3" s="23" t="s">
        <v>1686</v>
      </c>
      <c r="B3" s="23" t="s">
        <v>436</v>
      </c>
      <c r="C3" s="23" t="s">
        <v>1683</v>
      </c>
      <c r="D3" s="23" t="s">
        <v>438</v>
      </c>
      <c r="E3" s="23" t="s">
        <v>1687</v>
      </c>
      <c r="F3" s="167">
        <v>0.73499999999999999</v>
      </c>
      <c r="G3" s="101">
        <v>62</v>
      </c>
      <c r="H3" s="104">
        <v>70</v>
      </c>
      <c r="I3" s="23" t="s">
        <v>1688</v>
      </c>
    </row>
    <row r="4" spans="1:9" x14ac:dyDescent="0.25">
      <c r="A4" s="23" t="s">
        <v>1689</v>
      </c>
      <c r="B4" s="23" t="s">
        <v>436</v>
      </c>
      <c r="C4" s="23" t="s">
        <v>1683</v>
      </c>
      <c r="D4" t="s">
        <v>452</v>
      </c>
      <c r="E4" s="23" t="s">
        <v>1252</v>
      </c>
      <c r="F4" s="167">
        <v>0.75</v>
      </c>
      <c r="G4" s="101">
        <v>60</v>
      </c>
      <c r="H4" s="104">
        <v>72</v>
      </c>
      <c r="I4" s="23" t="s">
        <v>1690</v>
      </c>
    </row>
    <row r="5" spans="1:9" x14ac:dyDescent="0.25">
      <c r="A5" s="23" t="s">
        <v>1691</v>
      </c>
      <c r="B5" s="23" t="s">
        <v>436</v>
      </c>
      <c r="C5" s="23" t="s">
        <v>1683</v>
      </c>
      <c r="D5" s="23" t="s">
        <v>560</v>
      </c>
      <c r="E5" s="23" t="s">
        <v>1692</v>
      </c>
      <c r="F5" s="167">
        <v>0.71499999999999997</v>
      </c>
      <c r="G5" s="101">
        <v>64</v>
      </c>
      <c r="H5" s="104">
        <v>70</v>
      </c>
      <c r="I5" s="23" t="s">
        <v>1693</v>
      </c>
    </row>
    <row r="6" spans="1:9" x14ac:dyDescent="0.25">
      <c r="A6" s="23" t="s">
        <v>1694</v>
      </c>
      <c r="B6" s="23" t="s">
        <v>436</v>
      </c>
      <c r="C6" s="23" t="s">
        <v>1683</v>
      </c>
      <c r="D6" s="23" t="s">
        <v>438</v>
      </c>
      <c r="E6" s="23" t="s">
        <v>579</v>
      </c>
      <c r="F6" s="167">
        <v>0.73</v>
      </c>
      <c r="G6" s="159">
        <v>62</v>
      </c>
      <c r="H6" s="104">
        <v>72</v>
      </c>
      <c r="I6" s="23" t="s">
        <v>1695</v>
      </c>
    </row>
    <row r="7" spans="1:9" x14ac:dyDescent="0.25">
      <c r="A7" s="23" t="s">
        <v>1696</v>
      </c>
      <c r="B7" s="23" t="s">
        <v>436</v>
      </c>
      <c r="C7" s="23" t="s">
        <v>1683</v>
      </c>
      <c r="D7" s="23" t="s">
        <v>438</v>
      </c>
      <c r="E7" s="23" t="s">
        <v>458</v>
      </c>
      <c r="F7" s="167">
        <v>0.74</v>
      </c>
      <c r="G7" s="159">
        <v>60</v>
      </c>
      <c r="H7" s="104">
        <v>72</v>
      </c>
      <c r="I7" s="23" t="s">
        <v>1697</v>
      </c>
    </row>
    <row r="8" spans="1:9" x14ac:dyDescent="0.25">
      <c r="A8" s="23" t="s">
        <v>1698</v>
      </c>
      <c r="B8" s="23" t="s">
        <v>436</v>
      </c>
      <c r="C8" s="23" t="s">
        <v>1683</v>
      </c>
      <c r="D8" s="23" t="s">
        <v>441</v>
      </c>
      <c r="E8" s="23" t="s">
        <v>453</v>
      </c>
      <c r="F8" s="167">
        <v>0.75</v>
      </c>
      <c r="G8" s="159">
        <v>60</v>
      </c>
      <c r="H8" s="104">
        <v>70</v>
      </c>
      <c r="I8" s="23" t="s">
        <v>1699</v>
      </c>
    </row>
    <row r="9" spans="1:9" x14ac:dyDescent="0.25">
      <c r="A9" s="23" t="s">
        <v>1700</v>
      </c>
      <c r="B9" s="23" t="s">
        <v>436</v>
      </c>
      <c r="C9" s="23" t="s">
        <v>1683</v>
      </c>
      <c r="D9" s="23" t="s">
        <v>447</v>
      </c>
      <c r="E9" s="23" t="s">
        <v>464</v>
      </c>
      <c r="F9" s="167">
        <v>0.76</v>
      </c>
      <c r="G9" s="159">
        <v>67</v>
      </c>
      <c r="H9" s="104">
        <v>80</v>
      </c>
      <c r="I9" s="23" t="s">
        <v>1701</v>
      </c>
    </row>
    <row r="10" spans="1:9" x14ac:dyDescent="0.25">
      <c r="A10" s="23" t="s">
        <v>1702</v>
      </c>
      <c r="B10" s="23" t="s">
        <v>436</v>
      </c>
      <c r="C10" s="23" t="s">
        <v>1683</v>
      </c>
      <c r="D10" s="23" t="s">
        <v>438</v>
      </c>
      <c r="E10" s="23" t="s">
        <v>464</v>
      </c>
      <c r="F10" s="167">
        <v>0.76</v>
      </c>
      <c r="G10" s="159">
        <v>64</v>
      </c>
      <c r="H10" s="104">
        <v>74</v>
      </c>
      <c r="I10" s="23" t="s">
        <v>1703</v>
      </c>
    </row>
    <row r="11" spans="1:9" x14ac:dyDescent="0.25">
      <c r="A11" s="23" t="s">
        <v>1704</v>
      </c>
      <c r="B11" s="23" t="s">
        <v>436</v>
      </c>
      <c r="C11" s="23" t="s">
        <v>1683</v>
      </c>
      <c r="D11" s="23" t="s">
        <v>438</v>
      </c>
      <c r="E11" s="23" t="s">
        <v>448</v>
      </c>
      <c r="F11" s="167">
        <v>0.72499999999999998</v>
      </c>
      <c r="G11" s="159">
        <v>65</v>
      </c>
      <c r="H11" s="104">
        <v>70</v>
      </c>
      <c r="I11" s="23" t="s">
        <v>1705</v>
      </c>
    </row>
    <row r="12" spans="1:9" x14ac:dyDescent="0.25">
      <c r="A12" s="23" t="s">
        <v>1706</v>
      </c>
      <c r="B12" s="23" t="s">
        <v>436</v>
      </c>
      <c r="C12" s="23" t="s">
        <v>1683</v>
      </c>
      <c r="D12" s="23" t="s">
        <v>438</v>
      </c>
      <c r="E12" s="23" t="s">
        <v>1707</v>
      </c>
      <c r="F12" s="167">
        <v>0.74</v>
      </c>
      <c r="G12" s="159">
        <v>64</v>
      </c>
      <c r="H12" s="104">
        <v>74</v>
      </c>
      <c r="I12" s="23" t="s">
        <v>1708</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59">
        <v>66</v>
      </c>
      <c r="H14" s="104">
        <v>72</v>
      </c>
      <c r="I14" t="s">
        <v>442</v>
      </c>
    </row>
    <row r="15" spans="1:9" x14ac:dyDescent="0.25">
      <c r="A15" t="s">
        <v>999</v>
      </c>
      <c r="B15" t="s">
        <v>436</v>
      </c>
      <c r="C15" t="s">
        <v>437</v>
      </c>
      <c r="D15" t="s">
        <v>438</v>
      </c>
      <c r="E15" t="s">
        <v>438</v>
      </c>
      <c r="F15" s="69">
        <v>0.78</v>
      </c>
      <c r="G15" s="159">
        <v>66</v>
      </c>
      <c r="H15" s="104">
        <v>72</v>
      </c>
      <c r="I15" t="s">
        <v>1000</v>
      </c>
    </row>
    <row r="16" spans="1:9" x14ac:dyDescent="0.25">
      <c r="A16" t="s">
        <v>443</v>
      </c>
      <c r="B16" t="s">
        <v>436</v>
      </c>
      <c r="C16" t="s">
        <v>444</v>
      </c>
      <c r="D16" t="s">
        <v>438</v>
      </c>
      <c r="E16" t="s">
        <v>445</v>
      </c>
      <c r="F16" s="69"/>
      <c r="G16" s="159">
        <v>59</v>
      </c>
      <c r="H16" s="104">
        <v>68</v>
      </c>
      <c r="I16" t="s">
        <v>1157</v>
      </c>
    </row>
    <row r="17" spans="1:9" x14ac:dyDescent="0.25">
      <c r="A17" t="s">
        <v>446</v>
      </c>
      <c r="B17" t="s">
        <v>436</v>
      </c>
      <c r="C17" t="s">
        <v>437</v>
      </c>
      <c r="D17" t="s">
        <v>447</v>
      </c>
      <c r="E17" t="s">
        <v>448</v>
      </c>
      <c r="F17" s="69">
        <v>0.72499999999999998</v>
      </c>
      <c r="G17" s="159">
        <v>65</v>
      </c>
      <c r="H17" s="104">
        <v>69</v>
      </c>
      <c r="I17" t="s">
        <v>449</v>
      </c>
    </row>
    <row r="18" spans="1:9" x14ac:dyDescent="0.25">
      <c r="A18" t="s">
        <v>450</v>
      </c>
      <c r="B18" t="s">
        <v>436</v>
      </c>
      <c r="C18" t="s">
        <v>451</v>
      </c>
      <c r="D18" t="s">
        <v>452</v>
      </c>
      <c r="E18" t="s">
        <v>453</v>
      </c>
      <c r="F18" s="69">
        <v>0.75</v>
      </c>
      <c r="G18" s="159">
        <v>60</v>
      </c>
      <c r="H18" s="104">
        <v>72</v>
      </c>
      <c r="I18" t="s">
        <v>454</v>
      </c>
    </row>
    <row r="19" spans="1:9" x14ac:dyDescent="0.25">
      <c r="A19" t="s">
        <v>455</v>
      </c>
      <c r="B19" t="s">
        <v>436</v>
      </c>
      <c r="C19" t="s">
        <v>444</v>
      </c>
      <c r="D19" t="s">
        <v>438</v>
      </c>
      <c r="E19" t="s">
        <v>445</v>
      </c>
      <c r="F19" s="69"/>
      <c r="G19" s="159">
        <v>64</v>
      </c>
      <c r="H19" s="104">
        <v>72</v>
      </c>
      <c r="I19" t="s">
        <v>932</v>
      </c>
    </row>
    <row r="20" spans="1:9" x14ac:dyDescent="0.25">
      <c r="A20" t="s">
        <v>457</v>
      </c>
      <c r="B20" t="s">
        <v>436</v>
      </c>
      <c r="C20" t="s">
        <v>451</v>
      </c>
      <c r="D20" t="s">
        <v>438</v>
      </c>
      <c r="E20" t="s">
        <v>458</v>
      </c>
      <c r="F20" s="69">
        <v>0.74</v>
      </c>
      <c r="G20" s="159">
        <v>60</v>
      </c>
      <c r="H20" s="104">
        <v>72</v>
      </c>
      <c r="I20" t="s">
        <v>459</v>
      </c>
    </row>
    <row r="21" spans="1:9" x14ac:dyDescent="0.25">
      <c r="A21" t="s">
        <v>460</v>
      </c>
      <c r="B21" t="s">
        <v>436</v>
      </c>
      <c r="C21" t="s">
        <v>437</v>
      </c>
      <c r="D21" t="s">
        <v>438</v>
      </c>
      <c r="E21" t="s">
        <v>461</v>
      </c>
      <c r="F21" s="69">
        <v>0.75</v>
      </c>
      <c r="G21" s="159">
        <v>68</v>
      </c>
      <c r="H21" s="104">
        <v>72</v>
      </c>
      <c r="I21" t="s">
        <v>462</v>
      </c>
    </row>
    <row r="22" spans="1:9" x14ac:dyDescent="0.25">
      <c r="A22" t="s">
        <v>1001</v>
      </c>
      <c r="B22" t="s">
        <v>436</v>
      </c>
      <c r="C22" t="s">
        <v>437</v>
      </c>
      <c r="D22" t="s">
        <v>438</v>
      </c>
      <c r="E22" t="s">
        <v>438</v>
      </c>
      <c r="F22" s="69">
        <v>0.78500000000000003</v>
      </c>
      <c r="G22" s="159">
        <v>68</v>
      </c>
      <c r="H22" s="104">
        <v>72</v>
      </c>
      <c r="I22" t="s">
        <v>1002</v>
      </c>
    </row>
    <row r="23" spans="1:9" x14ac:dyDescent="0.25">
      <c r="A23" t="s">
        <v>965</v>
      </c>
      <c r="B23" t="s">
        <v>436</v>
      </c>
      <c r="C23" t="s">
        <v>444</v>
      </c>
      <c r="D23" t="s">
        <v>445</v>
      </c>
      <c r="E23" t="s">
        <v>438</v>
      </c>
      <c r="F23" s="69"/>
      <c r="G23" s="159">
        <v>68</v>
      </c>
      <c r="H23" s="104">
        <v>72</v>
      </c>
      <c r="I23" t="s">
        <v>966</v>
      </c>
    </row>
    <row r="24" spans="1:9" x14ac:dyDescent="0.25">
      <c r="A24" t="s">
        <v>967</v>
      </c>
      <c r="B24" t="s">
        <v>436</v>
      </c>
      <c r="C24" t="s">
        <v>451</v>
      </c>
      <c r="D24" t="s">
        <v>438</v>
      </c>
      <c r="E24" t="s">
        <v>439</v>
      </c>
      <c r="F24" s="69">
        <v>0.77500000000000002</v>
      </c>
      <c r="G24" s="159">
        <v>48</v>
      </c>
      <c r="H24" s="104">
        <v>58</v>
      </c>
      <c r="I24" t="s">
        <v>968</v>
      </c>
    </row>
    <row r="25" spans="1:9" x14ac:dyDescent="0.25">
      <c r="A25" t="s">
        <v>969</v>
      </c>
      <c r="B25" t="s">
        <v>436</v>
      </c>
      <c r="C25" t="s">
        <v>437</v>
      </c>
      <c r="D25" t="s">
        <v>438</v>
      </c>
      <c r="E25" t="s">
        <v>439</v>
      </c>
      <c r="F25" s="69">
        <v>0.77500000000000002</v>
      </c>
      <c r="G25" s="159">
        <v>50</v>
      </c>
      <c r="H25" s="104">
        <v>55</v>
      </c>
      <c r="I25" t="s">
        <v>970</v>
      </c>
    </row>
    <row r="26" spans="1:9" x14ac:dyDescent="0.25">
      <c r="A26" t="s">
        <v>933</v>
      </c>
      <c r="B26" t="s">
        <v>511</v>
      </c>
      <c r="C26" t="s">
        <v>934</v>
      </c>
      <c r="D26" t="s">
        <v>438</v>
      </c>
      <c r="E26" t="s">
        <v>438</v>
      </c>
      <c r="F26" s="69"/>
      <c r="G26" s="159">
        <v>59</v>
      </c>
      <c r="H26" s="104">
        <v>72</v>
      </c>
      <c r="I26" t="s">
        <v>456</v>
      </c>
    </row>
    <row r="27" spans="1:9" x14ac:dyDescent="0.25">
      <c r="A27" t="s">
        <v>463</v>
      </c>
      <c r="B27" t="s">
        <v>436</v>
      </c>
      <c r="C27" t="s">
        <v>451</v>
      </c>
      <c r="D27" t="s">
        <v>447</v>
      </c>
      <c r="E27" t="s">
        <v>464</v>
      </c>
      <c r="F27" s="69">
        <v>0.76</v>
      </c>
      <c r="G27" s="159">
        <v>58</v>
      </c>
      <c r="H27" s="104">
        <v>74</v>
      </c>
      <c r="I27" t="s">
        <v>465</v>
      </c>
    </row>
    <row r="28" spans="1:9" x14ac:dyDescent="0.25">
      <c r="A28" t="s">
        <v>1110</v>
      </c>
      <c r="B28" t="s">
        <v>436</v>
      </c>
      <c r="C28" t="s">
        <v>437</v>
      </c>
      <c r="D28" t="s">
        <v>438</v>
      </c>
      <c r="E28" t="s">
        <v>1111</v>
      </c>
      <c r="F28" s="69">
        <v>0.79</v>
      </c>
      <c r="G28" s="159">
        <v>75</v>
      </c>
      <c r="H28" s="104">
        <v>82</v>
      </c>
      <c r="I28" t="s">
        <v>1112</v>
      </c>
    </row>
    <row r="29" spans="1:9" x14ac:dyDescent="0.25">
      <c r="A29" t="s">
        <v>1003</v>
      </c>
      <c r="B29" t="s">
        <v>436</v>
      </c>
      <c r="C29" t="s">
        <v>437</v>
      </c>
      <c r="D29" t="s">
        <v>438</v>
      </c>
      <c r="E29" t="s">
        <v>438</v>
      </c>
      <c r="F29" s="69">
        <v>0.76500000000000001</v>
      </c>
      <c r="G29" s="159">
        <v>67</v>
      </c>
      <c r="H29" s="104">
        <v>70</v>
      </c>
      <c r="I29" t="s">
        <v>1004</v>
      </c>
    </row>
    <row r="30" spans="1:9" x14ac:dyDescent="0.25">
      <c r="A30" t="s">
        <v>466</v>
      </c>
      <c r="B30" t="s">
        <v>436</v>
      </c>
      <c r="C30" t="s">
        <v>437</v>
      </c>
      <c r="D30" t="s">
        <v>445</v>
      </c>
      <c r="E30" t="s">
        <v>448</v>
      </c>
      <c r="F30" s="69">
        <v>0.72499999999999998</v>
      </c>
      <c r="G30" s="159">
        <v>65</v>
      </c>
      <c r="H30" s="104">
        <v>70</v>
      </c>
      <c r="I30" t="s">
        <v>467</v>
      </c>
    </row>
    <row r="31" spans="1:9" x14ac:dyDescent="0.25">
      <c r="A31" s="23" t="s">
        <v>1715</v>
      </c>
      <c r="B31" s="23" t="s">
        <v>436</v>
      </c>
      <c r="C31" s="23" t="s">
        <v>1683</v>
      </c>
      <c r="D31" s="23" t="s">
        <v>452</v>
      </c>
      <c r="E31" s="23" t="s">
        <v>1707</v>
      </c>
      <c r="F31" s="167">
        <v>0.74</v>
      </c>
      <c r="G31" s="159">
        <v>62</v>
      </c>
      <c r="H31" s="104">
        <v>72</v>
      </c>
      <c r="I31" s="23" t="s">
        <v>1716</v>
      </c>
    </row>
    <row r="32" spans="1:9" x14ac:dyDescent="0.25">
      <c r="A32" s="23" t="s">
        <v>1717</v>
      </c>
      <c r="B32" s="23" t="s">
        <v>436</v>
      </c>
      <c r="C32" s="23" t="s">
        <v>1683</v>
      </c>
      <c r="D32" s="23" t="s">
        <v>441</v>
      </c>
      <c r="E32" s="23" t="s">
        <v>1707</v>
      </c>
      <c r="F32" s="167">
        <v>0.74</v>
      </c>
      <c r="G32" s="159">
        <v>65</v>
      </c>
      <c r="H32" s="104">
        <v>75</v>
      </c>
      <c r="I32" s="23" t="s">
        <v>1718</v>
      </c>
    </row>
    <row r="33" spans="1:9" x14ac:dyDescent="0.25">
      <c r="A33" s="23" t="s">
        <v>1719</v>
      </c>
      <c r="B33" s="23" t="s">
        <v>436</v>
      </c>
      <c r="C33" s="23" t="s">
        <v>1683</v>
      </c>
      <c r="D33" s="23" t="s">
        <v>438</v>
      </c>
      <c r="E33" s="23" t="s">
        <v>1267</v>
      </c>
      <c r="F33" s="167">
        <v>0.76</v>
      </c>
      <c r="G33" s="101">
        <v>65</v>
      </c>
      <c r="H33" s="104">
        <v>77</v>
      </c>
      <c r="I33" s="23" t="s">
        <v>1720</v>
      </c>
    </row>
    <row r="34" spans="1:9" x14ac:dyDescent="0.25">
      <c r="A34" s="23" t="s">
        <v>1721</v>
      </c>
      <c r="B34" s="23" t="s">
        <v>436</v>
      </c>
      <c r="C34" s="23" t="s">
        <v>1683</v>
      </c>
      <c r="D34" s="23" t="s">
        <v>438</v>
      </c>
      <c r="E34" s="23" t="s">
        <v>1722</v>
      </c>
      <c r="F34" s="167">
        <v>0.745</v>
      </c>
      <c r="G34" s="101">
        <v>65</v>
      </c>
      <c r="H34" s="104">
        <v>75</v>
      </c>
      <c r="I34" s="23" t="s">
        <v>1723</v>
      </c>
    </row>
    <row r="35" spans="1:9" x14ac:dyDescent="0.25">
      <c r="A35" s="23" t="s">
        <v>1724</v>
      </c>
      <c r="B35" s="23" t="s">
        <v>436</v>
      </c>
      <c r="C35" s="23" t="s">
        <v>1683</v>
      </c>
      <c r="D35" s="23" t="s">
        <v>438</v>
      </c>
      <c r="E35" s="23" t="s">
        <v>1707</v>
      </c>
      <c r="F35" s="167">
        <v>0.74</v>
      </c>
      <c r="G35" s="101">
        <v>68</v>
      </c>
      <c r="H35" s="104">
        <v>80</v>
      </c>
      <c r="I35" s="23" t="s">
        <v>1725</v>
      </c>
    </row>
    <row r="36" spans="1:9" x14ac:dyDescent="0.25">
      <c r="A36" s="23" t="s">
        <v>1726</v>
      </c>
      <c r="B36" s="23" t="s">
        <v>436</v>
      </c>
      <c r="C36" s="23" t="s">
        <v>1683</v>
      </c>
      <c r="D36" s="23" t="s">
        <v>438</v>
      </c>
      <c r="E36" s="23" t="s">
        <v>1267</v>
      </c>
      <c r="F36" s="167">
        <v>0.76</v>
      </c>
      <c r="G36" s="101">
        <v>68</v>
      </c>
      <c r="H36" s="104">
        <v>78</v>
      </c>
      <c r="I36" s="23" t="s">
        <v>1727</v>
      </c>
    </row>
    <row r="37" spans="1:9" x14ac:dyDescent="0.25">
      <c r="A37" s="23" t="s">
        <v>1728</v>
      </c>
      <c r="B37" s="23" t="s">
        <v>436</v>
      </c>
      <c r="C37" s="23" t="s">
        <v>1683</v>
      </c>
      <c r="D37" s="23" t="s">
        <v>447</v>
      </c>
      <c r="E37" s="23" t="s">
        <v>1269</v>
      </c>
      <c r="F37" s="167">
        <v>0.8</v>
      </c>
      <c r="G37" s="101">
        <v>65</v>
      </c>
      <c r="H37" s="104">
        <v>78</v>
      </c>
      <c r="I37" s="23" t="s">
        <v>1729</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1230</v>
      </c>
      <c r="B47" t="s">
        <v>436</v>
      </c>
      <c r="C47" t="s">
        <v>949</v>
      </c>
      <c r="D47" t="s">
        <v>438</v>
      </c>
      <c r="E47" t="s">
        <v>438</v>
      </c>
      <c r="F47" s="69">
        <v>0.75</v>
      </c>
      <c r="G47" s="101">
        <v>66</v>
      </c>
      <c r="H47" s="104">
        <v>72</v>
      </c>
      <c r="I47" t="s">
        <v>1238</v>
      </c>
    </row>
    <row r="48" spans="1:9" x14ac:dyDescent="0.25">
      <c r="A48" t="s">
        <v>1005</v>
      </c>
      <c r="B48" t="s">
        <v>436</v>
      </c>
      <c r="C48" t="s">
        <v>949</v>
      </c>
      <c r="D48" t="s">
        <v>438</v>
      </c>
      <c r="E48" t="s">
        <v>1229</v>
      </c>
      <c r="F48" s="69">
        <v>0.75</v>
      </c>
      <c r="G48" s="101">
        <v>66</v>
      </c>
      <c r="H48" s="104">
        <v>72</v>
      </c>
      <c r="I48" t="s">
        <v>1235</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1246</v>
      </c>
      <c r="F54" s="69">
        <v>0.76500000000000001</v>
      </c>
      <c r="G54" s="101">
        <v>65</v>
      </c>
      <c r="H54" s="104">
        <v>80</v>
      </c>
      <c r="I54" t="s">
        <v>1247</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1248</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1249</v>
      </c>
      <c r="F64" s="69">
        <v>0.77500000000000002</v>
      </c>
      <c r="G64" s="101">
        <v>65</v>
      </c>
      <c r="H64" s="104">
        <v>75</v>
      </c>
      <c r="I64" t="s">
        <v>1250</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1237</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1251</v>
      </c>
      <c r="B76" t="s">
        <v>436</v>
      </c>
      <c r="C76" t="s">
        <v>451</v>
      </c>
      <c r="D76" t="s">
        <v>447</v>
      </c>
      <c r="E76" t="s">
        <v>1252</v>
      </c>
      <c r="F76" s="69">
        <v>0.75</v>
      </c>
      <c r="G76" s="101">
        <v>68</v>
      </c>
      <c r="H76" s="104">
        <v>72</v>
      </c>
      <c r="I76" t="s">
        <v>1253</v>
      </c>
    </row>
    <row r="77" spans="1:9" x14ac:dyDescent="0.25">
      <c r="A77" t="s">
        <v>1040</v>
      </c>
      <c r="B77" t="s">
        <v>436</v>
      </c>
      <c r="C77" t="s">
        <v>437</v>
      </c>
      <c r="D77" t="s">
        <v>438</v>
      </c>
      <c r="E77" t="s">
        <v>1041</v>
      </c>
      <c r="F77" s="69">
        <v>0.71499999999999997</v>
      </c>
      <c r="G77" s="101">
        <v>68</v>
      </c>
      <c r="H77" s="104">
        <v>72</v>
      </c>
      <c r="I77" t="s">
        <v>1042</v>
      </c>
    </row>
    <row r="78" spans="1:9" x14ac:dyDescent="0.25">
      <c r="A78" t="s">
        <v>1254</v>
      </c>
      <c r="B78" t="s">
        <v>436</v>
      </c>
      <c r="C78" t="s">
        <v>451</v>
      </c>
      <c r="D78" t="s">
        <v>447</v>
      </c>
      <c r="E78" t="s">
        <v>1246</v>
      </c>
      <c r="F78" s="69">
        <v>0.76500000000000001</v>
      </c>
      <c r="G78" s="101">
        <v>70</v>
      </c>
      <c r="H78" s="104">
        <v>84</v>
      </c>
      <c r="I78" t="s">
        <v>1255</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1256</v>
      </c>
      <c r="F99" s="69">
        <v>0.755</v>
      </c>
      <c r="G99" s="101">
        <v>63</v>
      </c>
      <c r="H99" s="104">
        <v>72</v>
      </c>
      <c r="I99" t="s">
        <v>1257</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1240</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1258</v>
      </c>
      <c r="F110" s="69">
        <v>0.77</v>
      </c>
      <c r="G110" s="101">
        <v>65</v>
      </c>
      <c r="H110" s="104">
        <v>80</v>
      </c>
      <c r="I110" t="s">
        <v>1259</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1260</v>
      </c>
      <c r="B118" t="s">
        <v>436</v>
      </c>
      <c r="C118" t="s">
        <v>451</v>
      </c>
      <c r="D118" t="s">
        <v>447</v>
      </c>
      <c r="E118" t="s">
        <v>1229</v>
      </c>
      <c r="F118" s="69">
        <v>0.75</v>
      </c>
      <c r="G118" s="101">
        <v>60</v>
      </c>
      <c r="H118" s="104">
        <v>70</v>
      </c>
      <c r="I118" t="s">
        <v>1261</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1262</v>
      </c>
      <c r="F127" s="69">
        <v>0.7</v>
      </c>
      <c r="G127" s="101">
        <v>64</v>
      </c>
      <c r="H127" s="104">
        <v>72</v>
      </c>
      <c r="I127" t="s">
        <v>1263</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1252</v>
      </c>
      <c r="F130" s="69">
        <v>0.75</v>
      </c>
      <c r="G130" s="101">
        <v>46</v>
      </c>
      <c r="H130" s="104">
        <v>56</v>
      </c>
      <c r="I130" t="s">
        <v>1264</v>
      </c>
    </row>
    <row r="131" spans="1:9" x14ac:dyDescent="0.25">
      <c r="A131" s="23" t="s">
        <v>1739</v>
      </c>
      <c r="B131" s="23" t="s">
        <v>436</v>
      </c>
      <c r="C131" s="23" t="s">
        <v>1683</v>
      </c>
      <c r="D131" s="23" t="s">
        <v>447</v>
      </c>
      <c r="E131" s="23" t="s">
        <v>1740</v>
      </c>
      <c r="F131" s="167">
        <v>0.8</v>
      </c>
      <c r="G131" s="101">
        <v>68</v>
      </c>
      <c r="H131" s="104">
        <v>76</v>
      </c>
      <c r="I131" s="23" t="s">
        <v>1741</v>
      </c>
    </row>
    <row r="132" spans="1:9" x14ac:dyDescent="0.25">
      <c r="A132" t="s">
        <v>1265</v>
      </c>
      <c r="B132" t="s">
        <v>436</v>
      </c>
      <c r="C132" t="s">
        <v>451</v>
      </c>
      <c r="D132" t="s">
        <v>438</v>
      </c>
      <c r="E132" t="s">
        <v>1246</v>
      </c>
      <c r="F132" s="69">
        <v>0.76500000000000001</v>
      </c>
      <c r="G132" s="101">
        <v>70</v>
      </c>
      <c r="H132" s="104">
        <v>84</v>
      </c>
      <c r="I132" t="s">
        <v>1266</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1267</v>
      </c>
      <c r="F134" s="69">
        <v>0.76</v>
      </c>
      <c r="G134" s="101">
        <v>64</v>
      </c>
      <c r="H134" s="104">
        <v>80</v>
      </c>
      <c r="I134" t="s">
        <v>1268</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1269</v>
      </c>
      <c r="F139" s="69">
        <v>0.8</v>
      </c>
      <c r="G139" s="101">
        <v>65</v>
      </c>
      <c r="H139" s="104">
        <v>77</v>
      </c>
      <c r="I139" t="s">
        <v>1270</v>
      </c>
    </row>
    <row r="140" spans="1:9" x14ac:dyDescent="0.25">
      <c r="A140" s="23" t="s">
        <v>1709</v>
      </c>
      <c r="B140" s="23" t="s">
        <v>436</v>
      </c>
      <c r="C140" s="23" t="s">
        <v>1683</v>
      </c>
      <c r="D140" s="23" t="s">
        <v>447</v>
      </c>
      <c r="E140" s="23" t="s">
        <v>1252</v>
      </c>
      <c r="F140" s="167">
        <v>0.75</v>
      </c>
      <c r="G140" s="101">
        <v>63</v>
      </c>
      <c r="H140" s="104">
        <v>73</v>
      </c>
      <c r="I140" s="23" t="s">
        <v>1710</v>
      </c>
    </row>
    <row r="141" spans="1:9" x14ac:dyDescent="0.25">
      <c r="A141" s="23" t="s">
        <v>1711</v>
      </c>
      <c r="B141" s="23" t="s">
        <v>436</v>
      </c>
      <c r="C141" s="23" t="s">
        <v>1683</v>
      </c>
      <c r="D141" s="23" t="s">
        <v>447</v>
      </c>
      <c r="E141" s="23" t="s">
        <v>1252</v>
      </c>
      <c r="F141" s="167">
        <v>0.75</v>
      </c>
      <c r="G141" s="101">
        <v>56</v>
      </c>
      <c r="H141" s="104">
        <v>65</v>
      </c>
      <c r="I141" s="23" t="s">
        <v>1712</v>
      </c>
    </row>
    <row r="142" spans="1:9" x14ac:dyDescent="0.25">
      <c r="A142" s="23" t="s">
        <v>1713</v>
      </c>
      <c r="B142" s="23" t="s">
        <v>436</v>
      </c>
      <c r="C142" s="23" t="s">
        <v>1683</v>
      </c>
      <c r="D142" s="23" t="s">
        <v>438</v>
      </c>
      <c r="E142" s="23" t="s">
        <v>1252</v>
      </c>
      <c r="F142" s="167">
        <v>0.75</v>
      </c>
      <c r="G142" s="101">
        <v>60</v>
      </c>
      <c r="H142" s="104">
        <v>69</v>
      </c>
      <c r="I142" s="23" t="s">
        <v>1714</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1271</v>
      </c>
      <c r="B150" t="s">
        <v>436</v>
      </c>
      <c r="C150" t="s">
        <v>451</v>
      </c>
      <c r="D150" t="s">
        <v>438</v>
      </c>
      <c r="E150" t="s">
        <v>1272</v>
      </c>
      <c r="F150" s="69">
        <v>0.72</v>
      </c>
      <c r="G150" s="101">
        <v>48</v>
      </c>
      <c r="H150" s="104">
        <v>56</v>
      </c>
      <c r="I150" t="s">
        <v>1273</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1244</v>
      </c>
      <c r="B153" t="s">
        <v>436</v>
      </c>
      <c r="C153" t="s">
        <v>949</v>
      </c>
      <c r="D153" t="s">
        <v>445</v>
      </c>
      <c r="F153" s="69">
        <v>0.75</v>
      </c>
      <c r="G153" s="101">
        <v>46</v>
      </c>
      <c r="H153" s="104">
        <v>54</v>
      </c>
      <c r="I153" t="s">
        <v>1245</v>
      </c>
    </row>
    <row r="154" spans="1:9" x14ac:dyDescent="0.25">
      <c r="A154" t="s">
        <v>574</v>
      </c>
      <c r="B154" t="s">
        <v>436</v>
      </c>
      <c r="C154" t="s">
        <v>451</v>
      </c>
      <c r="D154" t="s">
        <v>447</v>
      </c>
      <c r="E154" t="s">
        <v>453</v>
      </c>
      <c r="F154" s="69">
        <v>0.75</v>
      </c>
      <c r="G154" s="101">
        <v>56</v>
      </c>
      <c r="H154" s="104">
        <v>70</v>
      </c>
      <c r="I154" t="s">
        <v>575</v>
      </c>
    </row>
    <row r="155" spans="1:9" x14ac:dyDescent="0.25">
      <c r="A155" t="s">
        <v>1274</v>
      </c>
      <c r="B155" t="s">
        <v>436</v>
      </c>
      <c r="C155" t="s">
        <v>451</v>
      </c>
      <c r="D155" t="s">
        <v>447</v>
      </c>
      <c r="E155" t="s">
        <v>1252</v>
      </c>
      <c r="F155" s="69">
        <v>0.75</v>
      </c>
      <c r="G155" s="101">
        <v>56</v>
      </c>
      <c r="H155" s="104">
        <v>70</v>
      </c>
      <c r="I155" t="s">
        <v>1275</v>
      </c>
    </row>
    <row r="156" spans="1:9" x14ac:dyDescent="0.25">
      <c r="A156" t="s">
        <v>1158</v>
      </c>
      <c r="B156" t="s">
        <v>436</v>
      </c>
      <c r="C156" t="s">
        <v>949</v>
      </c>
      <c r="D156" t="s">
        <v>445</v>
      </c>
      <c r="E156" t="s">
        <v>438</v>
      </c>
      <c r="F156" s="69">
        <v>0.76500000000000001</v>
      </c>
      <c r="G156" s="101">
        <v>58</v>
      </c>
      <c r="H156" s="104">
        <v>66</v>
      </c>
      <c r="I156" t="s">
        <v>1241</v>
      </c>
    </row>
    <row r="157" spans="1:9" x14ac:dyDescent="0.25">
      <c r="A157" s="23" t="s">
        <v>1730</v>
      </c>
      <c r="B157" s="23" t="s">
        <v>436</v>
      </c>
      <c r="C157" s="23" t="s">
        <v>1683</v>
      </c>
      <c r="D157" s="23" t="s">
        <v>441</v>
      </c>
      <c r="E157" s="23" t="s">
        <v>1731</v>
      </c>
      <c r="F157" s="167">
        <v>0.73</v>
      </c>
      <c r="G157" s="101">
        <v>55</v>
      </c>
      <c r="H157" s="104">
        <v>65</v>
      </c>
      <c r="I157" s="23" t="s">
        <v>1732</v>
      </c>
    </row>
    <row r="158" spans="1:9" x14ac:dyDescent="0.25">
      <c r="A158" s="23" t="s">
        <v>1733</v>
      </c>
      <c r="B158" s="23" t="s">
        <v>436</v>
      </c>
      <c r="C158" s="23" t="s">
        <v>1683</v>
      </c>
      <c r="D158" s="23" t="s">
        <v>452</v>
      </c>
      <c r="E158" s="23" t="s">
        <v>1252</v>
      </c>
      <c r="F158" s="167">
        <v>0.75</v>
      </c>
      <c r="G158" s="101">
        <v>46</v>
      </c>
      <c r="H158" s="104">
        <v>56</v>
      </c>
      <c r="I158" s="23" t="s">
        <v>1734</v>
      </c>
    </row>
    <row r="159" spans="1:9" x14ac:dyDescent="0.25">
      <c r="A159" s="23" t="s">
        <v>1735</v>
      </c>
      <c r="B159" s="23" t="s">
        <v>436</v>
      </c>
      <c r="C159" s="23" t="s">
        <v>1683</v>
      </c>
      <c r="D159" s="23" t="s">
        <v>438</v>
      </c>
      <c r="E159" s="23" t="s">
        <v>1272</v>
      </c>
      <c r="F159" s="167">
        <v>0.72</v>
      </c>
      <c r="G159" s="101">
        <v>50</v>
      </c>
      <c r="H159" s="104">
        <v>60</v>
      </c>
      <c r="I159" s="23" t="s">
        <v>1736</v>
      </c>
    </row>
    <row r="160" spans="1:9" x14ac:dyDescent="0.25">
      <c r="A160" s="23" t="s">
        <v>1737</v>
      </c>
      <c r="B160" s="23" t="s">
        <v>436</v>
      </c>
      <c r="C160" s="23" t="s">
        <v>1683</v>
      </c>
      <c r="D160" s="23" t="s">
        <v>438</v>
      </c>
      <c r="E160" s="23" t="s">
        <v>1731</v>
      </c>
      <c r="F160" s="167">
        <v>0.73</v>
      </c>
      <c r="G160" s="101">
        <v>52</v>
      </c>
      <c r="H160" s="104">
        <v>58</v>
      </c>
      <c r="I160" s="23" t="s">
        <v>1738</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1276</v>
      </c>
      <c r="F162" s="69">
        <v>0.73</v>
      </c>
      <c r="G162" s="101">
        <v>64</v>
      </c>
      <c r="H162" s="104">
        <v>75</v>
      </c>
      <c r="I162" t="s">
        <v>1277</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59">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1278</v>
      </c>
      <c r="F173" s="69">
        <v>0.73</v>
      </c>
      <c r="G173" s="101">
        <v>52</v>
      </c>
      <c r="H173" s="104">
        <v>62</v>
      </c>
      <c r="I173" t="s">
        <v>1090</v>
      </c>
    </row>
    <row r="174" spans="1:9" x14ac:dyDescent="0.25">
      <c r="A174" s="23" t="s">
        <v>1315</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1276</v>
      </c>
      <c r="F179" s="69">
        <v>0.73</v>
      </c>
      <c r="G179" s="101">
        <v>52</v>
      </c>
      <c r="H179" s="104">
        <v>58</v>
      </c>
      <c r="I179" t="s">
        <v>1279</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1236</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1272</v>
      </c>
      <c r="F197" s="69">
        <v>0.72</v>
      </c>
      <c r="G197" s="101">
        <v>48</v>
      </c>
      <c r="H197" s="104">
        <v>56</v>
      </c>
      <c r="I197" t="s">
        <v>1280</v>
      </c>
    </row>
    <row r="198" spans="1:9" x14ac:dyDescent="0.25">
      <c r="A198" t="s">
        <v>1074</v>
      </c>
      <c r="B198" t="s">
        <v>436</v>
      </c>
      <c r="C198" t="s">
        <v>451</v>
      </c>
      <c r="D198" t="s">
        <v>150</v>
      </c>
      <c r="E198" t="s">
        <v>1281</v>
      </c>
      <c r="F198" s="69">
        <v>0.8</v>
      </c>
      <c r="G198" s="101">
        <v>65</v>
      </c>
      <c r="H198" s="104">
        <v>85</v>
      </c>
      <c r="I198" t="s">
        <v>1282</v>
      </c>
    </row>
    <row r="199" spans="1:9" ht="26.4" x14ac:dyDescent="0.25">
      <c r="A199" t="s">
        <v>1292</v>
      </c>
      <c r="B199" t="s">
        <v>511</v>
      </c>
      <c r="C199" t="s">
        <v>554</v>
      </c>
      <c r="E199" s="55"/>
      <c r="F199" s="69">
        <v>0.9</v>
      </c>
      <c r="G199" s="101">
        <v>64.400000000000006</v>
      </c>
      <c r="H199" s="104">
        <v>82.4</v>
      </c>
      <c r="I199" s="100" t="s">
        <v>1293</v>
      </c>
    </row>
    <row r="200" spans="1:9" ht="26.4" x14ac:dyDescent="0.25">
      <c r="A200" t="s">
        <v>1308</v>
      </c>
      <c r="B200" t="s">
        <v>511</v>
      </c>
      <c r="C200" t="s">
        <v>554</v>
      </c>
      <c r="E200" s="55"/>
      <c r="F200" s="69">
        <v>0.82</v>
      </c>
      <c r="G200" s="101">
        <v>59</v>
      </c>
      <c r="H200" s="104">
        <v>68</v>
      </c>
      <c r="I200" s="100" t="s">
        <v>1309</v>
      </c>
    </row>
    <row r="201" spans="1:9" ht="39.6" x14ac:dyDescent="0.25">
      <c r="A201" t="s">
        <v>1306</v>
      </c>
      <c r="B201" t="s">
        <v>511</v>
      </c>
      <c r="C201" t="s">
        <v>554</v>
      </c>
      <c r="E201" s="55"/>
      <c r="F201" s="69"/>
      <c r="G201" s="101">
        <v>59</v>
      </c>
      <c r="H201" s="104">
        <v>77</v>
      </c>
      <c r="I201" s="100" t="s">
        <v>1307</v>
      </c>
    </row>
    <row r="202" spans="1:9" ht="26.4" x14ac:dyDescent="0.25">
      <c r="A202" t="s">
        <v>1304</v>
      </c>
      <c r="B202" t="s">
        <v>511</v>
      </c>
      <c r="C202" t="s">
        <v>554</v>
      </c>
      <c r="E202" s="55"/>
      <c r="F202" s="69">
        <v>0.81</v>
      </c>
      <c r="G202" s="101">
        <v>59</v>
      </c>
      <c r="H202" s="104">
        <v>68</v>
      </c>
      <c r="I202" s="100" t="s">
        <v>1305</v>
      </c>
    </row>
    <row r="203" spans="1:9" ht="39.6" x14ac:dyDescent="0.25">
      <c r="A203" t="s">
        <v>1294</v>
      </c>
      <c r="B203" t="s">
        <v>511</v>
      </c>
      <c r="C203" t="s">
        <v>554</v>
      </c>
      <c r="E203" s="55"/>
      <c r="F203" s="69">
        <v>0.79</v>
      </c>
      <c r="G203" s="101">
        <v>59</v>
      </c>
      <c r="H203" s="104">
        <v>68</v>
      </c>
      <c r="I203" s="100" t="s">
        <v>1295</v>
      </c>
    </row>
    <row r="204" spans="1:9" ht="39.6" x14ac:dyDescent="0.25">
      <c r="A204" t="s">
        <v>1299</v>
      </c>
      <c r="B204" t="s">
        <v>511</v>
      </c>
      <c r="C204" t="s">
        <v>554</v>
      </c>
      <c r="E204" s="55"/>
      <c r="F204" s="69">
        <v>0.75</v>
      </c>
      <c r="G204" s="101">
        <v>59</v>
      </c>
      <c r="H204" s="104">
        <v>68</v>
      </c>
      <c r="I204" s="100" t="s">
        <v>1300</v>
      </c>
    </row>
    <row r="205" spans="1:9" ht="26.4" x14ac:dyDescent="0.25">
      <c r="A205" t="s">
        <v>1297</v>
      </c>
      <c r="B205" t="s">
        <v>511</v>
      </c>
      <c r="C205" t="s">
        <v>554</v>
      </c>
      <c r="E205" s="55"/>
      <c r="F205" s="69">
        <v>0.75</v>
      </c>
      <c r="G205" s="101">
        <v>59</v>
      </c>
      <c r="H205" s="104">
        <v>68</v>
      </c>
      <c r="I205" s="100" t="s">
        <v>1298</v>
      </c>
    </row>
    <row r="206" spans="1:9" ht="26.4" x14ac:dyDescent="0.25">
      <c r="A206" t="s">
        <v>1296</v>
      </c>
      <c r="B206" t="s">
        <v>511</v>
      </c>
      <c r="C206" t="s">
        <v>554</v>
      </c>
      <c r="D206" t="s">
        <v>438</v>
      </c>
      <c r="E206" t="s">
        <v>445</v>
      </c>
      <c r="F206" s="69">
        <v>0.81</v>
      </c>
      <c r="G206" s="101">
        <v>64</v>
      </c>
      <c r="H206" s="104">
        <v>82</v>
      </c>
      <c r="I206" s="100" t="s">
        <v>1291</v>
      </c>
    </row>
    <row r="207" spans="1:9" x14ac:dyDescent="0.25">
      <c r="A207" t="s">
        <v>1166</v>
      </c>
      <c r="B207" t="s">
        <v>511</v>
      </c>
      <c r="C207" t="s">
        <v>554</v>
      </c>
      <c r="D207" t="s">
        <v>445</v>
      </c>
      <c r="E207" t="s">
        <v>445</v>
      </c>
      <c r="F207" s="69">
        <v>0.86</v>
      </c>
      <c r="G207" s="101">
        <v>64</v>
      </c>
      <c r="H207" s="104">
        <v>75</v>
      </c>
      <c r="I207" t="s">
        <v>1167</v>
      </c>
    </row>
    <row r="208" spans="1:9" ht="26.4" x14ac:dyDescent="0.25">
      <c r="A208" t="s">
        <v>1310</v>
      </c>
      <c r="B208" t="s">
        <v>511</v>
      </c>
      <c r="C208" t="s">
        <v>554</v>
      </c>
      <c r="E208" s="55"/>
      <c r="F208" s="69">
        <v>0.84</v>
      </c>
      <c r="G208" s="101">
        <v>53.6</v>
      </c>
      <c r="H208" s="104">
        <v>59</v>
      </c>
      <c r="I208" s="100" t="s">
        <v>1311</v>
      </c>
    </row>
    <row r="209" spans="1:9" x14ac:dyDescent="0.25">
      <c r="A209" t="s">
        <v>1303</v>
      </c>
      <c r="B209" t="s">
        <v>511</v>
      </c>
      <c r="C209" t="s">
        <v>554</v>
      </c>
      <c r="D209" t="s">
        <v>441</v>
      </c>
      <c r="E209" s="55">
        <v>0.8</v>
      </c>
      <c r="F209" s="69">
        <v>0.8</v>
      </c>
      <c r="G209" s="101">
        <v>48</v>
      </c>
      <c r="H209" s="104">
        <v>59</v>
      </c>
      <c r="I209" t="s">
        <v>1145</v>
      </c>
    </row>
    <row r="210" spans="1:9" x14ac:dyDescent="0.25">
      <c r="A210" t="s">
        <v>1302</v>
      </c>
      <c r="B210" t="s">
        <v>511</v>
      </c>
      <c r="C210" t="s">
        <v>554</v>
      </c>
      <c r="D210" t="s">
        <v>445</v>
      </c>
      <c r="E210" t="s">
        <v>445</v>
      </c>
      <c r="F210" s="69">
        <v>0.83</v>
      </c>
      <c r="G210" s="101">
        <v>54</v>
      </c>
      <c r="H210" s="104">
        <v>59</v>
      </c>
      <c r="I210" t="s">
        <v>989</v>
      </c>
    </row>
    <row r="211" spans="1:9" x14ac:dyDescent="0.25">
      <c r="A211" t="s">
        <v>1233</v>
      </c>
      <c r="B211" t="s">
        <v>436</v>
      </c>
      <c r="C211" t="s">
        <v>949</v>
      </c>
      <c r="D211" t="s">
        <v>438</v>
      </c>
      <c r="E211" t="s">
        <v>438</v>
      </c>
      <c r="F211" s="69">
        <v>0.8</v>
      </c>
      <c r="G211" s="101">
        <v>75</v>
      </c>
      <c r="H211" s="104">
        <v>85</v>
      </c>
      <c r="I211" t="s">
        <v>1234</v>
      </c>
    </row>
    <row r="212" spans="1:9" x14ac:dyDescent="0.25">
      <c r="A212" t="s">
        <v>1231</v>
      </c>
      <c r="B212" t="s">
        <v>436</v>
      </c>
      <c r="C212" t="s">
        <v>949</v>
      </c>
      <c r="D212" t="s">
        <v>438</v>
      </c>
      <c r="E212" t="s">
        <v>438</v>
      </c>
      <c r="F212" s="69">
        <v>0.77</v>
      </c>
      <c r="G212" s="101">
        <v>75</v>
      </c>
      <c r="H212" s="104">
        <v>82</v>
      </c>
      <c r="I212" t="s">
        <v>1239</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1228</v>
      </c>
      <c r="F217" s="69">
        <v>0.78500000000000003</v>
      </c>
      <c r="G217" s="101">
        <v>60</v>
      </c>
      <c r="H217" s="104">
        <v>68</v>
      </c>
      <c r="I217" t="s">
        <v>1232</v>
      </c>
    </row>
    <row r="218" spans="1:9" x14ac:dyDescent="0.25">
      <c r="A218" t="s">
        <v>1242</v>
      </c>
      <c r="B218" t="s">
        <v>436</v>
      </c>
      <c r="C218" t="s">
        <v>949</v>
      </c>
      <c r="F218" s="69">
        <v>0.75</v>
      </c>
      <c r="G218" s="101">
        <v>62</v>
      </c>
      <c r="H218" s="104">
        <v>68</v>
      </c>
      <c r="I218" t="s">
        <v>1243</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1272</v>
      </c>
      <c r="F220" s="69">
        <v>0.72</v>
      </c>
      <c r="G220" s="101">
        <v>50</v>
      </c>
      <c r="H220" s="104">
        <v>58</v>
      </c>
      <c r="I220" t="s">
        <v>1283</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1284</v>
      </c>
      <c r="F224" s="69">
        <v>0.75</v>
      </c>
      <c r="G224" s="101">
        <v>60</v>
      </c>
      <c r="H224" s="104">
        <v>70</v>
      </c>
      <c r="I224" t="s">
        <v>1285</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1286</v>
      </c>
      <c r="B230" t="s">
        <v>436</v>
      </c>
      <c r="C230" t="s">
        <v>451</v>
      </c>
      <c r="D230" t="s">
        <v>438</v>
      </c>
      <c r="E230" t="s">
        <v>1287</v>
      </c>
      <c r="F230" s="69">
        <v>0.77500000000000002</v>
      </c>
      <c r="G230" s="101">
        <v>68</v>
      </c>
      <c r="H230" s="104">
        <v>85</v>
      </c>
      <c r="I230" t="s">
        <v>1288</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1742</v>
      </c>
      <c r="B233" s="23" t="s">
        <v>436</v>
      </c>
      <c r="C233" s="23" t="s">
        <v>1683</v>
      </c>
      <c r="D233" s="23" t="s">
        <v>447</v>
      </c>
      <c r="E233" s="23" t="s">
        <v>1287</v>
      </c>
      <c r="F233" s="167">
        <v>0.77500000000000002</v>
      </c>
      <c r="G233" s="101">
        <v>64</v>
      </c>
      <c r="H233" s="104">
        <v>74</v>
      </c>
      <c r="I233" s="23" t="s">
        <v>1743</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1289</v>
      </c>
      <c r="F235" s="69">
        <v>0.69</v>
      </c>
      <c r="G235" s="101">
        <v>64</v>
      </c>
      <c r="H235" s="104">
        <v>72</v>
      </c>
      <c r="I235" t="s">
        <v>1290</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E6" sqref="E6"/>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92" t="s">
        <v>1764</v>
      </c>
      <c r="B1" s="892"/>
      <c r="C1" s="892"/>
      <c r="F1" s="187" t="s">
        <v>100</v>
      </c>
      <c r="G1" s="565" t="s">
        <v>1765</v>
      </c>
    </row>
    <row r="2" spans="1:7" ht="14.4" x14ac:dyDescent="0.3">
      <c r="A2" s="1" t="s">
        <v>1766</v>
      </c>
      <c r="B2" s="566">
        <v>14.74</v>
      </c>
      <c r="C2" s="186" t="s">
        <v>1767</v>
      </c>
      <c r="E2" s="892" t="s">
        <v>1768</v>
      </c>
      <c r="F2" s="892"/>
      <c r="G2" s="892"/>
    </row>
    <row r="3" spans="1:7" x14ac:dyDescent="0.25">
      <c r="A3" s="1" t="s">
        <v>1340</v>
      </c>
      <c r="B3" s="610">
        <f>1+(B2/(258.6-((B2/258.2)*227.1) ) )</f>
        <v>1.0600076319236915</v>
      </c>
      <c r="C3" s="186"/>
      <c r="D3" s="185"/>
      <c r="E3" s="1" t="s">
        <v>1769</v>
      </c>
      <c r="F3" s="566">
        <v>60</v>
      </c>
      <c r="G3" s="186" t="str">
        <f>IF($G$1="Fahrenheit","°F","°C")</f>
        <v>°F</v>
      </c>
    </row>
    <row r="4" spans="1:7" x14ac:dyDescent="0.25">
      <c r="A4" s="1" t="s">
        <v>1770</v>
      </c>
      <c r="B4" s="566">
        <v>204</v>
      </c>
      <c r="C4" s="186" t="s">
        <v>1771</v>
      </c>
      <c r="D4" s="185"/>
      <c r="E4" s="1" t="s">
        <v>1774</v>
      </c>
      <c r="F4" s="566">
        <v>61</v>
      </c>
      <c r="G4" s="186" t="str">
        <f>IF($G$1="Fahrenheit","°F","°C")</f>
        <v>°F</v>
      </c>
    </row>
    <row r="5" spans="1:7" x14ac:dyDescent="0.25">
      <c r="A5" s="1" t="s">
        <v>1773</v>
      </c>
      <c r="B5" s="611">
        <f>B4*B2/100</f>
        <v>30.069600000000001</v>
      </c>
      <c r="C5" s="186" t="s">
        <v>1771</v>
      </c>
      <c r="D5" s="185"/>
      <c r="E5" s="1" t="s">
        <v>1772</v>
      </c>
      <c r="F5" s="567">
        <v>1.0580000000000001</v>
      </c>
    </row>
    <row r="6" spans="1:7" x14ac:dyDescent="0.25">
      <c r="A6" s="1" t="s">
        <v>1775</v>
      </c>
      <c r="B6" s="611">
        <f>B4-B5</f>
        <v>173.93039999999999</v>
      </c>
      <c r="C6" s="186" t="s">
        <v>1771</v>
      </c>
      <c r="D6" s="185"/>
      <c r="E6" s="1" t="s">
        <v>1776</v>
      </c>
      <c r="F6" s="612">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185"/>
    </row>
    <row r="8" spans="1:7" x14ac:dyDescent="0.25">
      <c r="A8" s="893" t="s">
        <v>1778</v>
      </c>
      <c r="B8" s="893"/>
      <c r="C8" s="893"/>
      <c r="G8" s="185"/>
    </row>
    <row r="9" spans="1:7" x14ac:dyDescent="0.25">
      <c r="A9" s="1" t="s">
        <v>1777</v>
      </c>
      <c r="B9" s="566">
        <v>14.74</v>
      </c>
      <c r="C9" s="186"/>
    </row>
    <row r="10" spans="1:7" x14ac:dyDescent="0.25">
      <c r="A10" s="1" t="s">
        <v>1340</v>
      </c>
      <c r="B10" s="610">
        <f>(B9/(258.6-((B9/258.2)*227.1))) + 1</f>
        <v>1.0600076319236915</v>
      </c>
      <c r="C10" s="186"/>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N21" sqref="N21"/>
    </sheetView>
  </sheetViews>
  <sheetFormatPr defaultRowHeight="14.4" x14ac:dyDescent="0.3"/>
  <cols>
    <col min="1" max="1" width="33.44140625" style="548" bestFit="1" customWidth="1"/>
    <col min="2" max="2" width="5.109375" style="548" customWidth="1"/>
    <col min="3" max="3" width="12" style="548" customWidth="1"/>
    <col min="4" max="4" width="7.6640625" style="548" bestFit="1" customWidth="1"/>
    <col min="5" max="5" width="9.44140625" style="548" customWidth="1"/>
    <col min="6" max="6" width="7.33203125" style="548" bestFit="1" customWidth="1"/>
    <col min="7" max="7" width="8.88671875" style="548"/>
    <col min="8" max="8" width="12" style="548" bestFit="1" customWidth="1"/>
    <col min="9" max="16384" width="8.88671875" style="548"/>
  </cols>
  <sheetData>
    <row r="1" spans="1:6" x14ac:dyDescent="0.3">
      <c r="C1" s="549" t="s">
        <v>1959</v>
      </c>
    </row>
    <row r="2" spans="1:6" ht="16.2" x14ac:dyDescent="0.3">
      <c r="A2" s="548" t="s">
        <v>1960</v>
      </c>
      <c r="B2" s="548" t="s">
        <v>1961</v>
      </c>
      <c r="C2" s="550">
        <v>12</v>
      </c>
      <c r="D2" s="548" t="s">
        <v>1962</v>
      </c>
      <c r="E2" s="551">
        <f>C2*144</f>
        <v>1728</v>
      </c>
      <c r="F2" s="548" t="s">
        <v>1963</v>
      </c>
    </row>
    <row r="3" spans="1:6" x14ac:dyDescent="0.3">
      <c r="A3" s="548" t="s">
        <v>1964</v>
      </c>
      <c r="B3" s="548" t="s">
        <v>1965</v>
      </c>
      <c r="C3" s="552">
        <v>1.01</v>
      </c>
    </row>
    <row r="4" spans="1:6" ht="15.6" x14ac:dyDescent="0.35">
      <c r="A4" s="548" t="s">
        <v>1966</v>
      </c>
      <c r="B4" s="548" t="s">
        <v>1967</v>
      </c>
      <c r="C4" s="553">
        <f>31/12</f>
        <v>2.5833333333333335</v>
      </c>
      <c r="D4" s="548">
        <v>22</v>
      </c>
    </row>
    <row r="5" spans="1:6" x14ac:dyDescent="0.3">
      <c r="A5" s="548" t="s">
        <v>1968</v>
      </c>
      <c r="B5" s="548" t="s">
        <v>511</v>
      </c>
      <c r="C5" s="550">
        <v>0.1875</v>
      </c>
      <c r="D5" s="548" t="s">
        <v>1969</v>
      </c>
      <c r="E5" s="551">
        <f>C5/12</f>
        <v>1.5625E-2</v>
      </c>
      <c r="F5" s="548" t="s">
        <v>1970</v>
      </c>
    </row>
    <row r="6" spans="1:6" x14ac:dyDescent="0.3">
      <c r="A6" s="548" t="s">
        <v>1971</v>
      </c>
      <c r="B6" s="548" t="s">
        <v>1972</v>
      </c>
      <c r="C6" s="554">
        <f>0.0015/25.4*1/12</f>
        <v>4.9212598425196856E-6</v>
      </c>
      <c r="D6" s="548" t="s">
        <v>1970</v>
      </c>
    </row>
    <row r="7" spans="1:6" x14ac:dyDescent="0.3">
      <c r="A7" s="548" t="s">
        <v>1973</v>
      </c>
      <c r="C7" s="550">
        <v>10</v>
      </c>
      <c r="D7" s="548" t="s">
        <v>1974</v>
      </c>
    </row>
    <row r="8" spans="1:6" x14ac:dyDescent="0.3">
      <c r="C8" s="555"/>
    </row>
    <row r="9" spans="1:6" x14ac:dyDescent="0.3">
      <c r="C9" s="556" t="s">
        <v>1975</v>
      </c>
    </row>
    <row r="10" spans="1:6" ht="16.8" x14ac:dyDescent="0.35">
      <c r="A10" s="548" t="s">
        <v>1976</v>
      </c>
      <c r="B10" s="557" t="s">
        <v>1977</v>
      </c>
      <c r="C10" s="558">
        <v>1.94</v>
      </c>
      <c r="D10" s="548" t="s">
        <v>1978</v>
      </c>
      <c r="E10" s="551">
        <f>C10*32.174049</f>
        <v>62.417655059999994</v>
      </c>
      <c r="F10" s="548" t="s">
        <v>1979</v>
      </c>
    </row>
    <row r="11" spans="1:6" ht="16.2" x14ac:dyDescent="0.3">
      <c r="A11" s="548" t="s">
        <v>1980</v>
      </c>
      <c r="B11" s="557" t="s">
        <v>1771</v>
      </c>
      <c r="C11" s="558">
        <f>C3*E10</f>
        <v>63.041831610599992</v>
      </c>
      <c r="D11" s="548" t="s">
        <v>1981</v>
      </c>
    </row>
    <row r="12" spans="1:6" ht="16.2" x14ac:dyDescent="0.3">
      <c r="A12" s="548" t="s">
        <v>1982</v>
      </c>
      <c r="B12" s="548" t="s">
        <v>1983</v>
      </c>
      <c r="C12" s="558">
        <f>PI()*(E5/2)^2</f>
        <v>1.9174759848570515E-4</v>
      </c>
      <c r="D12" s="548" t="s">
        <v>1984</v>
      </c>
    </row>
    <row r="13" spans="1:6" ht="16.2" x14ac:dyDescent="0.3">
      <c r="A13" s="548" t="s">
        <v>1985</v>
      </c>
      <c r="B13" s="548" t="s">
        <v>1986</v>
      </c>
      <c r="C13" s="558">
        <f>0.016710069444/C7</f>
        <v>1.6710069444000001E-3</v>
      </c>
      <c r="D13" s="548" t="s">
        <v>1987</v>
      </c>
    </row>
    <row r="14" spans="1:6" x14ac:dyDescent="0.3">
      <c r="A14" s="548" t="s">
        <v>1988</v>
      </c>
      <c r="B14" s="548" t="s">
        <v>1989</v>
      </c>
      <c r="C14" s="558">
        <f>C13/C12</f>
        <v>8.7146173281777735</v>
      </c>
      <c r="D14" s="548" t="s">
        <v>1990</v>
      </c>
    </row>
    <row r="15" spans="1:6" ht="16.8" x14ac:dyDescent="0.35">
      <c r="A15" s="548" t="s">
        <v>1991</v>
      </c>
      <c r="B15" s="548" t="s">
        <v>1992</v>
      </c>
      <c r="C15" s="558">
        <f>0.00003228*C3</f>
        <v>3.2602800000000006E-5</v>
      </c>
      <c r="D15" s="548" t="s">
        <v>1993</v>
      </c>
    </row>
    <row r="16" spans="1:6" ht="16.2" x14ac:dyDescent="0.3">
      <c r="A16" s="548" t="s">
        <v>1994</v>
      </c>
      <c r="B16" s="557" t="s">
        <v>1995</v>
      </c>
      <c r="C16" s="558">
        <f>C15/C10</f>
        <v>1.6805567010309282E-5</v>
      </c>
      <c r="D16" s="548" t="s">
        <v>1996</v>
      </c>
    </row>
    <row r="17" spans="1:4" x14ac:dyDescent="0.3">
      <c r="A17" s="548" t="s">
        <v>1997</v>
      </c>
      <c r="B17" s="548" t="s">
        <v>1998</v>
      </c>
      <c r="C17" s="558">
        <f>(C13*E5)/(C16*C12)</f>
        <v>8102.4279436241259</v>
      </c>
    </row>
    <row r="18" spans="1:4" x14ac:dyDescent="0.3">
      <c r="A18" s="548" t="s">
        <v>1999</v>
      </c>
      <c r="B18" s="548" t="s">
        <v>2000</v>
      </c>
      <c r="C18" s="558">
        <f>0.25*(LOG10(C6/(3.7*C5)+5.74/C17^0.9))^-2</f>
        <v>3.2888353186781065E-2</v>
      </c>
    </row>
    <row r="19" spans="1:4" ht="15" thickBot="1" x14ac:dyDescent="0.35"/>
    <row r="20" spans="1:4" ht="15.6" thickTop="1" thickBot="1" x14ac:dyDescent="0.35">
      <c r="A20" s="556" t="s">
        <v>2001</v>
      </c>
      <c r="B20" s="559" t="s">
        <v>2002</v>
      </c>
      <c r="C20" s="560">
        <f>(E2/C11-C4)*E5/C18*2*32.2/C14^2</f>
        <v>10.002119249741197</v>
      </c>
      <c r="D20" s="561" t="s">
        <v>1970</v>
      </c>
    </row>
    <row r="21" spans="1:4" ht="15" thickTop="1" x14ac:dyDescent="0.3"/>
    <row r="22" spans="1:4" x14ac:dyDescent="0.3">
      <c r="A22" s="548" t="s">
        <v>2003</v>
      </c>
    </row>
    <row r="23" spans="1:4" x14ac:dyDescent="0.3">
      <c r="A23" s="548" t="s">
        <v>2004</v>
      </c>
    </row>
    <row r="24" spans="1:4" x14ac:dyDescent="0.3">
      <c r="A24" s="548" t="s">
        <v>2005</v>
      </c>
    </row>
    <row r="25" spans="1:4" x14ac:dyDescent="0.3">
      <c r="A25" s="548" t="s">
        <v>2006</v>
      </c>
    </row>
    <row r="26" spans="1:4" x14ac:dyDescent="0.3">
      <c r="A26" s="548" t="s">
        <v>2007</v>
      </c>
    </row>
    <row r="27" spans="1:4" x14ac:dyDescent="0.3">
      <c r="A27" s="548" t="s">
        <v>2008</v>
      </c>
    </row>
    <row r="29" spans="1:4" x14ac:dyDescent="0.3">
      <c r="A29" s="548" t="s">
        <v>2009</v>
      </c>
    </row>
    <row r="30" spans="1:4" x14ac:dyDescent="0.3">
      <c r="A30" s="562" t="s">
        <v>2010</v>
      </c>
    </row>
    <row r="34" spans="7:9" x14ac:dyDescent="0.3">
      <c r="G34" s="563"/>
      <c r="H34" s="564"/>
      <c r="I34" s="564"/>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94" t="s">
        <v>64</v>
      </c>
      <c r="B1" s="895"/>
      <c r="C1" s="895"/>
      <c r="E1" s="894" t="s">
        <v>61</v>
      </c>
      <c r="F1" s="895"/>
      <c r="G1" s="895"/>
      <c r="I1" s="894" t="s">
        <v>1757</v>
      </c>
      <c r="J1" s="895"/>
      <c r="K1" s="895"/>
      <c r="O1" s="894" t="s">
        <v>37</v>
      </c>
      <c r="P1" s="895"/>
      <c r="Q1" s="895"/>
      <c r="R1" s="896"/>
      <c r="T1" s="894" t="s">
        <v>28</v>
      </c>
      <c r="U1" s="895"/>
      <c r="V1" s="895"/>
    </row>
    <row r="2" spans="1:22" ht="15.6" x14ac:dyDescent="0.35">
      <c r="A2" s="5" t="s">
        <v>38</v>
      </c>
      <c r="B2" s="75">
        <v>0.88</v>
      </c>
      <c r="C2" s="2" t="s">
        <v>15</v>
      </c>
      <c r="E2" s="5" t="s">
        <v>53</v>
      </c>
      <c r="F2" s="75">
        <v>1.73</v>
      </c>
      <c r="G2" s="172" t="s">
        <v>55</v>
      </c>
      <c r="I2" s="5" t="s">
        <v>53</v>
      </c>
      <c r="J2" s="75">
        <v>1.73</v>
      </c>
      <c r="K2" s="172" t="s">
        <v>55</v>
      </c>
      <c r="O2" s="893" t="s">
        <v>19</v>
      </c>
      <c r="P2" s="893"/>
      <c r="Q2" s="906" t="s">
        <v>46</v>
      </c>
      <c r="R2" s="905" t="s">
        <v>65</v>
      </c>
      <c r="T2" s="893" t="s">
        <v>21</v>
      </c>
      <c r="U2" s="901" t="s">
        <v>45</v>
      </c>
      <c r="V2" s="905" t="s">
        <v>35</v>
      </c>
    </row>
    <row r="3" spans="1:22" ht="15.6" x14ac:dyDescent="0.35">
      <c r="A3" s="5" t="s">
        <v>36</v>
      </c>
      <c r="B3" s="75">
        <v>3.6</v>
      </c>
      <c r="C3" s="2" t="s">
        <v>15</v>
      </c>
      <c r="E3" s="5" t="s">
        <v>54</v>
      </c>
      <c r="F3" s="75">
        <v>6.5</v>
      </c>
      <c r="G3" s="172" t="s">
        <v>55</v>
      </c>
      <c r="I3" s="5" t="s">
        <v>54</v>
      </c>
      <c r="J3" s="75">
        <v>6.5</v>
      </c>
      <c r="K3" s="172" t="s">
        <v>55</v>
      </c>
      <c r="O3" s="2" t="s">
        <v>18</v>
      </c>
      <c r="P3" s="2" t="s">
        <v>20</v>
      </c>
      <c r="Q3" s="907"/>
      <c r="R3" s="905"/>
      <c r="T3" s="893"/>
      <c r="U3" s="904"/>
      <c r="V3" s="905"/>
    </row>
    <row r="4" spans="1:22" ht="30" customHeight="1" x14ac:dyDescent="0.25">
      <c r="A4" s="173" t="s">
        <v>1754</v>
      </c>
      <c r="B4" s="174">
        <f>'Recipe Sheet'!AE50</f>
        <v>0</v>
      </c>
      <c r="C4" s="174" t="str">
        <f>'Brewhouse Setup &amp; Calcs'!C12</f>
        <v>qt</v>
      </c>
      <c r="E4" s="173" t="s">
        <v>1754</v>
      </c>
      <c r="F4" s="174">
        <f>'Recipe Sheet'!AE50</f>
        <v>0</v>
      </c>
      <c r="G4" s="174" t="str">
        <f>'Brewhouse Setup &amp; Calcs'!C12</f>
        <v>qt</v>
      </c>
      <c r="I4" s="173" t="s">
        <v>1754</v>
      </c>
      <c r="J4" s="174">
        <f>'Recipe Sheet'!AE50</f>
        <v>0</v>
      </c>
      <c r="K4" s="174" t="str">
        <f>'Brewhouse Setup &amp; Calcs'!C12</f>
        <v>qt</v>
      </c>
      <c r="O4" s="2">
        <v>0</v>
      </c>
      <c r="P4" s="7">
        <f t="shared" ref="P4:P15" si="0">O4*9/5+32</f>
        <v>32</v>
      </c>
      <c r="Q4" s="6">
        <v>3.34</v>
      </c>
      <c r="R4" s="6">
        <v>1.7</v>
      </c>
      <c r="T4" s="1" t="s">
        <v>22</v>
      </c>
      <c r="U4" s="2" t="s">
        <v>47</v>
      </c>
      <c r="V4" s="17" t="s">
        <v>70</v>
      </c>
    </row>
    <row r="5" spans="1:22" ht="16.2" customHeight="1" thickBot="1" x14ac:dyDescent="0.4">
      <c r="A5" s="901" t="s">
        <v>56</v>
      </c>
      <c r="B5" s="175">
        <f>(B3-B2)*'Common Variables'!C14/(2*('Common Variables'!D6*'Common Variables'!D7/'Common Variables'!D8))</f>
        <v>10.18538810444088</v>
      </c>
      <c r="C5" s="176" t="s">
        <v>16</v>
      </c>
      <c r="E5" s="901" t="s">
        <v>56</v>
      </c>
      <c r="F5" s="174">
        <f>(F3-F2)*2.16</f>
        <v>10.3032</v>
      </c>
      <c r="G5" s="172" t="s">
        <v>16</v>
      </c>
      <c r="I5" s="909" t="s">
        <v>1759</v>
      </c>
      <c r="J5" s="175">
        <f>(J$3-J$2)/(0.5*0.91)</f>
        <v>10.483516483516482</v>
      </c>
      <c r="K5" s="176" t="s">
        <v>16</v>
      </c>
      <c r="O5" s="2">
        <v>2</v>
      </c>
      <c r="P5" s="7">
        <f t="shared" si="0"/>
        <v>35.6</v>
      </c>
      <c r="Q5" s="6">
        <v>3.14</v>
      </c>
      <c r="R5" s="6">
        <v>1.6</v>
      </c>
      <c r="T5" s="1" t="s">
        <v>31</v>
      </c>
      <c r="U5" s="2" t="s">
        <v>27</v>
      </c>
      <c r="V5" s="2" t="s">
        <v>23</v>
      </c>
    </row>
    <row r="6" spans="1:22" ht="13.8" thickBot="1" x14ac:dyDescent="0.3">
      <c r="A6" s="902"/>
      <c r="B6" s="179">
        <f>B5*$B$4</f>
        <v>0</v>
      </c>
      <c r="C6" s="169" t="s">
        <v>1756</v>
      </c>
      <c r="E6" s="903"/>
      <c r="F6" s="179">
        <f>F5*$B$4</f>
        <v>0</v>
      </c>
      <c r="G6" s="169" t="s">
        <v>1756</v>
      </c>
      <c r="I6" s="902"/>
      <c r="J6" s="179">
        <f>J5*$B$4</f>
        <v>0</v>
      </c>
      <c r="K6" s="169" t="s">
        <v>1756</v>
      </c>
      <c r="O6" s="2">
        <v>4</v>
      </c>
      <c r="P6" s="7">
        <f t="shared" si="0"/>
        <v>39.200000000000003</v>
      </c>
      <c r="Q6" s="6">
        <v>2.95</v>
      </c>
      <c r="R6" s="6">
        <v>1.5</v>
      </c>
      <c r="T6" s="1" t="s">
        <v>30</v>
      </c>
      <c r="U6" s="2" t="s">
        <v>48</v>
      </c>
      <c r="V6" s="2" t="s">
        <v>24</v>
      </c>
    </row>
    <row r="7" spans="1:22" ht="13.8" thickBot="1" x14ac:dyDescent="0.3">
      <c r="A7" s="903"/>
      <c r="B7" s="177">
        <f>B5/28.34952/1.056688</f>
        <v>0.34000483779648361</v>
      </c>
      <c r="C7" s="171" t="s">
        <v>1755</v>
      </c>
      <c r="E7" s="903"/>
      <c r="F7" s="177">
        <f>F5/28.34952/1.056688</f>
        <v>0.34393759068025542</v>
      </c>
      <c r="G7" s="171" t="s">
        <v>1755</v>
      </c>
      <c r="I7" s="903"/>
      <c r="J7" s="177">
        <f>J5/28.34952/1.056688</f>
        <v>0.34995684847400826</v>
      </c>
      <c r="K7" s="171" t="s">
        <v>1755</v>
      </c>
      <c r="O7" s="2">
        <v>6</v>
      </c>
      <c r="P7" s="7">
        <f t="shared" si="0"/>
        <v>42.8</v>
      </c>
      <c r="Q7" s="6">
        <v>2.75</v>
      </c>
      <c r="R7" s="6">
        <v>1.4</v>
      </c>
      <c r="T7" s="1" t="s">
        <v>29</v>
      </c>
      <c r="U7" s="2" t="s">
        <v>49</v>
      </c>
      <c r="V7" s="17" t="s">
        <v>74</v>
      </c>
    </row>
    <row r="8" spans="1:22" ht="13.8" thickBot="1" x14ac:dyDescent="0.3">
      <c r="A8" s="902"/>
      <c r="B8" s="180">
        <f>$B$4*B7</f>
        <v>0</v>
      </c>
      <c r="C8" s="169" t="s">
        <v>1752</v>
      </c>
      <c r="E8" s="904"/>
      <c r="F8" s="180">
        <f>$B$4*F7</f>
        <v>0</v>
      </c>
      <c r="G8" s="171" t="s">
        <v>1752</v>
      </c>
      <c r="I8" s="902"/>
      <c r="J8" s="180">
        <f>$B$4*J7</f>
        <v>0</v>
      </c>
      <c r="K8" s="169" t="s">
        <v>1752</v>
      </c>
      <c r="O8" s="2">
        <v>8</v>
      </c>
      <c r="P8" s="7">
        <f t="shared" si="0"/>
        <v>46.4</v>
      </c>
      <c r="Q8" s="6">
        <v>2.5499999999999998</v>
      </c>
      <c r="R8" s="6">
        <v>1.3</v>
      </c>
      <c r="T8" s="16" t="s">
        <v>68</v>
      </c>
      <c r="U8" s="2" t="s">
        <v>50</v>
      </c>
      <c r="V8" s="17" t="s">
        <v>72</v>
      </c>
    </row>
    <row r="9" spans="1:22" ht="16.2" customHeight="1" thickBot="1" x14ac:dyDescent="0.4">
      <c r="A9" s="901" t="s">
        <v>57</v>
      </c>
      <c r="B9" s="178">
        <f>B5*1.15</f>
        <v>11.713196320107011</v>
      </c>
      <c r="C9" s="172" t="s">
        <v>16</v>
      </c>
      <c r="E9" s="901" t="s">
        <v>57</v>
      </c>
      <c r="F9" s="174">
        <f>F5*1.15</f>
        <v>11.84868</v>
      </c>
      <c r="G9" s="172" t="s">
        <v>16</v>
      </c>
      <c r="I9" s="910" t="s">
        <v>1760</v>
      </c>
      <c r="J9" s="175">
        <f>(J$3-J$2)/(0.5*0.82*0.8)</f>
        <v>14.542682926829267</v>
      </c>
      <c r="K9" s="172" t="s">
        <v>16</v>
      </c>
      <c r="O9" s="2">
        <v>10</v>
      </c>
      <c r="P9" s="7">
        <f t="shared" si="0"/>
        <v>50</v>
      </c>
      <c r="Q9" s="6">
        <v>2.36</v>
      </c>
      <c r="R9" s="6">
        <v>1.2</v>
      </c>
      <c r="T9" s="16" t="s">
        <v>69</v>
      </c>
      <c r="U9" s="15"/>
      <c r="V9" s="17" t="s">
        <v>73</v>
      </c>
    </row>
    <row r="10" spans="1:22" ht="13.8" thickBot="1" x14ac:dyDescent="0.3">
      <c r="A10" s="903"/>
      <c r="B10" s="179">
        <f>B9*$B$4</f>
        <v>0</v>
      </c>
      <c r="C10" s="171" t="s">
        <v>1756</v>
      </c>
      <c r="E10" s="903"/>
      <c r="F10" s="179">
        <f>F9*$B$4</f>
        <v>0</v>
      </c>
      <c r="G10" s="171" t="s">
        <v>1756</v>
      </c>
      <c r="I10" s="898"/>
      <c r="J10" s="179">
        <f>J9*$B$4</f>
        <v>0</v>
      </c>
      <c r="K10" s="171" t="s">
        <v>1756</v>
      </c>
      <c r="O10" s="2">
        <v>12</v>
      </c>
      <c r="P10" s="7">
        <f t="shared" si="0"/>
        <v>53.6</v>
      </c>
      <c r="Q10" s="6">
        <v>2.2000000000000002</v>
      </c>
      <c r="R10" s="6">
        <v>1.1200000000000001</v>
      </c>
      <c r="T10" s="1" t="s">
        <v>32</v>
      </c>
      <c r="U10" s="2" t="s">
        <v>50</v>
      </c>
      <c r="V10" s="2" t="s">
        <v>25</v>
      </c>
    </row>
    <row r="11" spans="1:22" ht="13.8" thickBot="1" x14ac:dyDescent="0.3">
      <c r="A11" s="903"/>
      <c r="B11" s="80">
        <f>B9/28.34952/1.056688</f>
        <v>0.39100556346595611</v>
      </c>
      <c r="C11" s="171" t="s">
        <v>1755</v>
      </c>
      <c r="E11" s="903"/>
      <c r="F11" s="80">
        <f>F9/28.34952/1.056688</f>
        <v>0.3955282292822937</v>
      </c>
      <c r="G11" s="171" t="s">
        <v>1755</v>
      </c>
      <c r="I11" s="898"/>
      <c r="J11" s="80">
        <f>J9/28.34952/1.056688</f>
        <v>0.48545843309656644</v>
      </c>
      <c r="K11" s="171" t="s">
        <v>1755</v>
      </c>
      <c r="O11" s="2">
        <v>14</v>
      </c>
      <c r="P11" s="7">
        <f t="shared" si="0"/>
        <v>57.2</v>
      </c>
      <c r="Q11" s="6">
        <v>2.06</v>
      </c>
      <c r="R11" s="6">
        <v>1.05</v>
      </c>
      <c r="T11" s="1" t="s">
        <v>33</v>
      </c>
      <c r="U11" s="2" t="s">
        <v>52</v>
      </c>
      <c r="V11" s="2" t="s">
        <v>26</v>
      </c>
    </row>
    <row r="12" spans="1:22" ht="13.8" thickBot="1" x14ac:dyDescent="0.3">
      <c r="A12" s="904"/>
      <c r="B12" s="180">
        <f>$B$4*B11</f>
        <v>0</v>
      </c>
      <c r="C12" s="169" t="s">
        <v>1752</v>
      </c>
      <c r="E12" s="904"/>
      <c r="F12" s="180">
        <f>$B$4*F11</f>
        <v>0</v>
      </c>
      <c r="G12" s="169" t="s">
        <v>1752</v>
      </c>
      <c r="I12" s="899"/>
      <c r="J12" s="180">
        <f>$B$4*J11</f>
        <v>0</v>
      </c>
      <c r="K12" s="169" t="s">
        <v>1752</v>
      </c>
      <c r="O12" s="2">
        <v>16</v>
      </c>
      <c r="P12" s="7">
        <f t="shared" si="0"/>
        <v>60.8</v>
      </c>
      <c r="Q12" s="6">
        <v>1.94</v>
      </c>
      <c r="R12" s="6">
        <v>0.99</v>
      </c>
      <c r="T12" s="1" t="s">
        <v>34</v>
      </c>
      <c r="U12" s="2" t="s">
        <v>51</v>
      </c>
      <c r="V12" s="17" t="s">
        <v>71</v>
      </c>
    </row>
    <row r="13" spans="1:22" ht="15" customHeight="1" thickBot="1" x14ac:dyDescent="0.4">
      <c r="A13" s="897" t="s">
        <v>62</v>
      </c>
      <c r="B13" s="174">
        <f>B5*1.3</f>
        <v>13.241004535773145</v>
      </c>
      <c r="C13" s="172" t="s">
        <v>16</v>
      </c>
      <c r="E13" s="897" t="s">
        <v>62</v>
      </c>
      <c r="F13" s="174">
        <f>F5*1.3</f>
        <v>13.394160000000001</v>
      </c>
      <c r="G13" s="172" t="s">
        <v>16</v>
      </c>
      <c r="O13" s="2">
        <v>18</v>
      </c>
      <c r="P13" s="7">
        <f t="shared" si="0"/>
        <v>64.400000000000006</v>
      </c>
      <c r="Q13" s="6">
        <v>1.83</v>
      </c>
      <c r="R13" s="6">
        <v>0.93</v>
      </c>
      <c r="T13" s="1"/>
      <c r="U13" s="172"/>
      <c r="V13" s="172"/>
    </row>
    <row r="14" spans="1:22" ht="15" customHeight="1" thickBot="1" x14ac:dyDescent="0.3">
      <c r="A14" s="898"/>
      <c r="B14" s="179">
        <f>B13*$B$4</f>
        <v>0</v>
      </c>
      <c r="C14" s="169" t="s">
        <v>1756</v>
      </c>
      <c r="E14" s="898"/>
      <c r="F14" s="179">
        <f>F13*$B$4</f>
        <v>0</v>
      </c>
      <c r="G14" s="169" t="s">
        <v>1756</v>
      </c>
      <c r="O14" s="2">
        <v>20</v>
      </c>
      <c r="P14" s="7">
        <f t="shared" si="0"/>
        <v>68</v>
      </c>
      <c r="Q14" s="6">
        <v>1.73</v>
      </c>
      <c r="R14" s="6">
        <v>0.88</v>
      </c>
      <c r="T14" s="1"/>
      <c r="U14" s="172"/>
      <c r="V14" s="172"/>
    </row>
    <row r="15" spans="1:22" ht="13.8" thickBot="1" x14ac:dyDescent="0.3">
      <c r="A15" s="898"/>
      <c r="B15" s="80">
        <f>B13/28.34952/1.056688</f>
        <v>0.44200628913542872</v>
      </c>
      <c r="C15" s="171" t="s">
        <v>1755</v>
      </c>
      <c r="E15" s="898"/>
      <c r="F15" s="80">
        <f>F13/28.34952/1.056688</f>
        <v>0.44711886788433203</v>
      </c>
      <c r="G15" s="171" t="s">
        <v>1755</v>
      </c>
      <c r="O15" s="2">
        <v>22</v>
      </c>
      <c r="P15" s="7">
        <f t="shared" si="0"/>
        <v>71.599999999999994</v>
      </c>
      <c r="Q15" s="6">
        <v>1.63</v>
      </c>
      <c r="R15" s="6">
        <v>0.83</v>
      </c>
    </row>
    <row r="16" spans="1:22" ht="13.8" thickBot="1" x14ac:dyDescent="0.3">
      <c r="A16" s="899"/>
      <c r="B16" s="180">
        <f>$B$4*B15</f>
        <v>0</v>
      </c>
      <c r="C16" s="169" t="s">
        <v>1752</v>
      </c>
      <c r="E16" s="899"/>
      <c r="F16" s="180">
        <f>$B$4*F15</f>
        <v>0</v>
      </c>
      <c r="G16" s="169" t="s">
        <v>1752</v>
      </c>
    </row>
    <row r="17" spans="1:17" ht="16.2" thickBot="1" x14ac:dyDescent="0.4">
      <c r="A17" s="900" t="s">
        <v>63</v>
      </c>
      <c r="B17" s="174">
        <f>B5*1.4</f>
        <v>14.259543346217232</v>
      </c>
      <c r="C17" s="172" t="s">
        <v>16</v>
      </c>
      <c r="E17" s="900" t="s">
        <v>63</v>
      </c>
      <c r="F17" s="174">
        <f>F5*1.4</f>
        <v>14.424479999999999</v>
      </c>
      <c r="G17" s="172" t="s">
        <v>16</v>
      </c>
      <c r="Q17" s="4"/>
    </row>
    <row r="18" spans="1:17" ht="13.8" thickBot="1" x14ac:dyDescent="0.3">
      <c r="A18" s="900"/>
      <c r="B18" s="179">
        <f>B17*$B$4</f>
        <v>0</v>
      </c>
      <c r="C18" s="169" t="s">
        <v>1756</v>
      </c>
      <c r="E18" s="900"/>
      <c r="F18" s="179">
        <f>F17*$B$4</f>
        <v>0</v>
      </c>
      <c r="G18" s="169" t="s">
        <v>1756</v>
      </c>
      <c r="Q18" s="170"/>
    </row>
    <row r="19" spans="1:17" ht="13.8" thickBot="1" x14ac:dyDescent="0.3">
      <c r="A19" s="900"/>
      <c r="B19" s="80">
        <f>B17/28.34952/1.056688</f>
        <v>0.47600677291507704</v>
      </c>
      <c r="C19" s="172" t="s">
        <v>17</v>
      </c>
      <c r="E19" s="900"/>
      <c r="F19" s="80">
        <f>F17/28.34952/1.056688</f>
        <v>0.48151262695235753</v>
      </c>
      <c r="G19" s="172" t="s">
        <v>17</v>
      </c>
    </row>
    <row r="20" spans="1:17" ht="13.8" thickBot="1" x14ac:dyDescent="0.3">
      <c r="A20" s="900"/>
      <c r="B20" s="180">
        <f>$B$4*B19</f>
        <v>0</v>
      </c>
      <c r="C20" s="169" t="s">
        <v>1752</v>
      </c>
      <c r="E20" s="900"/>
      <c r="F20" s="180">
        <f>$B$4*F19</f>
        <v>0</v>
      </c>
      <c r="G20" s="169" t="s">
        <v>1752</v>
      </c>
    </row>
    <row r="22" spans="1:17" ht="15.6" x14ac:dyDescent="0.25">
      <c r="A22" s="14" t="s">
        <v>58</v>
      </c>
    </row>
    <row r="23" spans="1:17" ht="15.6" x14ac:dyDescent="0.25">
      <c r="A23" s="14" t="s">
        <v>59</v>
      </c>
    </row>
    <row r="24" spans="1:17" ht="15.6" x14ac:dyDescent="0.25">
      <c r="A24" s="14" t="s">
        <v>60</v>
      </c>
    </row>
    <row r="25" spans="1:17" ht="15.6" x14ac:dyDescent="0.25">
      <c r="A25" s="14" t="s">
        <v>1758</v>
      </c>
    </row>
    <row r="32" spans="1:17" x14ac:dyDescent="0.25">
      <c r="E32" s="771" t="s">
        <v>1631</v>
      </c>
      <c r="F32" s="771"/>
      <c r="G32" s="771"/>
    </row>
    <row r="33" spans="5:7" x14ac:dyDescent="0.25">
      <c r="E33" s="908" t="s">
        <v>1632</v>
      </c>
      <c r="F33" s="908"/>
      <c r="G33" s="141">
        <v>2.8</v>
      </c>
    </row>
    <row r="34" spans="5:7" x14ac:dyDescent="0.25">
      <c r="E34" s="908" t="s">
        <v>1633</v>
      </c>
      <c r="F34" s="908"/>
      <c r="G34" s="142">
        <v>38</v>
      </c>
    </row>
    <row r="35" spans="5:7" x14ac:dyDescent="0.25">
      <c r="E35" s="908" t="s">
        <v>1634</v>
      </c>
      <c r="F35" s="908"/>
      <c r="G35" s="143">
        <f xml:space="preserve"> -16.6999 - 0.0101059*G34 + 0.00116512*G34^2 + 0.173354*G34*G33 + 4.24267*G33 - 0.0684226*G33^2</f>
        <v>14.386417496000002</v>
      </c>
    </row>
    <row r="36" spans="5:7" x14ac:dyDescent="0.25">
      <c r="E36" s="133" t="s">
        <v>1635</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911" t="s">
        <v>1661</v>
      </c>
      <c r="C2" s="912"/>
      <c r="D2" s="913"/>
      <c r="E2" s="48" t="s">
        <v>1662</v>
      </c>
    </row>
    <row r="3" spans="2:5" x14ac:dyDescent="0.25">
      <c r="B3" s="148" t="s">
        <v>1643</v>
      </c>
      <c r="C3" s="148" t="s">
        <v>104</v>
      </c>
      <c r="D3" s="148" t="s">
        <v>67</v>
      </c>
      <c r="E3" s="156" t="s">
        <v>1665</v>
      </c>
    </row>
    <row r="4" spans="2:5" x14ac:dyDescent="0.25">
      <c r="B4" s="150" t="s">
        <v>1644</v>
      </c>
      <c r="C4" s="41">
        <v>0.79</v>
      </c>
      <c r="D4" s="16" t="s">
        <v>1645</v>
      </c>
      <c r="E4" s="149" t="s">
        <v>1663</v>
      </c>
    </row>
    <row r="5" spans="2:5" x14ac:dyDescent="0.25">
      <c r="B5" s="151" t="s">
        <v>1640</v>
      </c>
      <c r="C5" s="41">
        <v>4.2000000000000003E-2</v>
      </c>
      <c r="D5" s="1" t="s">
        <v>1347</v>
      </c>
      <c r="E5" s="149" t="s">
        <v>1664</v>
      </c>
    </row>
    <row r="6" spans="2:5" x14ac:dyDescent="0.25">
      <c r="B6" s="151" t="s">
        <v>1641</v>
      </c>
      <c r="C6" s="154">
        <f>((C4-C5-0.002)*46.214)/1000+1</f>
        <v>1.034475644</v>
      </c>
      <c r="D6" s="1" t="s">
        <v>1642</v>
      </c>
    </row>
    <row r="8" spans="2:5" x14ac:dyDescent="0.25">
      <c r="B8" s="911" t="s">
        <v>1660</v>
      </c>
      <c r="C8" s="912"/>
      <c r="D8" s="913"/>
      <c r="E8" s="48" t="s">
        <v>1662</v>
      </c>
    </row>
    <row r="9" spans="2:5" x14ac:dyDescent="0.25">
      <c r="B9" s="144" t="s">
        <v>1643</v>
      </c>
      <c r="C9" s="144" t="s">
        <v>104</v>
      </c>
      <c r="D9" s="144" t="s">
        <v>67</v>
      </c>
      <c r="E9" s="23" t="s">
        <v>1666</v>
      </c>
    </row>
    <row r="10" spans="2:5" x14ac:dyDescent="0.25">
      <c r="B10" s="146" t="s">
        <v>1644</v>
      </c>
      <c r="C10" s="41">
        <v>0.79</v>
      </c>
      <c r="D10" s="16" t="s">
        <v>1645</v>
      </c>
    </row>
    <row r="11" spans="2:5" x14ac:dyDescent="0.25">
      <c r="B11" s="147"/>
      <c r="C11" s="157"/>
      <c r="D11" s="1"/>
    </row>
    <row r="12" spans="2:5" x14ac:dyDescent="0.25">
      <c r="B12" s="147" t="s">
        <v>1641</v>
      </c>
      <c r="C12" s="154">
        <f>((C10)*46.214)/1000+1</f>
        <v>1.03650906</v>
      </c>
      <c r="D12" s="1" t="s">
        <v>1642</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93" t="s">
        <v>78</v>
      </c>
      <c r="B1" s="893"/>
      <c r="C1" s="893"/>
      <c r="D1" s="893"/>
    </row>
    <row r="2" spans="1:8" x14ac:dyDescent="0.25">
      <c r="A2" s="19" t="s">
        <v>76</v>
      </c>
      <c r="B2" s="3"/>
      <c r="C2" s="22" t="s">
        <v>79</v>
      </c>
      <c r="D2" s="3" t="s">
        <v>80</v>
      </c>
      <c r="F2" s="90" t="s">
        <v>1214</v>
      </c>
      <c r="G2" s="92">
        <v>0.45359237000000002</v>
      </c>
    </row>
    <row r="3" spans="1:8" x14ac:dyDescent="0.25">
      <c r="A3" s="76">
        <v>8.73</v>
      </c>
      <c r="B3" s="18" t="s">
        <v>0</v>
      </c>
      <c r="C3" s="21">
        <f>A3*0.8125</f>
        <v>7.0931250000000006</v>
      </c>
      <c r="D3" s="21">
        <f>A3*0.6875</f>
        <v>6.0018750000000001</v>
      </c>
      <c r="F3" s="51" t="s">
        <v>1215</v>
      </c>
      <c r="G3" s="92">
        <v>2.20462262185</v>
      </c>
    </row>
    <row r="4" spans="1:8" ht="26.4" x14ac:dyDescent="0.25">
      <c r="A4" s="19" t="s">
        <v>77</v>
      </c>
      <c r="B4" s="3"/>
      <c r="C4" s="22" t="s">
        <v>81</v>
      </c>
      <c r="D4" s="3" t="s">
        <v>82</v>
      </c>
      <c r="F4" s="90" t="s">
        <v>1216</v>
      </c>
      <c r="G4" s="92">
        <v>1.0566882049699999</v>
      </c>
    </row>
    <row r="5" spans="1:8" x14ac:dyDescent="0.25">
      <c r="A5" s="76">
        <v>7.57</v>
      </c>
      <c r="B5" s="18" t="s">
        <v>0</v>
      </c>
      <c r="C5" s="21">
        <f>A5*0.937</f>
        <v>7.093090000000001</v>
      </c>
      <c r="D5" s="21">
        <f>A5*0.7929</f>
        <v>6.0022530000000005</v>
      </c>
      <c r="F5" s="51" t="s">
        <v>1217</v>
      </c>
      <c r="G5" s="92">
        <v>0.94635294999999997</v>
      </c>
    </row>
    <row r="6" spans="1:8" x14ac:dyDescent="0.25">
      <c r="F6" s="91" t="s">
        <v>1218</v>
      </c>
      <c r="G6" s="92">
        <v>2.0863511218233199</v>
      </c>
    </row>
    <row r="7" spans="1:8" x14ac:dyDescent="0.25">
      <c r="A7" s="893" t="s">
        <v>75</v>
      </c>
      <c r="B7" s="893"/>
      <c r="C7" s="893"/>
      <c r="D7" s="893"/>
      <c r="F7" s="96" t="s">
        <v>1219</v>
      </c>
      <c r="G7" s="93">
        <v>154</v>
      </c>
      <c r="H7" s="94">
        <f>5/9*(G7-32)</f>
        <v>67.777777777777786</v>
      </c>
    </row>
    <row r="8" spans="1:8" x14ac:dyDescent="0.25">
      <c r="A8" s="20" t="s">
        <v>79</v>
      </c>
      <c r="B8" s="3"/>
      <c r="C8" s="916" t="s">
        <v>76</v>
      </c>
      <c r="D8" s="917"/>
      <c r="F8" s="91" t="s">
        <v>1220</v>
      </c>
      <c r="G8" s="92">
        <v>28.349519999999998</v>
      </c>
    </row>
    <row r="9" spans="1:8" x14ac:dyDescent="0.25">
      <c r="A9" s="76">
        <v>6.6</v>
      </c>
      <c r="B9" s="18" t="s">
        <v>0</v>
      </c>
      <c r="C9" s="914">
        <f>A9/0.8125</f>
        <v>8.1230769230769226</v>
      </c>
      <c r="D9" s="915"/>
      <c r="F9" s="96" t="s">
        <v>1221</v>
      </c>
      <c r="G9" s="92">
        <v>0.26417205124199999</v>
      </c>
    </row>
    <row r="10" spans="1:8" ht="26.4" x14ac:dyDescent="0.25">
      <c r="A10" s="20" t="s">
        <v>80</v>
      </c>
      <c r="B10" s="3"/>
      <c r="C10" s="916" t="s">
        <v>76</v>
      </c>
      <c r="D10" s="917"/>
      <c r="F10" s="95" t="s">
        <v>1223</v>
      </c>
      <c r="G10" s="92">
        <v>4.5100000000000001E-4</v>
      </c>
    </row>
    <row r="11" spans="1:8" ht="26.4" x14ac:dyDescent="0.25">
      <c r="A11" s="76">
        <v>6</v>
      </c>
      <c r="B11" s="18" t="s">
        <v>0</v>
      </c>
      <c r="C11" s="914">
        <f>A11/0.6875</f>
        <v>8.7272727272727266</v>
      </c>
      <c r="D11" s="915"/>
      <c r="F11" s="95" t="s">
        <v>1222</v>
      </c>
      <c r="G11" s="92">
        <f>G10*17.22</f>
        <v>7.7662199999999999E-3</v>
      </c>
    </row>
    <row r="12" spans="1:8" x14ac:dyDescent="0.25">
      <c r="A12" s="20" t="s">
        <v>81</v>
      </c>
      <c r="B12" s="3"/>
      <c r="C12" s="916" t="s">
        <v>76</v>
      </c>
      <c r="D12" s="917"/>
    </row>
    <row r="13" spans="1:8" x14ac:dyDescent="0.25">
      <c r="A13" s="76">
        <v>6</v>
      </c>
      <c r="B13" s="18" t="s">
        <v>0</v>
      </c>
      <c r="C13" s="914">
        <f>A13/0.937</f>
        <v>6.4034151547491991</v>
      </c>
      <c r="D13" s="915"/>
      <c r="F13" s="54" t="s">
        <v>1340</v>
      </c>
      <c r="G13" s="129" t="s">
        <v>89</v>
      </c>
    </row>
    <row r="14" spans="1:8" x14ac:dyDescent="0.25">
      <c r="A14" s="20" t="s">
        <v>82</v>
      </c>
      <c r="B14" s="3"/>
      <c r="C14" s="916" t="s">
        <v>76</v>
      </c>
      <c r="D14" s="917"/>
      <c r="G14" s="129">
        <v>1.6</v>
      </c>
      <c r="H14" s="23" t="s">
        <v>1341</v>
      </c>
    </row>
    <row r="15" spans="1:8" x14ac:dyDescent="0.25">
      <c r="A15" s="76">
        <v>6</v>
      </c>
      <c r="B15" s="18" t="s">
        <v>0</v>
      </c>
      <c r="C15" s="914">
        <f>A15/0.7929</f>
        <v>7.567158531971244</v>
      </c>
      <c r="D15" s="915"/>
      <c r="G15" s="92">
        <v>0.38</v>
      </c>
      <c r="H15" s="23" t="s">
        <v>1342</v>
      </c>
    </row>
    <row r="16" spans="1:8" x14ac:dyDescent="0.25">
      <c r="G16" s="129" t="s">
        <v>1343</v>
      </c>
    </row>
    <row r="17" spans="1:8" x14ac:dyDescent="0.25">
      <c r="A17" s="23" t="s">
        <v>84</v>
      </c>
      <c r="G17" s="92">
        <v>4.18</v>
      </c>
      <c r="H17" s="23" t="s">
        <v>1341</v>
      </c>
    </row>
    <row r="18" spans="1:8" x14ac:dyDescent="0.25">
      <c r="A18" s="23" t="s">
        <v>83</v>
      </c>
      <c r="G18" s="92">
        <v>0.99904397700000003</v>
      </c>
      <c r="H18" s="23" t="s">
        <v>1342</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93" t="s">
        <v>13</v>
      </c>
      <c r="D1" s="893"/>
      <c r="E1" s="893"/>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18" t="s">
        <v>1678</v>
      </c>
      <c r="B11" s="918"/>
      <c r="C11" s="918"/>
      <c r="D11" s="918"/>
      <c r="E11" s="918"/>
      <c r="F11" s="918"/>
      <c r="G11" s="918"/>
      <c r="H11" s="918"/>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1672</v>
      </c>
      <c r="C17" s="51" t="s">
        <v>1673</v>
      </c>
      <c r="E17" s="159" t="s">
        <v>7</v>
      </c>
      <c r="G17" t="s">
        <v>44</v>
      </c>
    </row>
    <row r="18" spans="1:7" ht="18.600000000000001" x14ac:dyDescent="0.25">
      <c r="A18" s="8" t="s">
        <v>1674</v>
      </c>
      <c r="B18" s="8" t="s">
        <v>6</v>
      </c>
      <c r="C18" s="8" t="s">
        <v>1675</v>
      </c>
      <c r="D18" s="8" t="s">
        <v>42</v>
      </c>
      <c r="E18" s="8" t="s">
        <v>1676</v>
      </c>
      <c r="F18" s="8" t="s">
        <v>6</v>
      </c>
      <c r="G18" s="8" t="s">
        <v>1677</v>
      </c>
    </row>
    <row r="19" spans="1:7" x14ac:dyDescent="0.25">
      <c r="A19" s="159">
        <f>D4*2+D3</f>
        <v>18.015280000000001</v>
      </c>
      <c r="C19" s="159">
        <f>D2*12+D4*22+D3*11</f>
        <v>342.29647999999997</v>
      </c>
      <c r="E19" s="159">
        <f>4*(D2*2+D4*5+D3+D4)</f>
        <v>184.27375999999998</v>
      </c>
      <c r="G19" s="159">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2019-01-09T20:39:50Z</cp:lastPrinted>
  <dcterms:created xsi:type="dcterms:W3CDTF">2003-11-09T22:26:20Z</dcterms:created>
  <dcterms:modified xsi:type="dcterms:W3CDTF">2019-01-16T13:50:27Z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-1761044411</vt:i4>
  </property>
  <property fmtid="{D5CDD505-2E9C-101B-9397-08002B2CF9AE}" pid="3" name="_NewReviewCycle">
    <vt:lpwstr/>
  </property>
  <property fmtid="{D5CDD505-2E9C-101B-9397-08002B2CF9AE}" pid="4" name="_EmailSubject">
    <vt:lpwstr>more betas</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