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embeddings/oleObject3.bin" ContentType="application/vnd.openxmlformats-officedocument.oleObject"/>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comments1.xml" ContentType="application/vnd.openxmlformats-officedocument.spreadsheetml.comments+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231"/>
  <workbookPr codeName="ThisWorkbook" defaultThemeVersion="124226"/>
  <mc:AlternateContent xmlns:mc="http://schemas.openxmlformats.org/markup-compatibility/2006">
    <mc:Choice Requires="x15">
      <x15ac:absPath xmlns:x15ac="http://schemas.microsoft.com/office/spreadsheetml/2010/11/ac" url="C:\Users\Larry\Documents\Hobbies\Beer\"/>
    </mc:Choice>
  </mc:AlternateContent>
  <xr:revisionPtr revIDLastSave="0" documentId="13_ncr:1_{F4C6B696-E39C-4D22-BD92-C81540E61526}" xr6:coauthVersionLast="40" xr6:coauthVersionMax="40" xr10:uidLastSave="{00000000-0000-0000-0000-000000000000}"/>
  <bookViews>
    <workbookView xWindow="12528" yWindow="1692" windowWidth="17844" windowHeight="14964" tabRatio="907" activeTab="1" xr2:uid="{00000000-000D-0000-FFFF-FFFF00000000}"/>
  </bookViews>
  <sheets>
    <sheet name="Instructions" sheetId="29" r:id="rId1"/>
    <sheet name="Recipe Sheet" sheetId="28" r:id="rId2"/>
    <sheet name="Brewhouse Setup &amp; Calcs" sheetId="14" r:id="rId3"/>
    <sheet name="Grain &amp; Sugar Calcs" sheetId="13" r:id="rId4"/>
    <sheet name="Hop Calcs" sheetId="16" r:id="rId5"/>
    <sheet name="Water-English" sheetId="32" r:id="rId6"/>
    <sheet name="Water-Metric" sheetId="33" r:id="rId7"/>
    <sheet name="Grain &amp; Sugar List" sheetId="24" r:id="rId8"/>
    <sheet name="Hops List" sheetId="25" r:id="rId9"/>
    <sheet name="Yeast List" sheetId="26" r:id="rId10"/>
    <sheet name="Hydrometer Testing &amp; Correction" sheetId="31" r:id="rId11"/>
    <sheet name="Beer Line Length" sheetId="34" r:id="rId12"/>
    <sheet name="Carbonation" sheetId="7" r:id="rId13"/>
    <sheet name="Beer Category &amp; Style List" sheetId="19" r:id="rId14"/>
    <sheet name="Malt Sheet PPG Calcs" sheetId="30" r:id="rId15"/>
    <sheet name="Conversion Tables" sheetId="5" r:id="rId16"/>
    <sheet name="Common Variables" sheetId="8" r:id="rId17"/>
  </sheets>
  <definedNames>
    <definedName name="_xlnm._FilterDatabase" localSheetId="3" hidden="1">'Grain &amp; Sugar Calcs'!$B$2:$M$16</definedName>
    <definedName name="_xlnm._FilterDatabase" localSheetId="7" hidden="1">'Grain &amp; Sugar List'!$A$1:$W$236</definedName>
    <definedName name="_xlnm._FilterDatabase" localSheetId="9" hidden="1">'Yeast List'!$A$1:$I$686</definedName>
    <definedName name="BeerList_Headers" localSheetId="1">BeerList_Table[#Headers]</definedName>
    <definedName name="BeerList_Headers">BeerList_Table[#Headers]</definedName>
    <definedName name="BeerList_list" localSheetId="1">INDEX(BeerList_Table[],,MATCH('Recipe Sheet'!Category,'Recipe Sheet'!BeerList_Headers,0))</definedName>
    <definedName name="BeerList_list">INDEX(BeerList_Table[],,MATCH(Category,BeerList_Headers,0))</definedName>
    <definedName name="BeerList_list2" localSheetId="1">INDEX(BeerList_Table[],1,'Recipe Sheet'!col_num) : INDEX(BeerList_Table[], COUNTA('Recipe Sheet'!entire_col), 'Recipe Sheet'!col_num)</definedName>
    <definedName name="BeerList_list2">INDEX(BeerList_Table[],1,col_num) : INDEX(BeerList_Table[], COUNTA(entire_col), col_num)</definedName>
    <definedName name="Category" localSheetId="1">'Recipe Sheet'!$B$1</definedName>
    <definedName name="col_num" localSheetId="1">MATCH('Recipe Sheet'!Category,'Recipe Sheet'!BeerList_Headers,0)</definedName>
    <definedName name="col_num">MATCH('Recipe Sheet'!Category,BeerList_Headers,0)</definedName>
    <definedName name="entire_col" localSheetId="1">INDEX(BeerList_Table[],,'Recipe Sheet'!col_num)</definedName>
    <definedName name="entire_col">INDEX(BeerList_Table[],,col_num)</definedName>
    <definedName name="_xlnm.Print_Area" localSheetId="2">'Brewhouse Setup &amp; Calcs'!$A:$H</definedName>
    <definedName name="_xlnm.Print_Area" localSheetId="1">'Recipe Sheet'!$A$1:$V$42</definedName>
    <definedName name="Yeast_Brand">'Recipe Sheet'!#REF!</definedName>
    <definedName name="yeastlist_headers">yeast_table[#Headers]</definedName>
    <definedName name="yeastlist_list">INDEX(BeerList_Table[],,MATCH(Yeast_Brand,yeastlist_headers,0))</definedName>
  </definedNames>
  <calcPr calcId="181029"/>
</workbook>
</file>

<file path=xl/calcChain.xml><?xml version="1.0" encoding="utf-8"?>
<calcChain xmlns="http://schemas.openxmlformats.org/spreadsheetml/2006/main">
  <c r="M26" i="28" l="1"/>
  <c r="J4" i="7" l="1"/>
  <c r="F4" i="7"/>
  <c r="B4" i="7"/>
  <c r="F231" i="24" l="1"/>
  <c r="F223" i="24"/>
  <c r="F75" i="24"/>
  <c r="F74" i="24"/>
  <c r="F4" i="24"/>
  <c r="F187" i="24"/>
  <c r="F63" i="24"/>
  <c r="F191" i="24"/>
  <c r="F195" i="24"/>
  <c r="F189" i="24"/>
  <c r="F160" i="24"/>
  <c r="F162" i="24"/>
  <c r="F71" i="24"/>
  <c r="F157" i="24"/>
  <c r="F116" i="24"/>
  <c r="F203" i="24"/>
  <c r="F201" i="24"/>
  <c r="F80" i="24"/>
  <c r="F152" i="24"/>
  <c r="F84" i="24"/>
  <c r="F151" i="24"/>
  <c r="F16" i="24"/>
  <c r="F68" i="24"/>
  <c r="F65" i="24"/>
  <c r="F67" i="24"/>
  <c r="F78" i="24"/>
  <c r="F77" i="24"/>
  <c r="F13" i="24"/>
  <c r="F12" i="24"/>
  <c r="F9" i="24"/>
  <c r="F137" i="24"/>
  <c r="F138" i="24"/>
  <c r="L10" i="13" l="1"/>
  <c r="L11" i="13"/>
  <c r="L12" i="13"/>
  <c r="L13" i="13"/>
  <c r="K11" i="28" l="1"/>
  <c r="Q13" i="28" l="1"/>
  <c r="N14" i="28" l="1"/>
  <c r="T20" i="28"/>
  <c r="N33" i="28" l="1"/>
  <c r="T22" i="28" l="1"/>
  <c r="T33" i="28" l="1"/>
  <c r="K12" i="28"/>
  <c r="T28" i="28"/>
  <c r="K9" i="28" s="1"/>
  <c r="E28" i="14" l="1"/>
  <c r="D28" i="14"/>
  <c r="C28" i="14"/>
  <c r="A28" i="14"/>
  <c r="J26" i="28" l="1"/>
  <c r="J27" i="28"/>
  <c r="J28" i="28"/>
  <c r="J29" i="28"/>
  <c r="J21" i="28"/>
  <c r="J22" i="28"/>
  <c r="J23" i="28"/>
  <c r="J24" i="28"/>
  <c r="J25" i="28"/>
  <c r="A10" i="16"/>
  <c r="A11" i="16"/>
  <c r="A12" i="16"/>
  <c r="A13" i="16"/>
  <c r="A14" i="16"/>
  <c r="A15" i="16"/>
  <c r="A7" i="16"/>
  <c r="A8" i="16"/>
  <c r="A9" i="16"/>
  <c r="R16" i="28" l="1"/>
  <c r="R15" i="28"/>
  <c r="N23" i="28" l="1"/>
  <c r="N22" i="28"/>
  <c r="N21" i="28"/>
  <c r="N20" i="28"/>
  <c r="N19" i="28"/>
  <c r="N18" i="28"/>
  <c r="R14" i="28"/>
  <c r="R13" i="28"/>
  <c r="T6" i="28" l="1"/>
  <c r="I5" i="33" l="1"/>
  <c r="H5" i="33"/>
  <c r="G5" i="33"/>
  <c r="F5" i="33"/>
  <c r="E5" i="33"/>
  <c r="D5" i="33"/>
  <c r="I5" i="32"/>
  <c r="H5" i="32"/>
  <c r="G5" i="32"/>
  <c r="F5" i="32"/>
  <c r="E5" i="32"/>
  <c r="D5" i="32"/>
  <c r="C15" i="34"/>
  <c r="C16" i="34" s="1"/>
  <c r="C13" i="34"/>
  <c r="E10" i="34"/>
  <c r="C11" i="34" s="1"/>
  <c r="C6" i="34"/>
  <c r="E5" i="34"/>
  <c r="C12" i="34" s="1"/>
  <c r="C4" i="34"/>
  <c r="E2" i="34"/>
  <c r="C14" i="34" l="1"/>
  <c r="C17" i="34"/>
  <c r="C18" i="34" s="1"/>
  <c r="C20" i="34" s="1"/>
  <c r="E16" i="33" l="1"/>
  <c r="E17" i="33"/>
  <c r="E18" i="33"/>
  <c r="E19" i="33"/>
  <c r="E20" i="33"/>
  <c r="E21" i="33"/>
  <c r="E22" i="33"/>
  <c r="E23" i="33"/>
  <c r="E15" i="33"/>
  <c r="E15" i="32"/>
  <c r="E16" i="32"/>
  <c r="E17" i="32"/>
  <c r="E18" i="32"/>
  <c r="E19" i="32"/>
  <c r="E20" i="32"/>
  <c r="E21" i="32"/>
  <c r="E22" i="32"/>
  <c r="E14" i="32"/>
  <c r="E24" i="33" l="1"/>
  <c r="H39" i="33" s="1"/>
  <c r="H38" i="33"/>
  <c r="G23" i="33"/>
  <c r="G22" i="33"/>
  <c r="G21" i="33"/>
  <c r="G20" i="33"/>
  <c r="G19" i="33"/>
  <c r="G18" i="33"/>
  <c r="G17" i="33"/>
  <c r="G16" i="33"/>
  <c r="G15" i="33"/>
  <c r="E25" i="33" l="1"/>
  <c r="G22" i="32" l="1"/>
  <c r="G21" i="32"/>
  <c r="G20" i="32"/>
  <c r="G19" i="32"/>
  <c r="G18" i="32"/>
  <c r="G17" i="32"/>
  <c r="G16" i="32"/>
  <c r="G15" i="32"/>
  <c r="G14" i="32"/>
  <c r="E23" i="32" l="1"/>
  <c r="H37" i="32" l="1"/>
  <c r="F134" i="24"/>
  <c r="C21" i="14" l="1"/>
  <c r="Q36" i="28"/>
  <c r="D21" i="14" l="1"/>
  <c r="E48" i="14"/>
  <c r="Q6" i="28"/>
  <c r="T35" i="28"/>
  <c r="J13" i="28"/>
  <c r="J12" i="28" l="1"/>
  <c r="S31" i="28" s="1"/>
  <c r="J11" i="28" l="1"/>
  <c r="J6" i="28"/>
  <c r="G17" i="16" l="1"/>
  <c r="B64" i="14" s="1"/>
  <c r="B63" i="14" s="1"/>
  <c r="L8" i="13" l="1"/>
  <c r="L9" i="13"/>
  <c r="L6" i="13"/>
  <c r="L7" i="13"/>
  <c r="L5" i="13"/>
  <c r="T30" i="28"/>
  <c r="K8" i="28"/>
  <c r="K10" i="28"/>
  <c r="Q7" i="28"/>
  <c r="S7" i="28"/>
  <c r="E21" i="14"/>
  <c r="D64" i="14"/>
  <c r="E64" i="14"/>
  <c r="B61" i="14"/>
  <c r="C19" i="14"/>
  <c r="G4" i="31"/>
  <c r="G3" i="31"/>
  <c r="B10" i="31"/>
  <c r="F6" i="31"/>
  <c r="B5" i="31"/>
  <c r="B6" i="31" s="1"/>
  <c r="B3" i="31"/>
  <c r="L16" i="13" l="1"/>
  <c r="L18" i="13" s="1"/>
  <c r="F8" i="13"/>
  <c r="F9" i="13"/>
  <c r="F10" i="13"/>
  <c r="F11" i="13"/>
  <c r="F12" i="13"/>
  <c r="F13" i="13"/>
  <c r="K15" i="28" l="1"/>
  <c r="K13" i="28"/>
  <c r="J9" i="7"/>
  <c r="J5" i="7"/>
  <c r="J7" i="7" s="1"/>
  <c r="F5" i="7"/>
  <c r="F9" i="7" s="1"/>
  <c r="F11" i="7" s="1"/>
  <c r="P4" i="7"/>
  <c r="J8" i="7" l="1"/>
  <c r="J6" i="7"/>
  <c r="F7" i="7"/>
  <c r="F8" i="7" s="1"/>
  <c r="F6" i="7"/>
  <c r="F12" i="7"/>
  <c r="F10" i="7"/>
  <c r="F13" i="7"/>
  <c r="F15" i="7" s="1"/>
  <c r="F16" i="7" s="1"/>
  <c r="F17" i="7"/>
  <c r="F19" i="7" s="1"/>
  <c r="F20" i="7" s="1"/>
  <c r="F158" i="24"/>
  <c r="J11" i="7" l="1"/>
  <c r="J12" i="7" s="1"/>
  <c r="J10" i="7"/>
  <c r="F14" i="7"/>
  <c r="F18" i="7"/>
  <c r="F144" i="24"/>
  <c r="E40" i="14"/>
  <c r="E63" i="14"/>
  <c r="E62" i="14"/>
  <c r="E61" i="14"/>
  <c r="E58" i="14"/>
  <c r="E57" i="14"/>
  <c r="E56" i="14"/>
  <c r="E55" i="14"/>
  <c r="E53" i="14"/>
  <c r="E52" i="14"/>
  <c r="E49" i="14"/>
  <c r="E47" i="14"/>
  <c r="E46" i="14"/>
  <c r="E43" i="14"/>
  <c r="E41" i="14"/>
  <c r="E60" i="14"/>
  <c r="E33" i="14"/>
  <c r="D33" i="14"/>
  <c r="E32" i="14"/>
  <c r="D32" i="14"/>
  <c r="E31" i="14"/>
  <c r="D31" i="14"/>
  <c r="E29" i="14"/>
  <c r="D29" i="14"/>
  <c r="E25" i="14"/>
  <c r="D25" i="14"/>
  <c r="E16" i="14"/>
  <c r="D16" i="14"/>
  <c r="E15" i="14"/>
  <c r="D15" i="14"/>
  <c r="E12" i="14"/>
  <c r="D12" i="14"/>
  <c r="G19" i="8"/>
  <c r="E19" i="8"/>
  <c r="C19" i="8"/>
  <c r="A19" i="8"/>
  <c r="C12" i="30" l="1"/>
  <c r="C6" i="30"/>
  <c r="F236" i="24" l="1"/>
  <c r="F235" i="24"/>
  <c r="F234" i="24"/>
  <c r="F233" i="24"/>
  <c r="F232" i="24"/>
  <c r="F230" i="24"/>
  <c r="F229" i="24"/>
  <c r="F228" i="24"/>
  <c r="F227" i="24"/>
  <c r="F226" i="24"/>
  <c r="F225" i="24"/>
  <c r="F224" i="24"/>
  <c r="F222" i="24"/>
  <c r="F221" i="24"/>
  <c r="F220" i="24"/>
  <c r="F206" i="24"/>
  <c r="F205" i="24"/>
  <c r="F204" i="24"/>
  <c r="F202" i="24"/>
  <c r="F200" i="24"/>
  <c r="F199" i="24"/>
  <c r="F198" i="24"/>
  <c r="F197" i="24"/>
  <c r="F196" i="24"/>
  <c r="F194" i="24"/>
  <c r="F193" i="24"/>
  <c r="F192" i="24"/>
  <c r="F15" i="24"/>
  <c r="F188" i="24"/>
  <c r="F14" i="24"/>
  <c r="F186" i="24"/>
  <c r="F79" i="24"/>
  <c r="F17" i="24"/>
  <c r="F185" i="24"/>
  <c r="F184" i="24"/>
  <c r="F183" i="24"/>
  <c r="F182" i="24"/>
  <c r="F181" i="24"/>
  <c r="F180" i="24"/>
  <c r="F179" i="24"/>
  <c r="F178" i="24"/>
  <c r="F177" i="24"/>
  <c r="F176" i="24"/>
  <c r="F175" i="24"/>
  <c r="F174" i="24"/>
  <c r="F173" i="24"/>
  <c r="F172" i="24"/>
  <c r="F11" i="24"/>
  <c r="F171" i="24"/>
  <c r="F170" i="24"/>
  <c r="F169" i="24"/>
  <c r="F168" i="24"/>
  <c r="F167" i="24"/>
  <c r="F166" i="24"/>
  <c r="F165" i="24"/>
  <c r="F164" i="24"/>
  <c r="F163" i="24"/>
  <c r="F159" i="24"/>
  <c r="F156" i="24"/>
  <c r="F155" i="24"/>
  <c r="F154" i="24"/>
  <c r="F153" i="24"/>
  <c r="F150" i="24"/>
  <c r="F149" i="24"/>
  <c r="F148" i="24"/>
  <c r="F147" i="24"/>
  <c r="F146" i="24"/>
  <c r="F145" i="24"/>
  <c r="F143" i="24"/>
  <c r="F142" i="24"/>
  <c r="F140" i="24"/>
  <c r="F5" i="13" s="1"/>
  <c r="F139" i="24"/>
  <c r="F136" i="24"/>
  <c r="F135" i="24"/>
  <c r="F133" i="24"/>
  <c r="F132" i="24"/>
  <c r="F131" i="24"/>
  <c r="F130" i="24"/>
  <c r="F129" i="24"/>
  <c r="F128" i="24"/>
  <c r="F127" i="24"/>
  <c r="F126" i="24"/>
  <c r="F125" i="24"/>
  <c r="F124" i="24"/>
  <c r="F123" i="24"/>
  <c r="F122" i="24"/>
  <c r="F121" i="24"/>
  <c r="F120" i="24"/>
  <c r="F118" i="24"/>
  <c r="F117" i="24"/>
  <c r="F115" i="24"/>
  <c r="F114" i="24"/>
  <c r="F113" i="24"/>
  <c r="F112" i="24"/>
  <c r="F111" i="24"/>
  <c r="F110" i="24"/>
  <c r="F109" i="24"/>
  <c r="F102" i="24"/>
  <c r="F101" i="24"/>
  <c r="F100" i="24"/>
  <c r="F99" i="24"/>
  <c r="F98" i="24"/>
  <c r="F97" i="24"/>
  <c r="F96" i="24"/>
  <c r="F94" i="24"/>
  <c r="F83" i="24"/>
  <c r="F82" i="24"/>
  <c r="F81" i="24"/>
  <c r="F76" i="24"/>
  <c r="F73" i="24"/>
  <c r="F72" i="24"/>
  <c r="F70" i="24"/>
  <c r="F69" i="24"/>
  <c r="F66" i="24"/>
  <c r="F64" i="24"/>
  <c r="F62" i="24"/>
  <c r="F61" i="24"/>
  <c r="F60" i="24"/>
  <c r="F59" i="24"/>
  <c r="F58" i="24"/>
  <c r="F57" i="24"/>
  <c r="F56" i="24"/>
  <c r="F55" i="24"/>
  <c r="F54" i="24"/>
  <c r="F53" i="24"/>
  <c r="F52" i="24"/>
  <c r="F51" i="24"/>
  <c r="F50" i="24"/>
  <c r="F49" i="24"/>
  <c r="F48" i="24"/>
  <c r="F47" i="24"/>
  <c r="F46" i="24"/>
  <c r="F45" i="24"/>
  <c r="F44" i="24"/>
  <c r="F43" i="24"/>
  <c r="F42" i="24"/>
  <c r="F41" i="24"/>
  <c r="F40" i="24"/>
  <c r="F39" i="24"/>
  <c r="F38" i="24"/>
  <c r="F37" i="24"/>
  <c r="F36" i="24"/>
  <c r="F35" i="24"/>
  <c r="F34" i="24"/>
  <c r="F33" i="24"/>
  <c r="F32" i="24"/>
  <c r="F31" i="24"/>
  <c r="F30" i="24"/>
  <c r="F29" i="24"/>
  <c r="F28" i="24"/>
  <c r="F27" i="24"/>
  <c r="F26" i="24"/>
  <c r="F25" i="24"/>
  <c r="F24" i="24"/>
  <c r="F23" i="24"/>
  <c r="F22" i="24"/>
  <c r="F21" i="24"/>
  <c r="F20" i="24"/>
  <c r="F19" i="24"/>
  <c r="F18" i="24"/>
  <c r="F5" i="24"/>
  <c r="F10" i="24"/>
  <c r="F8" i="24"/>
  <c r="F7" i="24"/>
  <c r="F6" i="24"/>
  <c r="F3" i="24"/>
  <c r="F2" i="24"/>
  <c r="F7" i="13" l="1"/>
  <c r="F6" i="13"/>
  <c r="B8" i="14"/>
  <c r="O33" i="28" s="1"/>
  <c r="G35" i="7" l="1"/>
  <c r="E6" i="13" l="1"/>
  <c r="E7" i="13"/>
  <c r="E8" i="13"/>
  <c r="E9" i="13"/>
  <c r="E10" i="13"/>
  <c r="E11" i="13"/>
  <c r="E12" i="13"/>
  <c r="E13" i="13"/>
  <c r="E5" i="13"/>
  <c r="G6" i="13" l="1"/>
  <c r="G7" i="13"/>
  <c r="G8" i="13"/>
  <c r="G9" i="13"/>
  <c r="G10" i="13"/>
  <c r="G11" i="13"/>
  <c r="G12" i="13"/>
  <c r="G13" i="13"/>
  <c r="B44" i="14" l="1"/>
  <c r="S10" i="28" s="1"/>
  <c r="C16" i="14" l="1"/>
  <c r="C15" i="14"/>
  <c r="G11" i="5" l="1"/>
  <c r="H7" i="5"/>
  <c r="H11" i="13" l="1"/>
  <c r="H12" i="13"/>
  <c r="H13" i="13"/>
  <c r="E10" i="28" l="1"/>
  <c r="E11" i="28"/>
  <c r="E12" i="28"/>
  <c r="E13" i="28"/>
  <c r="E14" i="28"/>
  <c r="E15" i="28"/>
  <c r="A24" i="28" l="1"/>
  <c r="E7" i="28"/>
  <c r="E8" i="28"/>
  <c r="E9" i="28"/>
  <c r="S8" i="28"/>
  <c r="S36" i="28"/>
  <c r="U25" i="28"/>
  <c r="S25" i="28"/>
  <c r="Q10" i="28"/>
  <c r="Q9" i="28"/>
  <c r="Q8" i="28"/>
  <c r="G29" i="28"/>
  <c r="F29" i="28"/>
  <c r="A29" i="28"/>
  <c r="E29" i="28"/>
  <c r="A15" i="28"/>
  <c r="G28" i="28"/>
  <c r="F28" i="28"/>
  <c r="A28" i="28"/>
  <c r="E28" i="28"/>
  <c r="A14" i="28"/>
  <c r="G27" i="28"/>
  <c r="F27" i="28"/>
  <c r="A27" i="28"/>
  <c r="E27" i="28"/>
  <c r="A13" i="28"/>
  <c r="G26" i="28"/>
  <c r="F26" i="28"/>
  <c r="A26" i="28"/>
  <c r="E26" i="28"/>
  <c r="A12" i="28"/>
  <c r="G25" i="28"/>
  <c r="F25" i="28"/>
  <c r="A25" i="28"/>
  <c r="E25" i="28"/>
  <c r="A11" i="28"/>
  <c r="G24" i="28"/>
  <c r="F24" i="28"/>
  <c r="E24" i="28"/>
  <c r="A10" i="28"/>
  <c r="G23" i="28"/>
  <c r="F23" i="28"/>
  <c r="A23" i="28"/>
  <c r="E23" i="28"/>
  <c r="A9" i="28"/>
  <c r="G22" i="28"/>
  <c r="F22" i="28"/>
  <c r="A22" i="28"/>
  <c r="E22" i="28"/>
  <c r="A8" i="28"/>
  <c r="G21" i="28"/>
  <c r="F21" i="28"/>
  <c r="A21" i="28"/>
  <c r="E21" i="28"/>
  <c r="A7" i="28"/>
  <c r="G19" i="28"/>
  <c r="F19" i="28"/>
  <c r="A19" i="28"/>
  <c r="E19" i="28"/>
  <c r="J19" i="28"/>
  <c r="S23" i="28"/>
  <c r="I9" i="13"/>
  <c r="I10" i="13"/>
  <c r="I11" i="13"/>
  <c r="I12" i="13"/>
  <c r="I13" i="13"/>
  <c r="B7" i="14"/>
  <c r="B5" i="14"/>
  <c r="B6" i="14"/>
  <c r="C4" i="13" s="1"/>
  <c r="B4" i="14"/>
  <c r="N28" i="28" s="1"/>
  <c r="U16" i="28" l="1"/>
  <c r="U15" i="28"/>
  <c r="U13" i="28"/>
  <c r="U14" i="28"/>
  <c r="U9" i="28"/>
  <c r="C48" i="14"/>
  <c r="U31" i="28"/>
  <c r="U36" i="28"/>
  <c r="O28" i="28"/>
  <c r="U7" i="28"/>
  <c r="C64" i="14"/>
  <c r="U12" i="28"/>
  <c r="U6" i="28"/>
  <c r="C34" i="14"/>
  <c r="K13" i="13"/>
  <c r="J13" i="13"/>
  <c r="K12" i="13"/>
  <c r="J12" i="13"/>
  <c r="J11" i="13"/>
  <c r="K11" i="13"/>
  <c r="C40" i="14"/>
  <c r="O32" i="28"/>
  <c r="C25" i="14"/>
  <c r="C32" i="14"/>
  <c r="C29" i="14"/>
  <c r="C33" i="14"/>
  <c r="C31" i="14"/>
  <c r="C60" i="14"/>
  <c r="C46" i="14"/>
  <c r="C43" i="14"/>
  <c r="C41" i="14"/>
  <c r="C47" i="14"/>
  <c r="C52" i="14"/>
  <c r="C55" i="14"/>
  <c r="C57" i="14"/>
  <c r="U17" i="28"/>
  <c r="C49" i="14"/>
  <c r="C53" i="14"/>
  <c r="C56" i="14"/>
  <c r="C58" i="14"/>
  <c r="G20" i="28"/>
  <c r="G6" i="16"/>
  <c r="C14" i="14"/>
  <c r="C44" i="14"/>
  <c r="U8" i="28"/>
  <c r="C13" i="14"/>
  <c r="U10" i="28"/>
  <c r="E6" i="28"/>
  <c r="C20" i="14"/>
  <c r="C12" i="14"/>
  <c r="C63" i="14"/>
  <c r="U26" i="28" s="1"/>
  <c r="C61" i="14"/>
  <c r="C62" i="14"/>
  <c r="D11" i="13"/>
  <c r="F13" i="28" s="1"/>
  <c r="D12" i="13"/>
  <c r="F14" i="28" s="1"/>
  <c r="D13" i="13"/>
  <c r="F15" i="28" s="1"/>
  <c r="I6" i="13"/>
  <c r="I7" i="13"/>
  <c r="I8" i="13"/>
  <c r="I5" i="13"/>
  <c r="H9" i="13"/>
  <c r="H10" i="13"/>
  <c r="H12" i="16" l="1"/>
  <c r="I26" i="28" s="1"/>
  <c r="H13" i="16"/>
  <c r="I27" i="28" s="1"/>
  <c r="H14" i="16"/>
  <c r="I28" i="28" s="1"/>
  <c r="H15" i="16"/>
  <c r="I29" i="28" s="1"/>
  <c r="G4" i="7"/>
  <c r="C4" i="7"/>
  <c r="K4" i="7"/>
  <c r="H8" i="16"/>
  <c r="I22" i="28" s="1"/>
  <c r="H7" i="16"/>
  <c r="I21" i="28" s="1"/>
  <c r="H11" i="16"/>
  <c r="I25" i="28" s="1"/>
  <c r="H9" i="16"/>
  <c r="I23" i="28" s="1"/>
  <c r="H10" i="16"/>
  <c r="I24" i="28" s="1"/>
  <c r="H8" i="13"/>
  <c r="H7" i="13"/>
  <c r="G5" i="13"/>
  <c r="H5" i="13" s="1"/>
  <c r="H6" i="13"/>
  <c r="C14" i="13"/>
  <c r="C15" i="13"/>
  <c r="B43" i="14" l="1"/>
  <c r="B46" i="14"/>
  <c r="D46" i="14" s="1"/>
  <c r="H15" i="13"/>
  <c r="H14" i="13"/>
  <c r="B41" i="14"/>
  <c r="D41" i="14" s="1"/>
  <c r="I10" i="16"/>
  <c r="I11" i="16"/>
  <c r="D8" i="32" l="1"/>
  <c r="D50" i="32" s="1"/>
  <c r="D8" i="33"/>
  <c r="D43" i="14"/>
  <c r="B49" i="14"/>
  <c r="D49" i="14" s="1"/>
  <c r="B53" i="14"/>
  <c r="D53" i="14" s="1"/>
  <c r="B47" i="14"/>
  <c r="I8" i="16"/>
  <c r="I9" i="16"/>
  <c r="I12" i="16"/>
  <c r="I13" i="16"/>
  <c r="I14" i="16"/>
  <c r="I15" i="16"/>
  <c r="I7" i="16"/>
  <c r="C15" i="5"/>
  <c r="D5" i="5"/>
  <c r="C13" i="5"/>
  <c r="C11" i="5"/>
  <c r="C9" i="5"/>
  <c r="C3" i="5"/>
  <c r="C5" i="5"/>
  <c r="D3" i="5"/>
  <c r="D5" i="8"/>
  <c r="C14" i="8"/>
  <c r="E14" i="8"/>
  <c r="G14" i="8"/>
  <c r="P5" i="7"/>
  <c r="P6" i="7"/>
  <c r="P7" i="7"/>
  <c r="P8" i="7"/>
  <c r="P9" i="7"/>
  <c r="P10" i="7"/>
  <c r="P11" i="7"/>
  <c r="P12" i="7"/>
  <c r="P13" i="7"/>
  <c r="P14" i="7"/>
  <c r="P15" i="7"/>
  <c r="G50" i="32" l="1"/>
  <c r="D31" i="32"/>
  <c r="F50" i="32"/>
  <c r="E24" i="32"/>
  <c r="H50" i="32"/>
  <c r="I50" i="32" s="1"/>
  <c r="E50" i="32"/>
  <c r="D9" i="33"/>
  <c r="E26" i="33"/>
  <c r="D63" i="14"/>
  <c r="B5" i="7"/>
  <c r="B13" i="7" s="1"/>
  <c r="G6" i="14"/>
  <c r="D47" i="14"/>
  <c r="B62" i="14"/>
  <c r="K10" i="13"/>
  <c r="K9" i="13"/>
  <c r="K8" i="13"/>
  <c r="K7" i="13"/>
  <c r="K5" i="13"/>
  <c r="K6" i="13"/>
  <c r="S26" i="28"/>
  <c r="C16" i="13"/>
  <c r="D61" i="14"/>
  <c r="E31" i="32" l="1"/>
  <c r="F31" i="32" s="1"/>
  <c r="H51" i="33"/>
  <c r="G51" i="33"/>
  <c r="F51" i="33"/>
  <c r="D32" i="33"/>
  <c r="E51" i="33"/>
  <c r="D51" i="33"/>
  <c r="E27" i="33"/>
  <c r="D62" i="14"/>
  <c r="B60" i="14"/>
  <c r="B7" i="7"/>
  <c r="B8" i="7" s="1"/>
  <c r="B9" i="7"/>
  <c r="B6" i="7"/>
  <c r="B17" i="7"/>
  <c r="B19" i="7" s="1"/>
  <c r="B20" i="7" s="1"/>
  <c r="B15" i="7"/>
  <c r="B16" i="7" s="1"/>
  <c r="B14" i="7"/>
  <c r="K15" i="13"/>
  <c r="D9" i="13"/>
  <c r="F11" i="28" s="1"/>
  <c r="D10" i="13"/>
  <c r="F12" i="28" s="1"/>
  <c r="S9" i="28"/>
  <c r="D8" i="13"/>
  <c r="F10" i="28" s="1"/>
  <c r="D7" i="13"/>
  <c r="D6" i="13"/>
  <c r="D5" i="13"/>
  <c r="I51" i="33" l="1"/>
  <c r="E32" i="33"/>
  <c r="F32" i="33" s="1"/>
  <c r="S11" i="28" s="1"/>
  <c r="B18" i="7"/>
  <c r="B10" i="7"/>
  <c r="B11" i="7"/>
  <c r="B12" i="7" s="1"/>
  <c r="G7" i="14"/>
  <c r="D60" i="14"/>
  <c r="J16" i="28"/>
  <c r="K16" i="28"/>
  <c r="B50" i="14"/>
  <c r="D15" i="13"/>
  <c r="J6" i="13"/>
  <c r="J10" i="13"/>
  <c r="J5" i="13"/>
  <c r="J7" i="13"/>
  <c r="J8" i="13"/>
  <c r="J9" i="13"/>
  <c r="S17" i="28"/>
  <c r="F8" i="28"/>
  <c r="F9" i="28"/>
  <c r="F7" i="28"/>
  <c r="K14" i="13"/>
  <c r="K16" i="13"/>
  <c r="K20" i="13"/>
  <c r="D14" i="13"/>
  <c r="J10" i="28" l="1"/>
  <c r="S32" i="28"/>
  <c r="S27" i="28"/>
  <c r="J9" i="28"/>
  <c r="J19" i="13"/>
  <c r="J15" i="13"/>
  <c r="J18" i="13"/>
  <c r="B51" i="14"/>
  <c r="H16" i="13"/>
  <c r="K7" i="28" s="1"/>
  <c r="D16" i="13"/>
  <c r="J7" i="28" l="1"/>
  <c r="J15" i="28"/>
  <c r="B52" i="14"/>
  <c r="J16" i="13"/>
  <c r="J14" i="13"/>
  <c r="J20" i="13"/>
  <c r="J10" i="16" l="1"/>
  <c r="K10" i="16" s="1"/>
  <c r="J14" i="16"/>
  <c r="K14" i="16" s="1"/>
  <c r="J15" i="16"/>
  <c r="K15" i="16" s="1"/>
  <c r="J7" i="16"/>
  <c r="K7" i="16" s="1"/>
  <c r="J8" i="16"/>
  <c r="K8" i="16" s="1"/>
  <c r="J11" i="16"/>
  <c r="K11" i="16" s="1"/>
  <c r="J12" i="16"/>
  <c r="K12" i="16" s="1"/>
  <c r="J13" i="16"/>
  <c r="K13" i="16" s="1"/>
  <c r="T23" i="28"/>
  <c r="K6" i="28" s="1"/>
  <c r="T24" i="28"/>
  <c r="J9" i="16"/>
  <c r="K9" i="16" s="1"/>
  <c r="S19" i="28"/>
  <c r="J8" i="28"/>
  <c r="B56" i="14"/>
  <c r="S14" i="28" s="1"/>
  <c r="D52" i="14"/>
  <c r="B57" i="14"/>
  <c r="B55" i="14"/>
  <c r="S13" i="28" s="1"/>
  <c r="D55" i="14" l="1"/>
  <c r="D57" i="14"/>
  <c r="D56" i="14"/>
  <c r="B58" i="14"/>
  <c r="B40" i="14" l="1"/>
  <c r="T16" i="28"/>
  <c r="S16" i="28"/>
  <c r="D58" i="14"/>
  <c r="K16" i="16"/>
  <c r="K14" i="28" s="1"/>
  <c r="J14" i="28" l="1"/>
  <c r="D40" i="14"/>
  <c r="B48" i="14"/>
  <c r="S6" i="28"/>
  <c r="E8" i="32" l="1"/>
  <c r="F45" i="32" s="1"/>
  <c r="E8" i="33"/>
  <c r="S12" i="28"/>
  <c r="S15" i="28" s="1"/>
  <c r="D48" i="14"/>
  <c r="D38" i="32" l="1"/>
  <c r="E45" i="32"/>
  <c r="D45" i="32"/>
  <c r="E38" i="32"/>
  <c r="F38" i="32"/>
  <c r="D46" i="33"/>
  <c r="E9" i="33"/>
  <c r="F46" i="33"/>
  <c r="O23" i="28" s="1"/>
  <c r="D39" i="33"/>
  <c r="E46" i="33"/>
  <c r="F39" i="33"/>
  <c r="E39" i="33"/>
  <c r="O20" i="28" l="1"/>
  <c r="O21" i="28"/>
  <c r="O22" i="28"/>
  <c r="O18" i="28"/>
  <c r="O19" i="28"/>
  <c r="G51" i="32"/>
  <c r="F51" i="32"/>
  <c r="O10" i="28" s="1"/>
  <c r="H51" i="32"/>
  <c r="E52" i="33"/>
  <c r="D51" i="32"/>
  <c r="E51" i="32"/>
  <c r="O9" i="28" s="1"/>
  <c r="G52" i="33"/>
  <c r="F52" i="33"/>
  <c r="D52" i="33"/>
  <c r="H52" i="33"/>
  <c r="O8" i="28" l="1"/>
  <c r="O11" i="28"/>
  <c r="I51" i="32"/>
  <c r="O12" i="28"/>
  <c r="I52" i="33"/>
  <c r="I53" i="33" s="1"/>
  <c r="O14" i="28" l="1"/>
  <c r="I5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A7" authorId="0" shapeId="0" xr:uid="{19E2548D-620B-482A-8A81-9EE2B439C29E}">
      <text>
        <r>
          <rPr>
            <sz val="9"/>
            <color indexed="81"/>
            <rFont val="Tahoma"/>
            <family val="2"/>
          </rPr>
          <t xml:space="preserve">Length of time to fill a pint glass.
</t>
        </r>
      </text>
    </comment>
  </commentList>
</comments>
</file>

<file path=xl/sharedStrings.xml><?xml version="1.0" encoding="utf-8"?>
<sst xmlns="http://schemas.openxmlformats.org/spreadsheetml/2006/main" count="4030" uniqueCount="2148">
  <si>
    <t>=</t>
  </si>
  <si>
    <t>amu</t>
  </si>
  <si>
    <t>C =</t>
  </si>
  <si>
    <t>O =</t>
  </si>
  <si>
    <t>H =</t>
  </si>
  <si>
    <t>Avogadro's #</t>
  </si>
  <si>
    <t>+</t>
  </si>
  <si>
    <t>ethanol</t>
  </si>
  <si>
    <t xml:space="preserve">R = </t>
  </si>
  <si>
    <r>
      <t>L•atm•K</t>
    </r>
    <r>
      <rPr>
        <vertAlign val="superscript"/>
        <sz val="10"/>
        <rFont val="Arial"/>
        <family val="2"/>
      </rPr>
      <t>-1</t>
    </r>
    <r>
      <rPr>
        <sz val="10"/>
        <rFont val="Arial"/>
        <family val="2"/>
      </rPr>
      <t>•mol</t>
    </r>
    <r>
      <rPr>
        <vertAlign val="superscript"/>
        <sz val="10"/>
        <rFont val="Arial"/>
        <family val="2"/>
      </rPr>
      <t>-1</t>
    </r>
  </si>
  <si>
    <t>T =</t>
  </si>
  <si>
    <t xml:space="preserve">P = </t>
  </si>
  <si>
    <t>atm</t>
  </si>
  <si>
    <t>Constants &amp; Variables</t>
  </si>
  <si>
    <t>ºK</t>
  </si>
  <si>
    <r>
      <t>L</t>
    </r>
    <r>
      <rPr>
        <vertAlign val="subscript"/>
        <sz val="10"/>
        <rFont val="Arial"/>
        <family val="2"/>
      </rPr>
      <t>CO2</t>
    </r>
    <r>
      <rPr>
        <sz val="10"/>
        <rFont val="Arial"/>
        <family val="2"/>
      </rPr>
      <t xml:space="preserve"> / L</t>
    </r>
    <r>
      <rPr>
        <vertAlign val="subscript"/>
        <sz val="10"/>
        <rFont val="Arial"/>
        <family val="2"/>
      </rPr>
      <t>beer</t>
    </r>
  </si>
  <si>
    <r>
      <t>g / L</t>
    </r>
    <r>
      <rPr>
        <vertAlign val="subscript"/>
        <sz val="10"/>
        <rFont val="Arial"/>
        <family val="2"/>
      </rPr>
      <t>beer</t>
    </r>
  </si>
  <si>
    <t>oz / gal</t>
  </si>
  <si>
    <t>ºC</t>
  </si>
  <si>
    <t>Temp</t>
  </si>
  <si>
    <t>ºF</t>
  </si>
  <si>
    <t>Beer Style</t>
  </si>
  <si>
    <t>British-style ales</t>
  </si>
  <si>
    <t>1.7 - 2.3</t>
  </si>
  <si>
    <t>1.9 - 2.4</t>
  </si>
  <si>
    <t>2.4 - 2.8</t>
  </si>
  <si>
    <t>3.0 - 4.5</t>
  </si>
  <si>
    <t>3.3 - 4.5</t>
  </si>
  <si>
    <t>Typical Carbonation Levels</t>
  </si>
  <si>
    <t>European lagers</t>
  </si>
  <si>
    <t>Belgian ales</t>
  </si>
  <si>
    <t>Porter, stout</t>
  </si>
  <si>
    <t>Lambic</t>
  </si>
  <si>
    <t>Fruit Lambic</t>
  </si>
  <si>
    <t>German Wheat</t>
  </si>
  <si>
    <r>
      <t>Vol. of CO</t>
    </r>
    <r>
      <rPr>
        <vertAlign val="subscript"/>
        <sz val="10"/>
        <rFont val="Arial"/>
        <family val="2"/>
      </rPr>
      <t>2</t>
    </r>
  </si>
  <si>
    <r>
      <t>Preferred Vol. of CO</t>
    </r>
    <r>
      <rPr>
        <vertAlign val="subscript"/>
        <sz val="10"/>
        <rFont val="Arial"/>
        <family val="2"/>
      </rPr>
      <t>2</t>
    </r>
    <r>
      <rPr>
        <sz val="10"/>
        <rFont val="Arial"/>
        <family val="2"/>
      </rPr>
      <t xml:space="preserve"> =</t>
    </r>
  </si>
  <si>
    <t>Saturation Volume</t>
  </si>
  <si>
    <r>
      <t>Saturation Vol. of CO</t>
    </r>
    <r>
      <rPr>
        <vertAlign val="subscript"/>
        <sz val="10"/>
        <rFont val="Arial"/>
        <family val="2"/>
      </rPr>
      <t>2</t>
    </r>
    <r>
      <rPr>
        <sz val="10"/>
        <rFont val="Arial"/>
        <family val="2"/>
      </rPr>
      <t xml:space="preserve"> =</t>
    </r>
  </si>
  <si>
    <r>
      <t>C</t>
    </r>
    <r>
      <rPr>
        <vertAlign val="subscript"/>
        <sz val="12"/>
        <rFont val="Arial"/>
        <family val="2"/>
      </rPr>
      <t>6</t>
    </r>
    <r>
      <rPr>
        <sz val="12"/>
        <rFont val="Arial"/>
        <family val="2"/>
      </rPr>
      <t>H</t>
    </r>
    <r>
      <rPr>
        <vertAlign val="subscript"/>
        <sz val="12"/>
        <rFont val="Arial"/>
        <family val="2"/>
      </rPr>
      <t>12</t>
    </r>
    <r>
      <rPr>
        <sz val="12"/>
        <rFont val="Arial"/>
        <family val="2"/>
      </rPr>
      <t>O</t>
    </r>
    <r>
      <rPr>
        <vertAlign val="subscript"/>
        <sz val="12"/>
        <rFont val="Arial"/>
        <family val="2"/>
      </rPr>
      <t>6</t>
    </r>
  </si>
  <si>
    <r>
      <t>2(CH</t>
    </r>
    <r>
      <rPr>
        <vertAlign val="subscript"/>
        <sz val="12"/>
        <rFont val="Arial"/>
        <family val="2"/>
      </rPr>
      <t>3</t>
    </r>
    <r>
      <rPr>
        <sz val="12"/>
        <rFont val="Arial"/>
        <family val="2"/>
      </rPr>
      <t>CH</t>
    </r>
    <r>
      <rPr>
        <vertAlign val="subscript"/>
        <sz val="12"/>
        <rFont val="Arial"/>
        <family val="2"/>
      </rPr>
      <t>2</t>
    </r>
    <r>
      <rPr>
        <sz val="12"/>
        <rFont val="Arial"/>
        <family val="2"/>
      </rPr>
      <t>OH)</t>
    </r>
  </si>
  <si>
    <r>
      <t>2(CO</t>
    </r>
    <r>
      <rPr>
        <vertAlign val="subscript"/>
        <sz val="12"/>
        <rFont val="Arial"/>
        <family val="2"/>
      </rPr>
      <t>2</t>
    </r>
    <r>
      <rPr>
        <sz val="12"/>
        <rFont val="Arial"/>
        <family val="2"/>
      </rPr>
      <t>)</t>
    </r>
  </si>
  <si>
    <t>→</t>
  </si>
  <si>
    <t>glucose</t>
  </si>
  <si>
    <t>carbon dioxide</t>
  </si>
  <si>
    <t>CO2 g/L</t>
  </si>
  <si>
    <r>
      <t>CO</t>
    </r>
    <r>
      <rPr>
        <vertAlign val="subscript"/>
        <sz val="10"/>
        <rFont val="Arial"/>
        <family val="2"/>
      </rPr>
      <t>2</t>
    </r>
    <r>
      <rPr>
        <sz val="10"/>
        <rFont val="Arial"/>
        <family val="2"/>
      </rPr>
      <t xml:space="preserve"> g/L</t>
    </r>
  </si>
  <si>
    <t>2.7 - 3.9</t>
  </si>
  <si>
    <t>3.7 - 4.7</t>
  </si>
  <si>
    <t>4.3 - 5.3</t>
  </si>
  <si>
    <t>4.7 - 5.3</t>
  </si>
  <si>
    <t>6.5 - 8.8</t>
  </si>
  <si>
    <t>5.9 - 8.8</t>
  </si>
  <si>
    <r>
      <t>Saturation CO</t>
    </r>
    <r>
      <rPr>
        <vertAlign val="subscript"/>
        <sz val="10"/>
        <rFont val="Arial"/>
        <family val="2"/>
      </rPr>
      <t>2</t>
    </r>
    <r>
      <rPr>
        <sz val="10"/>
        <rFont val="Arial"/>
        <family val="2"/>
      </rPr>
      <t xml:space="preserve"> =</t>
    </r>
  </si>
  <si>
    <r>
      <t>Preferred CO</t>
    </r>
    <r>
      <rPr>
        <vertAlign val="subscript"/>
        <sz val="10"/>
        <rFont val="Arial"/>
        <family val="2"/>
      </rPr>
      <t>2</t>
    </r>
    <r>
      <rPr>
        <sz val="10"/>
        <rFont val="Arial"/>
        <family val="2"/>
      </rPr>
      <t xml:space="preserve"> =</t>
    </r>
  </si>
  <si>
    <r>
      <t>g</t>
    </r>
    <r>
      <rPr>
        <vertAlign val="subscript"/>
        <sz val="10"/>
        <rFont val="Arial"/>
        <family val="2"/>
      </rPr>
      <t>CO2</t>
    </r>
    <r>
      <rPr>
        <sz val="10"/>
        <rFont val="Arial"/>
        <family val="2"/>
      </rPr>
      <t xml:space="preserve"> / L</t>
    </r>
    <r>
      <rPr>
        <vertAlign val="subscript"/>
        <sz val="10"/>
        <rFont val="Arial"/>
        <family val="2"/>
      </rPr>
      <t>beer</t>
    </r>
  </si>
  <si>
    <t>Pure Glucose</t>
  </si>
  <si>
    <t>Dextrose Monohydrate (Corn Sugar)</t>
  </si>
  <si>
    <r>
      <t>1</t>
    </r>
    <r>
      <rPr>
        <sz val="10"/>
        <rFont val="Arial"/>
        <family val="2"/>
      </rPr>
      <t xml:space="preserve"> HOMEBREW DIGEST #1796 (hbd.org/archive/1796.html)</t>
    </r>
  </si>
  <si>
    <r>
      <t>2</t>
    </r>
    <r>
      <rPr>
        <sz val="10"/>
        <rFont val="Arial"/>
        <family val="2"/>
      </rPr>
      <t xml:space="preserve"> Technical Guide to Bulk Priming (oz.craftbrewer.org/Library/Methods/BulkPriming/TechnicalGuide.shtml)</t>
    </r>
  </si>
  <si>
    <r>
      <t>3</t>
    </r>
    <r>
      <rPr>
        <sz val="10"/>
        <rFont val="Arial"/>
        <family val="2"/>
      </rPr>
      <t xml:space="preserve"> A Primer on Priming (www.brewery.org/library/YPrimerMH.html)</t>
    </r>
  </si>
  <si>
    <r>
      <t>Priming Sugar (Method #2)</t>
    </r>
    <r>
      <rPr>
        <vertAlign val="superscript"/>
        <sz val="10"/>
        <rFont val="Arial"/>
        <family val="2"/>
      </rPr>
      <t>2</t>
    </r>
  </si>
  <si>
    <r>
      <t>Dry Malt Extract</t>
    </r>
    <r>
      <rPr>
        <vertAlign val="superscript"/>
        <sz val="10"/>
        <rFont val="Arial"/>
        <family val="2"/>
      </rPr>
      <t>3</t>
    </r>
  </si>
  <si>
    <r>
      <t>Liquid Malt Extract</t>
    </r>
    <r>
      <rPr>
        <vertAlign val="superscript"/>
        <sz val="10"/>
        <rFont val="Arial"/>
        <family val="2"/>
      </rPr>
      <t>3</t>
    </r>
  </si>
  <si>
    <r>
      <t>Required Priming Sugar (Method #1)</t>
    </r>
    <r>
      <rPr>
        <vertAlign val="superscript"/>
        <sz val="10"/>
        <rFont val="Arial"/>
        <family val="2"/>
      </rPr>
      <t>1</t>
    </r>
  </si>
  <si>
    <r>
      <t>Vol. of CO</t>
    </r>
    <r>
      <rPr>
        <vertAlign val="subscript"/>
        <sz val="10"/>
        <rFont val="Arial"/>
        <family val="2"/>
      </rPr>
      <t xml:space="preserve">2 </t>
    </r>
    <r>
      <rPr>
        <sz val="10"/>
        <rFont val="Arial"/>
        <family val="2"/>
      </rPr>
      <t>(L)</t>
    </r>
  </si>
  <si>
    <t>Type</t>
  </si>
  <si>
    <t>Description</t>
  </si>
  <si>
    <t>American ales</t>
  </si>
  <si>
    <t>American lagers</t>
  </si>
  <si>
    <t>1.5 - 2.2</t>
  </si>
  <si>
    <t>2.8 - 5.1</t>
  </si>
  <si>
    <t>2.2 - 3.0</t>
  </si>
  <si>
    <t>2.5 - 2.8</t>
  </si>
  <si>
    <t>2.4 - 2.6</t>
  </si>
  <si>
    <t xml:space="preserve"> Extract to All-Grain Conversion</t>
  </si>
  <si>
    <t>Pale Malt (lb)</t>
  </si>
  <si>
    <t>Wheat Malt (lb)</t>
  </si>
  <si>
    <t>All-Grain to Extract Conversion</t>
  </si>
  <si>
    <t>LME (lb)</t>
  </si>
  <si>
    <t>DME (lb)</t>
  </si>
  <si>
    <t>LWE (lb)</t>
  </si>
  <si>
    <t>DWE (lb)</t>
  </si>
  <si>
    <t>DME - Dry Malt Extract</t>
  </si>
  <si>
    <t>LME - Liquid Malt Extract</t>
  </si>
  <si>
    <t>LWE - Liquid Wheat Extract</t>
  </si>
  <si>
    <t>DWE - Dry Wheat Extract</t>
  </si>
  <si>
    <t>IBU</t>
  </si>
  <si>
    <t>U</t>
  </si>
  <si>
    <t>Grain</t>
  </si>
  <si>
    <t>Total IBU</t>
  </si>
  <si>
    <t>Species</t>
  </si>
  <si>
    <t>Alpha (%)</t>
  </si>
  <si>
    <t>Time (min)</t>
  </si>
  <si>
    <t>Hops Additions (Tinseth Equation)</t>
  </si>
  <si>
    <t>% Bill</t>
  </si>
  <si>
    <t>Extract Efficiency</t>
  </si>
  <si>
    <t>Extract Eff (%)</t>
  </si>
  <si>
    <t>U Adj Factor</t>
  </si>
  <si>
    <t>Total Grain</t>
  </si>
  <si>
    <t>Units</t>
  </si>
  <si>
    <t>Water/Grist Ratio</t>
  </si>
  <si>
    <t>Strike Water Temp</t>
  </si>
  <si>
    <t>Ambient Grain Temp</t>
  </si>
  <si>
    <t>Value</t>
  </si>
  <si>
    <t>%</t>
  </si>
  <si>
    <t>Pre-Boil Volume</t>
  </si>
  <si>
    <t>Post-Boil Volume</t>
  </si>
  <si>
    <t>Size of Mash Tun</t>
  </si>
  <si>
    <t>Evaporation Rate</t>
  </si>
  <si>
    <t>Size of Boil Kettle</t>
  </si>
  <si>
    <t>Boil Time</t>
  </si>
  <si>
    <t>Lauter Tun Deadspace</t>
  </si>
  <si>
    <t>Account for evaporation loss and wort cooling shrinkage</t>
  </si>
  <si>
    <t>Effect of cooling wort from boil to pitching temp</t>
  </si>
  <si>
    <t>Evaporation Loss</t>
  </si>
  <si>
    <t>Cooling Loss</t>
  </si>
  <si>
    <t>Adjustment Factors:</t>
  </si>
  <si>
    <t>Pellet:</t>
  </si>
  <si>
    <t>Plug:</t>
  </si>
  <si>
    <t>Leaf:</t>
  </si>
  <si>
    <t>Total Vol (Grain + Water)</t>
  </si>
  <si>
    <t>Sparge Vol Available</t>
  </si>
  <si>
    <t>Number of Steps Required</t>
  </si>
  <si>
    <t>Max Fill for Mash Tun</t>
  </si>
  <si>
    <t>Optimize # steps</t>
  </si>
  <si>
    <t>Dry Grain Volume Used</t>
  </si>
  <si>
    <t>Style:</t>
  </si>
  <si>
    <t>Brewer:</t>
  </si>
  <si>
    <t>Brew Date:</t>
  </si>
  <si>
    <t>Hop Bill &amp; Schedule</t>
  </si>
  <si>
    <t>FWH:</t>
  </si>
  <si>
    <t>Name</t>
  </si>
  <si>
    <t>Other Ingredients/Additions</t>
  </si>
  <si>
    <t>ABV:</t>
  </si>
  <si>
    <t>BEER-N-BBQ by Larry</t>
  </si>
  <si>
    <t>Grain Bill, Adjunct, &amp; Extract Yield Calculations</t>
  </si>
  <si>
    <t>Total Combined</t>
  </si>
  <si>
    <t>Mash S.G. Contribution</t>
  </si>
  <si>
    <t>Actual</t>
  </si>
  <si>
    <t>Total S.G.</t>
  </si>
  <si>
    <t>° Brix</t>
  </si>
  <si>
    <t>PayPal Donation for BEER-N-BBQ by Larry</t>
  </si>
  <si>
    <t>Support my work by donating on PayPal:</t>
  </si>
  <si>
    <t xml:space="preserve">Amount </t>
  </si>
  <si>
    <t>Qty</t>
  </si>
  <si>
    <t>Typical range: 1.25-1.5 qt/lb (2.6-3.1 L/kg)</t>
  </si>
  <si>
    <t>Desired Mash Temp</t>
  </si>
  <si>
    <t>Category:</t>
  </si>
  <si>
    <t>NA</t>
  </si>
  <si>
    <t>Varies</t>
  </si>
  <si>
    <t>Flavor Description</t>
  </si>
  <si>
    <t>Admiral (U.K.)</t>
  </si>
  <si>
    <t>13.5-16%</t>
  </si>
  <si>
    <t>U.K. Challenger, U.K. Northdown, U.K. Target</t>
  </si>
  <si>
    <t>Known for its bittering potential.</t>
  </si>
  <si>
    <t>4-6.3%</t>
  </si>
  <si>
    <t>Amarillo, Cascade</t>
  </si>
  <si>
    <t>Floral, citrus, sharp, and piney.</t>
  </si>
  <si>
    <t>Amarillo</t>
  </si>
  <si>
    <t>8-9%</t>
  </si>
  <si>
    <t>Cascade, Centennial</t>
  </si>
  <si>
    <t>Citrusy, flowery.</t>
  </si>
  <si>
    <t>Apollo</t>
  </si>
  <si>
    <t>15-19%</t>
  </si>
  <si>
    <t>Zeus</t>
  </si>
  <si>
    <t>A high alpha acid varietal known for its disease resistance.</t>
  </si>
  <si>
    <t>Bramling Cross (U.K.)</t>
  </si>
  <si>
    <t>5-7%</t>
  </si>
  <si>
    <t>U.K. Kent Golding, U.K. Progress, Whitbread Golding Variety</t>
  </si>
  <si>
    <t>Quite mild, fruity currant aroma.</t>
  </si>
  <si>
    <t>Bravo</t>
  </si>
  <si>
    <t>14-17%</t>
  </si>
  <si>
    <t>Apollo, Zeus</t>
  </si>
  <si>
    <t>Brewer's Gold (German)</t>
  </si>
  <si>
    <t>6-7%</t>
  </si>
  <si>
    <t>Bullion, Galena, Northdown, Northern Brewer</t>
  </si>
  <si>
    <t>Black currant, fruity, spicy.</t>
  </si>
  <si>
    <t>Brewer's Gold (U.S.)</t>
  </si>
  <si>
    <t>7-10%</t>
  </si>
  <si>
    <t>Bullion</t>
  </si>
  <si>
    <t>Bittering hop with neutral aroma character.</t>
  </si>
  <si>
    <t>Bullion (U.K.)</t>
  </si>
  <si>
    <t>6.5-9%</t>
  </si>
  <si>
    <t>Columbus, Northern Brewer</t>
  </si>
  <si>
    <t>A rich hop primarily used for bittering. Intense blackcurrant aroma.</t>
  </si>
  <si>
    <t>Cascade (Argentina)</t>
  </si>
  <si>
    <t>3-5%</t>
  </si>
  <si>
    <t>Any noble hops</t>
  </si>
  <si>
    <t>Different than US grown Cascades with more of a spicy flavor and lemony aroma.</t>
  </si>
  <si>
    <t>Cascade (New Zealand)</t>
  </si>
  <si>
    <t>6-8%</t>
  </si>
  <si>
    <t>Ahtanum, Cascade, Centennial</t>
  </si>
  <si>
    <t>Similar to US Cascade, has floral, citrus grapefruit character.</t>
  </si>
  <si>
    <t>Cascade (U.S.)</t>
  </si>
  <si>
    <t>4.5-7%</t>
  </si>
  <si>
    <t>Amarillo, Centennial, possibly Columbus</t>
  </si>
  <si>
    <t>Pleasant, flowery, spicy, and citrusy. Can have a grapefruit flavor.</t>
  </si>
  <si>
    <t>Centennial</t>
  </si>
  <si>
    <t>8-11.5%</t>
  </si>
  <si>
    <t>Cascade, possibly Columbus</t>
  </si>
  <si>
    <t>Medium with floral and citrus tones.</t>
  </si>
  <si>
    <t>Challenger (U.K.)</t>
  </si>
  <si>
    <t>6.5-8.5%</t>
  </si>
  <si>
    <t>Northern Brewer, U.S. or German Perle</t>
  </si>
  <si>
    <t>Mild to moderate, quite spicy.</t>
  </si>
  <si>
    <t>Chinook</t>
  </si>
  <si>
    <t>10-14%</t>
  </si>
  <si>
    <t>Columbus, Northern Brewer, Nugget, U.K. Target</t>
  </si>
  <si>
    <t>Mild to medium-heavy, spicy, piney, and grapefruity.</t>
  </si>
  <si>
    <t>Cluster</t>
  </si>
  <si>
    <t>5.5-8.5%</t>
  </si>
  <si>
    <t>Galena</t>
  </si>
  <si>
    <t>Medium and quite spicy.</t>
  </si>
  <si>
    <t>Columbus</t>
  </si>
  <si>
    <t>11-16%</t>
  </si>
  <si>
    <t>Chinook, Northern Brewer, Nugget, U.K. Target</t>
  </si>
  <si>
    <t>Pleasant, with pungent aroma.</t>
  </si>
  <si>
    <t>Eroica (German)</t>
  </si>
  <si>
    <t>9-12%</t>
  </si>
  <si>
    <t>Chinook, Galena, Nugget</t>
  </si>
  <si>
    <t>Strong but pleasant aroma.</t>
  </si>
  <si>
    <t>First Gold (U.K.)</t>
  </si>
  <si>
    <t>maybe Crystal, U.K. Kent Golding</t>
  </si>
  <si>
    <t>A little like Golding family; spicy.</t>
  </si>
  <si>
    <t>Fuggle (U.K.)</t>
  </si>
  <si>
    <t>4-5.5%</t>
  </si>
  <si>
    <t>Styrian Golding, U.S. Fuggle, Willamette</t>
  </si>
  <si>
    <t>Mild, pleasant, hoppy, and robust.</t>
  </si>
  <si>
    <t>Fuggle (U.S.)</t>
  </si>
  <si>
    <t>Styrian Golding, U.K. Fuggle, U.S. Tettnanger, Willamette</t>
  </si>
  <si>
    <t>Mild and pleasant, earthy and fruity.</t>
  </si>
  <si>
    <t>Chinook, Nugget, Pride of Ringwood</t>
  </si>
  <si>
    <t>Medium but pleasant hoppiness, citrusy.</t>
  </si>
  <si>
    <t>Glacier (U.S.)</t>
  </si>
  <si>
    <t>5-9%</t>
  </si>
  <si>
    <t>Styrian Golding, U.S. Fuggle, U.S. Tettnanger, Willamette</t>
  </si>
  <si>
    <t>Dual purpose hop with a citrus earthy aroma.</t>
  </si>
  <si>
    <t>Golding (U.S.)</t>
  </si>
  <si>
    <t>4-6%</t>
  </si>
  <si>
    <t>U.K. Golding, U.K. Progress, Whitbread Golding Variety</t>
  </si>
  <si>
    <t>Mild, extremely pleasant, and gently hoppy.</t>
  </si>
  <si>
    <t>Green Bullet (New Zealand)</t>
  </si>
  <si>
    <t>11-14%</t>
  </si>
  <si>
    <t>Crystal, Hallertauer Tradition, Liberty, Mt. Hood, Ultra</t>
  </si>
  <si>
    <t>Dual purpose hop.</t>
  </si>
  <si>
    <t>Hallertau Aroma (New Zealand)</t>
  </si>
  <si>
    <t>Perle</t>
  </si>
  <si>
    <t>A dual purpose hop which has been used to replace Perle</t>
  </si>
  <si>
    <t>Hallertauer (U.S.)</t>
  </si>
  <si>
    <t>3.5-5.5%</t>
  </si>
  <si>
    <t>Hallertauer Tradition, Liberty, Ultra</t>
  </si>
  <si>
    <t>Very mild, pleasant, and slightly flowery, some spicy.</t>
  </si>
  <si>
    <t>Hallertauer Gold (German)</t>
  </si>
  <si>
    <t>6-6.5%</t>
  </si>
  <si>
    <t>Crystal, Mt. Hood</t>
  </si>
  <si>
    <t>Known for its aromatic properties similar to Hallertauer.</t>
  </si>
  <si>
    <t>Hallertauer Mittelfrüh (German)</t>
  </si>
  <si>
    <t>3-5.5%</t>
  </si>
  <si>
    <t>German Tradition, Liberty, Ultra</t>
  </si>
  <si>
    <t>Mild and pleasant.</t>
  </si>
  <si>
    <t>Hallertauer Tradition (German)</t>
  </si>
  <si>
    <t>Crystal, Liberty</t>
  </si>
  <si>
    <t>Known for its aromatic properties. A replacement for Hallertauer Mittelfrüh.</t>
  </si>
  <si>
    <t>Herald (U.K.)</t>
  </si>
  <si>
    <t>11-13%</t>
  </si>
  <si>
    <t>New dual-purpose hop</t>
  </si>
  <si>
    <t>Hersbrucker (German)</t>
  </si>
  <si>
    <t>French Strisslespalt, Mt. Hood</t>
  </si>
  <si>
    <t>Mild to semi-strong, pleasant, hoppy.</t>
  </si>
  <si>
    <t>Horizon</t>
  </si>
  <si>
    <t>Kent Golding (U.K.)</t>
  </si>
  <si>
    <t>U.K. Progress, U.S. Golding, Whitbread Golding Variety</t>
  </si>
  <si>
    <t>Gentle, fragrant, and pleasant.</t>
  </si>
  <si>
    <t>Liberty</t>
  </si>
  <si>
    <t>3-6%</t>
  </si>
  <si>
    <t>Hallertauer, Hallertauer Tradition, Mt. Hood</t>
  </si>
  <si>
    <t>Mild and clean aroma, slightly spicy character.</t>
  </si>
  <si>
    <t>Magnum</t>
  </si>
  <si>
    <t>13-15%</t>
  </si>
  <si>
    <t>Northern Brewer</t>
  </si>
  <si>
    <t>Known for bittering value and quality.</t>
  </si>
  <si>
    <t>Mt. Hood</t>
  </si>
  <si>
    <t>3-8%</t>
  </si>
  <si>
    <t>Crystal, French Strisslespalt, Hersbrucker</t>
  </si>
  <si>
    <t>Mild, pleasant, and clean, somewhat pungent and resiny.</t>
  </si>
  <si>
    <t>Nelson Sauvin (New Zealand)</t>
  </si>
  <si>
    <t>12-14%</t>
  </si>
  <si>
    <t>Newport</t>
  </si>
  <si>
    <t>13-17%</t>
  </si>
  <si>
    <t>Galena, Nugget</t>
  </si>
  <si>
    <t>Fairly pungent.</t>
  </si>
  <si>
    <t>Northdown (U.K.)</t>
  </si>
  <si>
    <t>7.5-9.5%</t>
  </si>
  <si>
    <t>Fruity with some spiciness.</t>
  </si>
  <si>
    <t>Northern Brewer (German)</t>
  </si>
  <si>
    <t>Chinook, U.S. Northern Brewer</t>
  </si>
  <si>
    <t>Medium-strong with some wild tones.</t>
  </si>
  <si>
    <t>Northern Brewer (U.S.)</t>
  </si>
  <si>
    <t>6-10%</t>
  </si>
  <si>
    <t>Chinook, Nugget</t>
  </si>
  <si>
    <t>Northwest Golding</t>
  </si>
  <si>
    <t>4-5%</t>
  </si>
  <si>
    <t>Known for aromatic properties.</t>
  </si>
  <si>
    <t>Nugget</t>
  </si>
  <si>
    <t>11-14.5%</t>
  </si>
  <si>
    <t>Chinook, Columbus, Galena, U.K. Target</t>
  </si>
  <si>
    <t>Quite heavy and herbal.</t>
  </si>
  <si>
    <t>Olympic</t>
  </si>
  <si>
    <t>Mild to medium, citrusy aroma, spicy.</t>
  </si>
  <si>
    <t>Pacific Gem (New Zealand)</t>
  </si>
  <si>
    <t>Pacific Jade (New Zealand)</t>
  </si>
  <si>
    <t>A "soft" bittering hop with spicy and citrus aroma qualities.</t>
  </si>
  <si>
    <t>Pacifica (New Zealand)</t>
  </si>
  <si>
    <t>5-6%</t>
  </si>
  <si>
    <t>Hallertau family</t>
  </si>
  <si>
    <t>An aroma hop with some citrus and floral character</t>
  </si>
  <si>
    <t>5.5-9.5%</t>
  </si>
  <si>
    <t>Perhaps Cascade</t>
  </si>
  <si>
    <t>Some "American" characteristics.</t>
  </si>
  <si>
    <t>Perle (German)</t>
  </si>
  <si>
    <t>6-8.5%</t>
  </si>
  <si>
    <t>Northern Brewer, U.S. Perle</t>
  </si>
  <si>
    <t>Moderately intense, good and hoppy, fruity and a little spicy.</t>
  </si>
  <si>
    <t>Perle (U.S.)</t>
  </si>
  <si>
    <t>6-9.5%</t>
  </si>
  <si>
    <t>Chinook, Cluster, Galena, Northern Brewer</t>
  </si>
  <si>
    <t>Known for its aromatic and bittering properties, pleasant and slightly spicy.</t>
  </si>
  <si>
    <t>Phoenix (U.K.)</t>
  </si>
  <si>
    <t>U.K. Challenger, U.K. Kent Golding, U.K. Northdown</t>
  </si>
  <si>
    <t>Pioneer (U.K.)</t>
  </si>
  <si>
    <t>8-10%</t>
  </si>
  <si>
    <t>U.K. Kent Golding</t>
  </si>
  <si>
    <t>A mild, typical English aroma.</t>
  </si>
  <si>
    <t>Pride of Ringwood (Australia)</t>
  </si>
  <si>
    <t>Cluster, Galena</t>
  </si>
  <si>
    <t>Quite pronounced, woody, earthy, herbal.</t>
  </si>
  <si>
    <t>Progress (U.K.)</t>
  </si>
  <si>
    <t>5-7.5%</t>
  </si>
  <si>
    <t>Fuggle, U.K. Kent Golding</t>
  </si>
  <si>
    <t>Moderately strong, good aroma.</t>
  </si>
  <si>
    <t>Riwaka (New Zealand)</t>
  </si>
  <si>
    <t>4.5-6.5%</t>
  </si>
  <si>
    <t>Czech Saaz, possible American "C" hops</t>
  </si>
  <si>
    <t>Citrusy, grapefruit aroma hop</t>
  </si>
  <si>
    <t>Saaz (Czech)</t>
  </si>
  <si>
    <t>3-4.5%</t>
  </si>
  <si>
    <t>U.S. Saaz</t>
  </si>
  <si>
    <t>Very mild with pleasant hoppy notes, earthy, spicy, and herbal.</t>
  </si>
  <si>
    <t>Saaz (U.S.)</t>
  </si>
  <si>
    <t>Czech Saaz</t>
  </si>
  <si>
    <t>Mild and pleasant, earthy and spicy.</t>
  </si>
  <si>
    <t>Santiam</t>
  </si>
  <si>
    <t>5-7.9%</t>
  </si>
  <si>
    <t>German Spalt, German Spalt Select, German Tettnanger</t>
  </si>
  <si>
    <t>Noble characteristics.</t>
  </si>
  <si>
    <t>Saphir (German)</t>
  </si>
  <si>
    <t>2.5-4.5%</t>
  </si>
  <si>
    <t>Mild aroma hop.</t>
  </si>
  <si>
    <t>Satus</t>
  </si>
  <si>
    <t>12.5-14%</t>
  </si>
  <si>
    <t>Known for its bittering and aromatic properties.</t>
  </si>
  <si>
    <t>Simcoe</t>
  </si>
  <si>
    <t>A bittering and aromatic hop.</t>
  </si>
  <si>
    <t>Sladek (Czech)</t>
  </si>
  <si>
    <t>Czech Saaz, U.S. Saaz, U.S. Tettnanger</t>
  </si>
  <si>
    <t>A dual-purpose Saaz hybrid.</t>
  </si>
  <si>
    <t>Sorachi Ace (Japan)</t>
  </si>
  <si>
    <t>13-16%</t>
  </si>
  <si>
    <t>Bittering hop with lemony aroma</t>
  </si>
  <si>
    <t>Southern Cross (New Zealand)</t>
  </si>
  <si>
    <t>Piney, resinous bittering hop</t>
  </si>
  <si>
    <t>Spalt (German)</t>
  </si>
  <si>
    <t>German Spalt Select, U.S. Saaz, U.S. Tettnanger</t>
  </si>
  <si>
    <t>Mild and pleasant, slightly spicy.</t>
  </si>
  <si>
    <t>Spalt Select (German)</t>
  </si>
  <si>
    <t>German Spalt, U.S. Saaz, U.S. Tettnanger</t>
  </si>
  <si>
    <t>Very fine Spalter-type aroma.</t>
  </si>
  <si>
    <t>Spalt Select (U.S.)</t>
  </si>
  <si>
    <t>Saaz, Tettnanger</t>
  </si>
  <si>
    <t>Medium intensity and pleasant hoppy qualities. Medium-strong aroma with wild American tones.</t>
  </si>
  <si>
    <t>Sterling</t>
  </si>
  <si>
    <t>6-9%</t>
  </si>
  <si>
    <t>Saaz</t>
  </si>
  <si>
    <t>Herbal, spicy, pleasant aroma, hint of floral and citrus.</t>
  </si>
  <si>
    <t>Strisslespalt (France)</t>
  </si>
  <si>
    <t>Crystal, Hersbrucker, Mt. Hood</t>
  </si>
  <si>
    <t>Medium intensity, pleasant, hoppy.</t>
  </si>
  <si>
    <t>Styrian Golding (Slovenia)</t>
  </si>
  <si>
    <t>4.5-6%</t>
  </si>
  <si>
    <t>U.K. Fuggle, U.S. Fuggle, Willamette</t>
  </si>
  <si>
    <t>Delicate, slightly spicy.</t>
  </si>
  <si>
    <t>16-18%</t>
  </si>
  <si>
    <t>Ultra high-alpha bittering hop</t>
  </si>
  <si>
    <t>Sun</t>
  </si>
  <si>
    <t>12-16%</t>
  </si>
  <si>
    <t>High-alpha hop with intense character</t>
  </si>
  <si>
    <t>Super Alpha (New Zealand)</t>
  </si>
  <si>
    <t>10-12%</t>
  </si>
  <si>
    <t>Earthy, piney bittering hop.</t>
  </si>
  <si>
    <t>Super Pride (Australia)</t>
  </si>
  <si>
    <t>Pride of Ringwood</t>
  </si>
  <si>
    <t>A high alpha variety bred from Pride of Ringwood.</t>
  </si>
  <si>
    <t>Target (U.K.)</t>
  </si>
  <si>
    <t>9.5-12.5%</t>
  </si>
  <si>
    <t>Fuggle, Willamette</t>
  </si>
  <si>
    <t>Pleasant English hop aroma, quite intense.</t>
  </si>
  <si>
    <t>Tettnanger (German)</t>
  </si>
  <si>
    <t>German Spalt, German Spalt Select, Saaz, U.S. Tettnanger</t>
  </si>
  <si>
    <t>Mild and pleasant, slightly spicy, herbal.</t>
  </si>
  <si>
    <t>Tettnanger (U.S.)</t>
  </si>
  <si>
    <t>3.4-5.2%</t>
  </si>
  <si>
    <t>Czech Saaz, German Spalt, Santiam</t>
  </si>
  <si>
    <t>An aromatic hop, mild and slightly spicy.</t>
  </si>
  <si>
    <t>15-17%</t>
  </si>
  <si>
    <t>Primarily a bittering hop.</t>
  </si>
  <si>
    <t>Tradition (German)</t>
  </si>
  <si>
    <t>Hallertauer Mittelfrüh, Hersbrucker</t>
  </si>
  <si>
    <t>Very fine and similar to Hallertauer Mittelfrüh.</t>
  </si>
  <si>
    <t>Ultra</t>
  </si>
  <si>
    <t>2-4.1%</t>
  </si>
  <si>
    <t>Hallertauer Tradition, Liberty, Saaz</t>
  </si>
  <si>
    <t>Very good to outstanding, some Saaz-like qualities. Aromatic properties similar to Hallertauer.</t>
  </si>
  <si>
    <t>Vanguard</t>
  </si>
  <si>
    <t>4-5.7%</t>
  </si>
  <si>
    <t>Hallertauer Mittelfrüh, Saaz</t>
  </si>
  <si>
    <t>Aroma similar to continental European types.</t>
  </si>
  <si>
    <t>Willamette</t>
  </si>
  <si>
    <t>3.5-6%</t>
  </si>
  <si>
    <t>Styrian Golding, U.S. Fuggle, U.S. Tettnanger</t>
  </si>
  <si>
    <t>Mild and pleasant, slightly spicy, fruity, floral, a little earthy.</t>
  </si>
  <si>
    <t>Yakima Cluster</t>
  </si>
  <si>
    <t>Used as a kettle hop for bittering.</t>
  </si>
  <si>
    <t>Aromatic and pleasant.</t>
  </si>
  <si>
    <t>Lab</t>
  </si>
  <si>
    <t>Floc.</t>
  </si>
  <si>
    <t>L</t>
  </si>
  <si>
    <t>White Labs</t>
  </si>
  <si>
    <t>Medium</t>
  </si>
  <si>
    <t>75-80%</t>
  </si>
  <si>
    <t>Abbey Ale WLP530</t>
  </si>
  <si>
    <t>Med/High</t>
  </si>
  <si>
    <t>Produces fruitiness and plum characteristics.</t>
  </si>
  <si>
    <t>Alt Ale BRY 144</t>
  </si>
  <si>
    <t>Siebel Inst.</t>
  </si>
  <si>
    <t>High</t>
  </si>
  <si>
    <t>Amer. Hefeweizen Ale WLP320</t>
  </si>
  <si>
    <t>Low</t>
  </si>
  <si>
    <t>70-75%</t>
  </si>
  <si>
    <t>Produces a slight amount of banana and clove notes.</t>
  </si>
  <si>
    <t>American Ale 1056</t>
  </si>
  <si>
    <t>Wyeast</t>
  </si>
  <si>
    <t>Low/Med</t>
  </si>
  <si>
    <t>73-77%</t>
  </si>
  <si>
    <t>Well balanced. Ferments dry, finishes soft.</t>
  </si>
  <si>
    <t>American Ale BRY 96</t>
  </si>
  <si>
    <t>Very clean ale flavor.</t>
  </si>
  <si>
    <t>American Ale II 1272</t>
  </si>
  <si>
    <t>72-76%</t>
  </si>
  <si>
    <t>Slightly nutty, soft, clean and tart finish.</t>
  </si>
  <si>
    <t>American Ale Yeast Blend WLP060</t>
  </si>
  <si>
    <t>72-80%</t>
  </si>
  <si>
    <t>Blend celebrates the strengths of California ale strains.</t>
  </si>
  <si>
    <t>American Wheat 1010</t>
  </si>
  <si>
    <t>74-78%</t>
  </si>
  <si>
    <t>Produces a dry, slightly tart, crisp beer.</t>
  </si>
  <si>
    <t>Australian Ale WLP009</t>
  </si>
  <si>
    <t>For a clean, malty and bready beer.</t>
  </si>
  <si>
    <t>Bastogne Belgian Ale Yeast WLP510</t>
  </si>
  <si>
    <t>74-80%</t>
  </si>
  <si>
    <t>A high gravity, Trappist style ale yeast.</t>
  </si>
  <si>
    <t>Bavarian Weizen Ale WLP351</t>
  </si>
  <si>
    <t>Moderately high, spicy phenolic overtones of cloves.</t>
  </si>
  <si>
    <t>Bavarian Weizen BRY 235</t>
  </si>
  <si>
    <t>A very estery beer with mild clove-like spiciness.</t>
  </si>
  <si>
    <t>Produces mildly estery and phenolic wheat beers.</t>
  </si>
  <si>
    <t>Bavarian Wheat 3638</t>
  </si>
  <si>
    <t>70-76%</t>
  </si>
  <si>
    <t>Balance banana esters w/ apple and plum esters.</t>
  </si>
  <si>
    <t>Bedford British Ale WLP006</t>
  </si>
  <si>
    <t>Good choice for most English style ales.</t>
  </si>
  <si>
    <t>Belgian Abbey II 1762</t>
  </si>
  <si>
    <t>Slightly fruity with a dry finish.</t>
  </si>
  <si>
    <t>Abbey-style, top-fermenting yeast for high gravity.</t>
  </si>
  <si>
    <t>Belgian Ale WLP550</t>
  </si>
  <si>
    <t>78-85%</t>
  </si>
  <si>
    <t>Phenolic and spicy flavours dominate the profile.</t>
  </si>
  <si>
    <t>Belgian Ardennes 3522</t>
  </si>
  <si>
    <t>Mild fruitiness with complex spicy character.</t>
  </si>
  <si>
    <t>Belgian Golden Ale WLP570</t>
  </si>
  <si>
    <t>73-78%</t>
  </si>
  <si>
    <t>A combination of fruitiness and phenolic flavors.</t>
  </si>
  <si>
    <t>Belgian Saison 3724</t>
  </si>
  <si>
    <t>76-80%</t>
  </si>
  <si>
    <t>Very tart and dry with spicy and bubblegum aromatics</t>
  </si>
  <si>
    <t>Belgian Saison I WLP565</t>
  </si>
  <si>
    <t>65-75%</t>
  </si>
  <si>
    <t>Produces earthy, spicy, and peppery notes.</t>
  </si>
  <si>
    <t>Belgian Strong Ale 1388</t>
  </si>
  <si>
    <t>Fruity nose and palate, dry, tart finish.</t>
  </si>
  <si>
    <t>Belgian Style Ale Yeast Blend WLP575</t>
  </si>
  <si>
    <t>Blend of Trappist yeast and Belgian ale yeast</t>
  </si>
  <si>
    <t>Belgian Wheat 3942</t>
  </si>
  <si>
    <t>Apple and plum like nose with dry finish.</t>
  </si>
  <si>
    <t>Belgian Wit Ale WLP400</t>
  </si>
  <si>
    <t>Slightly phenolic and tart.</t>
  </si>
  <si>
    <t>Belgian Wit II Ale WLP410</t>
  </si>
  <si>
    <t>Spicier, sweeter, and less phenolic than WLP400.</t>
  </si>
  <si>
    <t>Belgian Witbier 3944</t>
  </si>
  <si>
    <t>Alcohol tolerant, with tart, slight phenolic profile.</t>
  </si>
  <si>
    <t>Brewferm Blanche</t>
  </si>
  <si>
    <t>D</t>
  </si>
  <si>
    <t>Brewferm</t>
  </si>
  <si>
    <t>Ferments clean with little or no sulphur.</t>
  </si>
  <si>
    <t>Brewferm Lager</t>
  </si>
  <si>
    <t>Develops Witbeer aromas like banana and clove.</t>
  </si>
  <si>
    <t>British Ale 1098</t>
  </si>
  <si>
    <t>73-75%</t>
  </si>
  <si>
    <t>Ferments dry and crisp, slightly tart and fruity.</t>
  </si>
  <si>
    <t>British Ale II 1335</t>
  </si>
  <si>
    <t>Malty flavor, crisp finish, clean, fairly dry.</t>
  </si>
  <si>
    <t>British Ale WLP005</t>
  </si>
  <si>
    <t>English strain that produces malty beers.</t>
  </si>
  <si>
    <t>Burton Ale WLP023</t>
  </si>
  <si>
    <t>Subtle fruity flavors: apple, clover honey and pear.</t>
  </si>
  <si>
    <t>California Ale V WLP051</t>
  </si>
  <si>
    <t>Produces a fruity, full-bodied beer.</t>
  </si>
  <si>
    <t>California Ale WLP001</t>
  </si>
  <si>
    <t>Clean flavors accentuate hops; very versatile.</t>
  </si>
  <si>
    <t>Coopers</t>
  </si>
  <si>
    <t>Clean, round flavor profile.</t>
  </si>
  <si>
    <t>Dry English ale WLP007</t>
  </si>
  <si>
    <t>70-80%</t>
  </si>
  <si>
    <t>Good for high gravity ales with no residuals.</t>
  </si>
  <si>
    <t>Dusseldorf Alt WLP036</t>
  </si>
  <si>
    <t>65-72%</t>
  </si>
  <si>
    <t>Produces clean, slightly sweet alt beers.</t>
  </si>
  <si>
    <t>74-79%</t>
  </si>
  <si>
    <t>East Coast Ale WLP008</t>
  </si>
  <si>
    <t>Very clean and low esters.</t>
  </si>
  <si>
    <t>Edinburgh Ale WLP028</t>
  </si>
  <si>
    <t>Malty, strong Scottish ales.</t>
  </si>
  <si>
    <t>English Ale BRY 264</t>
  </si>
  <si>
    <t>Clean ale with slightly nutty and estery character.</t>
  </si>
  <si>
    <t>English Ale WLP002</t>
  </si>
  <si>
    <t>Very clear with some residual sweetness.</t>
  </si>
  <si>
    <t>68-72%</t>
  </si>
  <si>
    <t>Essex Ale Yeast WLP022</t>
  </si>
  <si>
    <t>71-76%</t>
  </si>
  <si>
    <t>Drier finish than many British ale yeasts</t>
  </si>
  <si>
    <t>67-71%</t>
  </si>
  <si>
    <t>European Ale WLP011</t>
  </si>
  <si>
    <t>65-70%</t>
  </si>
  <si>
    <t>Low ester production, giving a clean profile.</t>
  </si>
  <si>
    <t>Fermentis</t>
  </si>
  <si>
    <t>Forbidden Fruit Yeast 3463</t>
  </si>
  <si>
    <t>Phenolic profile, subdued fruitiness.</t>
  </si>
  <si>
    <t>German Ale 1007</t>
  </si>
  <si>
    <t>Ferments dry and crisp with a mild flavor.</t>
  </si>
  <si>
    <t>German Ale/Kölsch WLP029</t>
  </si>
  <si>
    <t>Very High</t>
  </si>
  <si>
    <t>72-78%</t>
  </si>
  <si>
    <t>A super-clean, lager-like ale.</t>
  </si>
  <si>
    <t>German Wheat 3333</t>
  </si>
  <si>
    <t>Sharp, tart crispness, fruity, sherry-like palate.</t>
  </si>
  <si>
    <t>Hefeweizen Ale WLP300</t>
  </si>
  <si>
    <t>Produces banana and clove nose.</t>
  </si>
  <si>
    <t>Hefeweizen IV Ale WLP380</t>
  </si>
  <si>
    <t>73-80%</t>
  </si>
  <si>
    <t>Crisp, large clove and phenolic aroma and flavor.</t>
  </si>
  <si>
    <t>Irish Ale 1084</t>
  </si>
  <si>
    <t>Slight residual diacetyl and fruitiness.</t>
  </si>
  <si>
    <t>Irish Ale WLP004</t>
  </si>
  <si>
    <t>Light fruitiness and slight dry crispness.</t>
  </si>
  <si>
    <t>Kölsch 2565</t>
  </si>
  <si>
    <t>Malty with a subdued fruitiness and a crisp finish.</t>
  </si>
  <si>
    <t>London Ale 1028</t>
  </si>
  <si>
    <t>Bold and crisp with a rich mineral profile.</t>
  </si>
  <si>
    <t>London Ale III 1318</t>
  </si>
  <si>
    <t>71-75%</t>
  </si>
  <si>
    <t>Very light and fruity, with a soft, balanced palate.</t>
  </si>
  <si>
    <t>London Ale WLP013</t>
  </si>
  <si>
    <t>67-75%</t>
  </si>
  <si>
    <t>Dry malty ale yeast for pales, bitters and stouts.</t>
  </si>
  <si>
    <t>London ESB Ale 1968</t>
  </si>
  <si>
    <t>Rich, malty character with balanced fruitiness.</t>
  </si>
  <si>
    <t>Muntons Premium Gold</t>
  </si>
  <si>
    <t>Muntons</t>
  </si>
  <si>
    <t>Clean balanced ale yeast for 100% malt recipies.</t>
  </si>
  <si>
    <t>Muntons Standard Yeast</t>
  </si>
  <si>
    <t>Clean well balanced ale yeast.</t>
  </si>
  <si>
    <t>Northwest Ale 1332</t>
  </si>
  <si>
    <t>Malty, mildly fruity, good depth and complexity.</t>
  </si>
  <si>
    <t>Nottingham</t>
  </si>
  <si>
    <t>Neutral for an ale yeast; fruity estery aromas.</t>
  </si>
  <si>
    <t>Pacific Ale WLP041</t>
  </si>
  <si>
    <t>A popular ale yeast from the Pacific Northwest.</t>
  </si>
  <si>
    <t>Ringwood Ale 1187</t>
  </si>
  <si>
    <t>A malty, complex profile that clears well.</t>
  </si>
  <si>
    <t>San Francisco Lager WLP810</t>
  </si>
  <si>
    <t>For "California Common" type beer.</t>
  </si>
  <si>
    <t>Scottish Ale 1728</t>
  </si>
  <si>
    <t>69-73%</t>
  </si>
  <si>
    <t>Suited for Scottish-style ales, high-gravity ales.</t>
  </si>
  <si>
    <t>Super High Gravity WLP099</t>
  </si>
  <si>
    <t>High gravity yeast, ferments up to 25% alcohol.</t>
  </si>
  <si>
    <t>Thames Valley Ale 1275</t>
  </si>
  <si>
    <t>Clean, light malt character with low esters.</t>
  </si>
  <si>
    <t>Trappist Ale BRY 204</t>
  </si>
  <si>
    <t>Trappist Ale WLP500</t>
  </si>
  <si>
    <t>Distinctive fruitiness and plum characteristics.</t>
  </si>
  <si>
    <t>Trappist High Gravity 3787</t>
  </si>
  <si>
    <t>Ferments dry, rich ester profile and malty palate.</t>
  </si>
  <si>
    <t>Weihenstephan Weizen 3068</t>
  </si>
  <si>
    <t>A unique, rich and spicy weizen character.</t>
  </si>
  <si>
    <t>Whitbread Ale 1099</t>
  </si>
  <si>
    <t>Mildly malty and slightly fruity.</t>
  </si>
  <si>
    <t>Whitbread Ale WLP017</t>
  </si>
  <si>
    <t>67-73%</t>
  </si>
  <si>
    <t>Brittish style, slightly fruity with a hint of sulfur.</t>
  </si>
  <si>
    <t>Full-bodied, fruity English ale.</t>
  </si>
  <si>
    <t>Based on BJCP 2015 Beer Style Guidelines</t>
  </si>
  <si>
    <t>1. Standard American Beer</t>
  </si>
  <si>
    <t>1A. American Light Lager</t>
  </si>
  <si>
    <t>1B. American Lager</t>
  </si>
  <si>
    <t>1C. Cream Ale</t>
  </si>
  <si>
    <t>1D. American Wheat Beer</t>
  </si>
  <si>
    <t>2. International Lager</t>
  </si>
  <si>
    <t>2A. International Pale Lager</t>
  </si>
  <si>
    <t>2B. International Amber Lager</t>
  </si>
  <si>
    <t>2C. International Dark Lager</t>
  </si>
  <si>
    <t>3. Czech Lager</t>
  </si>
  <si>
    <t>3A. Czech Pale Lager</t>
  </si>
  <si>
    <t>3B. Czech Premium Pale Lager</t>
  </si>
  <si>
    <t>3C. Czech Amber Lager</t>
  </si>
  <si>
    <t>3D. Czech Dark Lager</t>
  </si>
  <si>
    <t>4A. Munich Helles</t>
  </si>
  <si>
    <t>4. Pale Malty European Lager</t>
  </si>
  <si>
    <t>4B. Festbier</t>
  </si>
  <si>
    <t>4C. Helles Bock</t>
  </si>
  <si>
    <t>5. Pale Bitter European Beer</t>
  </si>
  <si>
    <t>5A. German Leichtbier</t>
  </si>
  <si>
    <t>5B. Kölsch</t>
  </si>
  <si>
    <t>5C. German Helles Exportbier</t>
  </si>
  <si>
    <t>5D. German Pils</t>
  </si>
  <si>
    <t>7A. Vienna Lager</t>
  </si>
  <si>
    <t>7B. Altbier</t>
  </si>
  <si>
    <t>7C. Kellerbier</t>
  </si>
  <si>
    <t>7C. Kellerbier: Pale Kellerbier</t>
  </si>
  <si>
    <t>7C. Kellerbier: Amber Kellerbier</t>
  </si>
  <si>
    <t>7. Amber Bitter European Beer</t>
  </si>
  <si>
    <t>6. Amber Malty European Lager</t>
  </si>
  <si>
    <t>6A. Märzen</t>
  </si>
  <si>
    <t>6B. Rauchbier</t>
  </si>
  <si>
    <t>6C. Dunkles Bock</t>
  </si>
  <si>
    <t>8. Dark European Lager</t>
  </si>
  <si>
    <t>8A. Munich Dunkel</t>
  </si>
  <si>
    <t>8B. Schwarzbier</t>
  </si>
  <si>
    <t>9. Strong European Beer</t>
  </si>
  <si>
    <t>9A. Doppelbock</t>
  </si>
  <si>
    <t>9B. Eisbock</t>
  </si>
  <si>
    <t>9C. Baltic Porter</t>
  </si>
  <si>
    <t>10. German Wheat Beer</t>
  </si>
  <si>
    <t>10A. Weissbier</t>
  </si>
  <si>
    <t>10B. Dunkles Weissbier</t>
  </si>
  <si>
    <t>10C. Weizenbock</t>
  </si>
  <si>
    <t>11. British Bitter</t>
  </si>
  <si>
    <t>11A. Ordinary Bitter</t>
  </si>
  <si>
    <t>11B. Best Bitter</t>
  </si>
  <si>
    <t>11C. Strong Bitter</t>
  </si>
  <si>
    <t>12. Pale Commonwealth Beer</t>
  </si>
  <si>
    <t>12A. British Golden Ale</t>
  </si>
  <si>
    <t>12B. Australian Sparkling Ale</t>
  </si>
  <si>
    <t>12C. English IPA</t>
  </si>
  <si>
    <t>13. Brown British Beer</t>
  </si>
  <si>
    <t>13A. Dark Mild</t>
  </si>
  <si>
    <t>13B. British Brown Ale</t>
  </si>
  <si>
    <t>13C. English Porter</t>
  </si>
  <si>
    <t>14. Scottish Ale</t>
  </si>
  <si>
    <t>14A. Scottish Light</t>
  </si>
  <si>
    <t>14B. Scottish Heavy</t>
  </si>
  <si>
    <t>14C. Scottish Export</t>
  </si>
  <si>
    <t>15. Irish Beer</t>
  </si>
  <si>
    <t>15A. Irish Red Ale</t>
  </si>
  <si>
    <t>15B. Irish Stout</t>
  </si>
  <si>
    <t>15C. Irish Extra Stout</t>
  </si>
  <si>
    <t>16. Dark British Beer</t>
  </si>
  <si>
    <t>16A. Sweet Stout</t>
  </si>
  <si>
    <t>16B. Oatmeal Stout</t>
  </si>
  <si>
    <t>16C. Tropical Stout</t>
  </si>
  <si>
    <t>16D. Foreign Extra Stout</t>
  </si>
  <si>
    <t>17. Strong British Ale</t>
  </si>
  <si>
    <t>17A. British Strong Ale</t>
  </si>
  <si>
    <t>17B. Old Ale</t>
  </si>
  <si>
    <t>17C. Wee Heavy</t>
  </si>
  <si>
    <t>17D. English Barleywine</t>
  </si>
  <si>
    <t>18. Pale American Ale</t>
  </si>
  <si>
    <t>18A. Blonde Ale</t>
  </si>
  <si>
    <t>18B. American Pale Ale</t>
  </si>
  <si>
    <t>19. Amber and Brown American Beer</t>
  </si>
  <si>
    <t>19A. American Amber Ale</t>
  </si>
  <si>
    <t>19B. California Common</t>
  </si>
  <si>
    <t>19C. American Brown Ale</t>
  </si>
  <si>
    <t>20. American Porter and Stout</t>
  </si>
  <si>
    <t>20A. American Porter</t>
  </si>
  <si>
    <t>20B. American Stout</t>
  </si>
  <si>
    <t>20C. Imperial Stout</t>
  </si>
  <si>
    <t>21. IPA</t>
  </si>
  <si>
    <t>21A. American IPA</t>
  </si>
  <si>
    <t>21B. Specialty IPA</t>
  </si>
  <si>
    <t>21B. Specialty IPA: Belgian IPA</t>
  </si>
  <si>
    <t>21B. Specialty IPA: Black IPA</t>
  </si>
  <si>
    <t>21B. Specialty IPA: Brown IPA</t>
  </si>
  <si>
    <t>21B. Specialty IPA: Red IPA</t>
  </si>
  <si>
    <t>21B. Specialty IPA: Rye IPA</t>
  </si>
  <si>
    <t>21B. Specialty IPA: White IPA</t>
  </si>
  <si>
    <t>22. Strong American Ale</t>
  </si>
  <si>
    <t>22A. Double IPA</t>
  </si>
  <si>
    <t>22B. American Strong Ale</t>
  </si>
  <si>
    <t>22C. American Barleywine</t>
  </si>
  <si>
    <t>22D. Wheatwine</t>
  </si>
  <si>
    <t>23. European Sour Ale</t>
  </si>
  <si>
    <t>23A. Berliner Weisse</t>
  </si>
  <si>
    <t>23B. Flanders Red Ale</t>
  </si>
  <si>
    <t>23C. Oud Bruin</t>
  </si>
  <si>
    <t>23D. Lambic</t>
  </si>
  <si>
    <t>23E. Gueuze</t>
  </si>
  <si>
    <t>23F. Fruit Lambic</t>
  </si>
  <si>
    <t>24. Belgian Ale</t>
  </si>
  <si>
    <t>24A. Witbier</t>
  </si>
  <si>
    <t>24B. Belgian Pale Ale</t>
  </si>
  <si>
    <t>24C. Bière de Garde</t>
  </si>
  <si>
    <t>25. Strong Belgian Ale</t>
  </si>
  <si>
    <t>25A. Belgian Blond Ale</t>
  </si>
  <si>
    <t>25B. Saison</t>
  </si>
  <si>
    <t>25C. Belgian Golden Strong Ale</t>
  </si>
  <si>
    <t>26. Trappist Ale</t>
  </si>
  <si>
    <t>26A. Trappist Single</t>
  </si>
  <si>
    <t>26B. Belgian Dubbel</t>
  </si>
  <si>
    <t>26C. Belgian Tripel</t>
  </si>
  <si>
    <t>26D. Belgian Dark Strong Ale</t>
  </si>
  <si>
    <t>27. Historical Beer</t>
  </si>
  <si>
    <t>Gose</t>
  </si>
  <si>
    <t>Kentucky Common</t>
  </si>
  <si>
    <t>Lichtenhainer</t>
  </si>
  <si>
    <t>London Brown Ale</t>
  </si>
  <si>
    <t>Piwo Grodziskie</t>
  </si>
  <si>
    <t>Pre-Prohibition Lager</t>
  </si>
  <si>
    <t>Roggenbier</t>
  </si>
  <si>
    <t>Sahti</t>
  </si>
  <si>
    <t>28. American Wild Ale</t>
  </si>
  <si>
    <t>28A. Brett Beer</t>
  </si>
  <si>
    <t>28B. Mixed-Fermentation Sour Beer</t>
  </si>
  <si>
    <t>28C. Wild Specialty Beer</t>
  </si>
  <si>
    <t>29. Fruit Beer</t>
  </si>
  <si>
    <t>29A. Fruit Beer</t>
  </si>
  <si>
    <t>29B. Fruit and Spice Beer</t>
  </si>
  <si>
    <t>29C. Specialty Fruit Beer</t>
  </si>
  <si>
    <t>30. Spiced Beer</t>
  </si>
  <si>
    <t>30A. Spice, Herb, or Vegetable Beer</t>
  </si>
  <si>
    <t>30B. Autumn Seasonal Beer</t>
  </si>
  <si>
    <t>30C. Winter Seasonal Beer</t>
  </si>
  <si>
    <t>31. Alternative Fermentables Beer</t>
  </si>
  <si>
    <t>31A. Alternative Grain Beer</t>
  </si>
  <si>
    <t>31B. Alternative Sugar Beer</t>
  </si>
  <si>
    <t>32. Smoked Beer</t>
  </si>
  <si>
    <t>32A. Classic Style Smoked Beer</t>
  </si>
  <si>
    <t>32B. Specialty Smoked Beer</t>
  </si>
  <si>
    <t>33. Wood Beer</t>
  </si>
  <si>
    <t>33A. Wood-Aged Beer</t>
  </si>
  <si>
    <t>33B. Specialty Wood-Aged Beer</t>
  </si>
  <si>
    <t>34. Specialty Beer</t>
  </si>
  <si>
    <t>34A. Clone Beer</t>
  </si>
  <si>
    <t>34B. Mixed-Style Beer</t>
  </si>
  <si>
    <t>34C. Experimental Beer</t>
  </si>
  <si>
    <t>Malt, Adjunct, Extract, or Sugar</t>
  </si>
  <si>
    <t>Sugar</t>
  </si>
  <si>
    <t>Max Yield S.G.</t>
  </si>
  <si>
    <t>Alpha Acid %</t>
  </si>
  <si>
    <t>Possible Substitutions</t>
  </si>
  <si>
    <t>Ahtanum™</t>
  </si>
  <si>
    <t>Amarillo®</t>
  </si>
  <si>
    <t>Azacca® (U.S.)</t>
  </si>
  <si>
    <t>14-16%</t>
  </si>
  <si>
    <t>A dual-use, high-alpha hop. Aroma and flavor characteristics of apricot, ripe mango, orchard fruit, orange, grapefruit, pine, and pineapple.</t>
  </si>
  <si>
    <t>Boadicea (U.K.)</t>
  </si>
  <si>
    <t>spicy</t>
  </si>
  <si>
    <t>Cashmere (U.S.)</t>
  </si>
  <si>
    <t>7.7-9.1%</t>
  </si>
  <si>
    <t>This dual purpose variety is an offspring of Cascade and Northern Brewer. Cashmere has aroma and flavor characteristics of melon, lemon, lime, herbs, and citrus fruits.</t>
  </si>
  <si>
    <t>Citra® (U.S.)</t>
  </si>
  <si>
    <t>Intense citrusy flavor.</t>
  </si>
  <si>
    <t>Comet (U.S.)</t>
  </si>
  <si>
    <t>9-11%</t>
  </si>
  <si>
    <t>Grapefruit, lemon, orange, and grassy notes.</t>
  </si>
  <si>
    <t>El Dorado (U.S.)</t>
  </si>
  <si>
    <t>Dual purpose hop with fruity, tropical flavors.</t>
  </si>
  <si>
    <t>Eureka!</t>
  </si>
  <si>
    <t>17-19%</t>
  </si>
  <si>
    <t>An offspring of Apollo and German Merkur, Eureka! has aromas and characteristics of strong herbal notes, pine, mint, grapefruit rind, tangerine, and other citrus. Great for brewers looking for varieties to use in late addition, whirlpool, or “hop stand” hop additions.</t>
  </si>
  <si>
    <t>Galaxy™ (Australia)</t>
  </si>
  <si>
    <t>When used as a late addition or dry hopped, it contributes a pungent flavor of passionfruit and citrus.</t>
  </si>
  <si>
    <t>Spicy, floral. Low co-humulone results in clean tasting beer.</t>
  </si>
  <si>
    <t>Idaho (U.S.)</t>
  </si>
  <si>
    <t>12-15%</t>
  </si>
  <si>
    <t>A dual-purpose variety with flavors and aromas of tropical fruit, orange, apricot, black tea, pine, and herbs.</t>
  </si>
  <si>
    <t>Jarrylo™ (U.S.)</t>
  </si>
  <si>
    <t>A high-alpha hop, the flavor imparts a mild sweetness and a tea-like spice, with flavors and aromas of banana, pear, spice, and herbal notes.</t>
  </si>
  <si>
    <t>Kohatu (New Zealand)</t>
  </si>
  <si>
    <t>Aroma hop with high essential oils and intense floral characters of pine needles and tropical fruit.</t>
  </si>
  <si>
    <t>Legacy (U.S.)</t>
  </si>
  <si>
    <t>Clean grapefruit, floral, black currant notes and a spicy aroma.</t>
  </si>
  <si>
    <t>Lemondrop (U.S.)</t>
  </si>
  <si>
    <t>This aroma hop originated from a cross between Cascade and USDA 19058 male. It features (of course) lemony, floral, earthy, herbal, grassy, citrus, pepper, and pine notes.</t>
  </si>
  <si>
    <t>Magnum (German)</t>
  </si>
  <si>
    <t>Northdown, Northern Brewer</t>
  </si>
  <si>
    <t>Magnum (U.S.)</t>
  </si>
  <si>
    <t>High alpha variety</t>
  </si>
  <si>
    <t>Distinctive white wine "fruitiness," gooseberry. Considered by some as "extreme," this hop is often used in specialty craft and seasonal beers.</t>
  </si>
  <si>
    <t>Opal (German)</t>
  </si>
  <si>
    <t>5-8%</t>
  </si>
  <si>
    <t>Styrian Golding</t>
  </si>
  <si>
    <t>German dual-purpose hop</t>
  </si>
  <si>
    <t>Orbit (New Zealand)</t>
  </si>
  <si>
    <t>Orbit is different each year as it uses a proprietary blend of hops specially selected out of the New Zealand “Hops with a Difference” breeding program.</t>
  </si>
  <si>
    <t>Bittering hop with delicate blackberry and floral oak. Pleasant aroma and high bitterness level.</t>
  </si>
  <si>
    <t>Palisade®</t>
  </si>
  <si>
    <t>Pekko™ (U.S.)</t>
  </si>
  <si>
    <t>A clean and pleasant variety with floral mint, herbal, citrus, thyme, cucumber, lemon, and sage characteristics. Sometimes described as “Saaz like.”</t>
  </si>
  <si>
    <t>Pilgrim (U.K.)</t>
  </si>
  <si>
    <t>9-13%</t>
  </si>
  <si>
    <t>U.K. Challenger, U.K. Target</t>
  </si>
  <si>
    <t>Dual purpose hop with citrusy, fruity, spicy, and lemon aromas.</t>
  </si>
  <si>
    <t>Rakau (New Zealand)</t>
  </si>
  <si>
    <t>High alpha acids and oil content (particularly myrcene) with low cohumulone, making it ideal for the “hoppy not bitter” school of new world IPAs. Aromas and flavors of ripe fruit, grassiness, lemon, grapefruit juice, and hints of tropical flowers.</t>
  </si>
  <si>
    <t>Simcoe®</t>
  </si>
  <si>
    <t>Sovereign (U.K.)</t>
  </si>
  <si>
    <t>U.K. Fuggle</t>
  </si>
  <si>
    <t>mild flavor</t>
  </si>
  <si>
    <t>Styrian Aurora</t>
  </si>
  <si>
    <t>7-9.5%</t>
  </si>
  <si>
    <t>Northern Brewer, Styrian Golding, U.S. Styrian Bobek</t>
  </si>
  <si>
    <t>Intense, pleasant and hoppy. Very suitable for extraction and for combination with other varieties in the brewing process.</t>
  </si>
  <si>
    <t>Summer (Australia)</t>
  </si>
  <si>
    <t>5.6-6.4%</t>
  </si>
  <si>
    <t>A hop variety formerly known as Summer Saaz that has a gentle floral aroma, slightly earthy. Expect apricot and stone fruit notes when used in dry hopping.</t>
  </si>
  <si>
    <t>Summit™</t>
  </si>
  <si>
    <t>Tomahawk®</t>
  </si>
  <si>
    <t>Topaz (Australia)</t>
  </si>
  <si>
    <t>13.7-17.7%</t>
  </si>
  <si>
    <t>A dual purpose hop, Topaz adds a resinous, grassy flavors; however, with later additions and in higher gravity brews, light tropical fruit flavors (some say lychee) become more pronounced.</t>
  </si>
  <si>
    <t>Vic Secret (Australia)</t>
  </si>
  <si>
    <t>An aroma hop with resinous, grassy and mild fruit flavors. Late and dry hop additions introduce appealing clean and distinct pineapple and pine characters. Lighter and less dominant than Galaxy.</t>
  </si>
  <si>
    <t>Wai-iti (New Zealand)</t>
  </si>
  <si>
    <t>Aroma hop with a startlingly citrus aroma made up of mandarin, lemon and lime zest</t>
  </si>
  <si>
    <t>Waimea (New Zealand)</t>
  </si>
  <si>
    <t>16-19%</t>
  </si>
  <si>
    <t>High alpha but also lots of oils giving fresh tangelo and citrus fruit aroma with pine needles</t>
  </si>
  <si>
    <t>Wakatu (New Zealand)</t>
  </si>
  <si>
    <t>Hallertauer Mittelfrüh, Nelson Sauvin</t>
  </si>
  <si>
    <t>Wakatu features floral aromas, as well as notes of fresh lime zest, citrus oils, and has a Mittlefrüh-style sweetness.</t>
  </si>
  <si>
    <t>Warrior®</t>
  </si>
  <si>
    <t>Celeia (Slovenia)</t>
  </si>
  <si>
    <t>Moderate and pleasant zesty bitterness with matching floral aroma, making its use widespread in both ale and lager brewing. Stores very well.</t>
  </si>
  <si>
    <t>Crystal</t>
  </si>
  <si>
    <t>2-4.5%</t>
  </si>
  <si>
    <t>French Strisslespalt, Hallertauer, Hersbrucker, Liberty, Mt. Hood</t>
  </si>
  <si>
    <t>Mild and pleasant, spicy and flowery.</t>
  </si>
  <si>
    <t>Ella (Australia)</t>
  </si>
  <si>
    <t>13.3-16.3%</t>
  </si>
  <si>
    <t>Dual purpose hop that displays floral and subtle spice notes. When used as a late addition or dry hop, it imparts grapefruit and topical flavors.</t>
  </si>
  <si>
    <t>Herkules (German)</t>
  </si>
  <si>
    <t>12-17%</t>
  </si>
  <si>
    <t>bittering hop</t>
  </si>
  <si>
    <t>Merkur (German)</t>
  </si>
  <si>
    <t>high-alpha, bittering hop</t>
  </si>
  <si>
    <t>Millenium</t>
  </si>
  <si>
    <t>Mild, herbal, similar to Nugget.</t>
  </si>
  <si>
    <t>Mt. Rainier (U.S.)</t>
  </si>
  <si>
    <t>5-8.1%</t>
  </si>
  <si>
    <t>Hallertauer</t>
  </si>
  <si>
    <t>only available in 2012</t>
  </si>
  <si>
    <t>Taurus (German)</t>
  </si>
  <si>
    <t>high-alpha hop</t>
  </si>
  <si>
    <t>Belma (U.S.)</t>
  </si>
  <si>
    <t>Clean bitterness, citrus, tropical fruit flavors.</t>
  </si>
  <si>
    <t>Calypso (U.S.)</t>
  </si>
  <si>
    <t>Exhibits pleasant fruity notes-apple, pear, fruit punch.</t>
  </si>
  <si>
    <t>Hallertau Blanc (German)</t>
  </si>
  <si>
    <t>Winey, passion fruit, grapefruit, gooseberry, pineapple character.</t>
  </si>
  <si>
    <t>Mandarina Bavaria (German)</t>
  </si>
  <si>
    <t>Cascade</t>
  </si>
  <si>
    <t>Mandarin orangey flavor and aroma.</t>
  </si>
  <si>
    <t>Bobeck (Slovenia)</t>
  </si>
  <si>
    <t>3.5-7%</t>
  </si>
  <si>
    <t>Dual purpose hop with aromas of pine, chocolate, molasses, and floral.</t>
  </si>
  <si>
    <t>Glacier, Styrian Golding, U.K. Kent Golding, U.K. Progress, U.K. Target</t>
  </si>
  <si>
    <t>Quite pleasant and hoppy, moderately intense, slightly spicy.</t>
  </si>
  <si>
    <t>Huell Melon (German)</t>
  </si>
  <si>
    <t>7-8%</t>
  </si>
  <si>
    <t>Honeydew melon and strawberry aroma.</t>
  </si>
  <si>
    <t>Polaris (German)</t>
  </si>
  <si>
    <t>18-24%</t>
  </si>
  <si>
    <t>Minty, icy quality.</t>
  </si>
  <si>
    <t>Styrian Bobek</t>
  </si>
  <si>
    <t>Styrian Golding, U.K. Fuggle, U.S. Fuggle, Willamette</t>
  </si>
  <si>
    <t>Intense, pleasant hop aroma. Similar to Fuggle type.</t>
  </si>
  <si>
    <t>Styrian Celeia</t>
  </si>
  <si>
    <t>Saaz, Slovenia Bobeck, Styrian Golding</t>
  </si>
  <si>
    <t>Pleasant, hoppy. A high-quality aroma variety with excellent bitterness and aroma qualities.</t>
  </si>
  <si>
    <t>Motueka (New Zealand)</t>
  </si>
  <si>
    <t>6.5-7.5%</t>
  </si>
  <si>
    <t>Czech Saaz, U.S. Saaz</t>
  </si>
  <si>
    <t>Aroma hop that is fruity, tropical and citrusy.</t>
  </si>
  <si>
    <t>Select (German)</t>
  </si>
  <si>
    <t>Czech Saaz, German Spalt, Tettnanger</t>
  </si>
  <si>
    <t>noble-type aroma</t>
  </si>
  <si>
    <t>Aurora (Slovenia)</t>
  </si>
  <si>
    <t>Marynka (Poland)</t>
  </si>
  <si>
    <t>New hop variety with intense aroma</t>
  </si>
  <si>
    <t>Lublin (Poland)</t>
  </si>
  <si>
    <t>Mild and typical of noble aroma types, spicy, herbal.</t>
  </si>
  <si>
    <t>Premiant (Czech)</t>
  </si>
  <si>
    <t>8-12.5%</t>
  </si>
  <si>
    <t>A dual purpose variety with a balanced bitterness and slightly spicy aroma</t>
  </si>
  <si>
    <t>Smaragd (German)</t>
  </si>
  <si>
    <t>Fruity and floral aromas.</t>
  </si>
  <si>
    <t>Mosaic™</t>
  </si>
  <si>
    <t>11.5-13.5%</t>
  </si>
  <si>
    <t>Nugget, Simcoe</t>
  </si>
  <si>
    <t>Both fruity and containing grassy, floral, earthy notes.</t>
  </si>
  <si>
    <t>Total Sugar</t>
  </si>
  <si>
    <t>Clean ale strain</t>
  </si>
  <si>
    <t>American West Coast Ale BRY-97</t>
  </si>
  <si>
    <t>Lallemand</t>
  </si>
  <si>
    <t>Brewferm Top</t>
  </si>
  <si>
    <t>Universal top-fermenting beer yeast.</t>
  </si>
  <si>
    <t>CBC-1 (Cask and Bottle Conditioning)</t>
  </si>
  <si>
    <t>Valued for its refermentation ability.</t>
  </si>
  <si>
    <t>Coopers Pure Brewers' Yeast</t>
  </si>
  <si>
    <t>East Midlands Ale WLP039</t>
  </si>
  <si>
    <t>Available Sept-Oct. Medium to low fusel fruit and alcohol production.</t>
  </si>
  <si>
    <t>Lucky #7</t>
  </si>
  <si>
    <t>Real Brewers Yeast</t>
  </si>
  <si>
    <t>Southern California ale yeast that ferments higher gravity worts up to 10% ABV.</t>
  </si>
  <si>
    <t>Neutral Grain WLP078</t>
  </si>
  <si>
    <t>77-84%</t>
  </si>
  <si>
    <t>Clean, fast fermentation used in high-gravity beers.</t>
  </si>
  <si>
    <t>Northeast Ale ECY29</t>
  </si>
  <si>
    <t>East Coast Yeast</t>
  </si>
  <si>
    <t>A unique ale yeast with an abundance of citrusy esters accentuating American style hops.</t>
  </si>
  <si>
    <t>Old Newark Ale ECY10</t>
  </si>
  <si>
    <t>Old Newark Beer ECY12</t>
  </si>
  <si>
    <t>Identified as S. cerevisae, hence it is not a true lager strain, but should ferment at lager temperatures.</t>
  </si>
  <si>
    <t>Old Sonoma Ale WLP076</t>
  </si>
  <si>
    <t>Neutral and versatile. Available May-June</t>
  </si>
  <si>
    <t>San Diego Super Yeast WLP090</t>
  </si>
  <si>
    <t>Versatile, super-fast, super-clean strain.</t>
  </si>
  <si>
    <t>The One</t>
  </si>
  <si>
    <t>California ale yeast great for West Coast-style pale ales and IPAs.</t>
  </si>
  <si>
    <t>US West Coast Yeast</t>
  </si>
  <si>
    <t>Mangrove Jack</t>
  </si>
  <si>
    <t>Very neutral strain. Citrus and pine hops will be enhanced.</t>
  </si>
  <si>
    <t>Workhorse Beer Yeast</t>
  </si>
  <si>
    <t>Neutral and clean aroma suitable for all styles. Imitates lager characteristics.</t>
  </si>
  <si>
    <t>American Lager 118</t>
  </si>
  <si>
    <t>Produces slightly fruity beer, some residual sugar.</t>
  </si>
  <si>
    <t>American Lager 2035</t>
  </si>
  <si>
    <t>Bold, complex and aromatic; slight diacetyl.</t>
  </si>
  <si>
    <t>American Lager WLP840</t>
  </si>
  <si>
    <t>Dry and clean with a very slight apple fruitiness.</t>
  </si>
  <si>
    <t>Belgian Lager WLP815</t>
  </si>
  <si>
    <t>Clean, crisp with low sulfur production. Available Jan-Feb.</t>
  </si>
  <si>
    <t>California Lager 2112</t>
  </si>
  <si>
    <t>Produces malty, brilliantly clear beers.</t>
  </si>
  <si>
    <t>Cream Ale WLP80</t>
  </si>
  <si>
    <t>A blend of ale and lager strains that creates a clean, crisp, light American lager style.</t>
  </si>
  <si>
    <t>Cry Havoc WLP862</t>
  </si>
  <si>
    <t>Can ferment at ale and lager temperatures, allowing for a variety of beer styles.</t>
  </si>
  <si>
    <t>European Lager 2247-PC</t>
  </si>
  <si>
    <t>Mexican Lager Yeast WLP940</t>
  </si>
  <si>
    <t>70-78%</t>
  </si>
  <si>
    <t>Produces clean lager beer, with a crisp finish.</t>
  </si>
  <si>
    <t>Munich Helles WLP860</t>
  </si>
  <si>
    <t>Clean and strong fermenter. Available Mar-Apr.</t>
  </si>
  <si>
    <t>North American Lager 2272-PC</t>
  </si>
  <si>
    <t>Rasenmäher Lager 2252-PC</t>
  </si>
  <si>
    <t>Seasonal Availability. Produces clean lagers at low temp. fermentations, but also yields slight ester at higher temps.</t>
  </si>
  <si>
    <t>Rocky Mountain Lager 2105-PC</t>
  </si>
  <si>
    <t>Good balance of floral and fruity aromas, clean flavor.</t>
  </si>
  <si>
    <t>Bourbon Yeast WLP070</t>
  </si>
  <si>
    <t>Produces a caramel malty character with balanced ester profile. Used in high-gravity beers.</t>
  </si>
  <si>
    <t>Scottish Heavy ECY07</t>
  </si>
  <si>
    <t>&gt;80%</t>
  </si>
  <si>
    <t>Tennessee WLP050</t>
  </si>
  <si>
    <t>Creates rich, smooth flavors. Used in high-gravity beers.</t>
  </si>
  <si>
    <t>Windsor (British Ale)</t>
  </si>
  <si>
    <t>Abbaye Belgian Ale</t>
  </si>
  <si>
    <t>Abbaye is an ale yeast of Belgian origin selected for its ability to produce great Belgian style beers including high gravity beers such as Dubbel, Trippel and Quads.</t>
  </si>
  <si>
    <t>Abbey IV WLP540</t>
  </si>
  <si>
    <t>Authentic Trappist style yeast. Available Jul-Aug.</t>
  </si>
  <si>
    <t>American Farmhouse Blend WLP670</t>
  </si>
  <si>
    <t>Consists of a traditional farmhouse strain and Brettanomyces.</t>
  </si>
  <si>
    <t>Antwerp Ale WLP515</t>
  </si>
  <si>
    <t>Clean, almost lager-like with biscuity ale aroma. Available Nov-Dec.</t>
  </si>
  <si>
    <t>Belgian Abbaye ECY09</t>
  </si>
  <si>
    <t>Belgian Ale Yeast</t>
  </si>
  <si>
    <t>Spicy and peppery characteristics.</t>
  </si>
  <si>
    <t>Belgian Dark Ale 3822-PC</t>
  </si>
  <si>
    <t>Belgian Saison II WLP566</t>
  </si>
  <si>
    <t>Fruity ester production, moderately phenolic.</t>
  </si>
  <si>
    <t>Belgian Saison III WLP585</t>
  </si>
  <si>
    <t>High fruit ester, slight tartness. Available Jul-Aug.</t>
  </si>
  <si>
    <t>Belgian Schelde Ale 3655-PC</t>
  </si>
  <si>
    <t>Belgian Stout 1581-PC</t>
  </si>
  <si>
    <t>Belgian Style Saison Ale Blend WLP568</t>
  </si>
  <si>
    <t>Complex, fruity aromas and flavors.</t>
  </si>
  <si>
    <t>Belgian White ECY11</t>
  </si>
  <si>
    <t>Belle Saison</t>
  </si>
  <si>
    <t>Aroma is fruity, spicy and peppery due to ester and phenol production.</t>
  </si>
  <si>
    <t>Produces a slightly tart beer with delicate characteristics of mango and pineapple.</t>
  </si>
  <si>
    <t>Canadian/Belgian Ale 3864-PC</t>
  </si>
  <si>
    <t>Farmhouse Brett ECY03</t>
  </si>
  <si>
    <t>Limited availability. Produces a fruity and funky profile with some acidity.</t>
  </si>
  <si>
    <t>Flanders Golden Ale 3739-PC</t>
  </si>
  <si>
    <t>Flemish Ale Blend WLP665</t>
  </si>
  <si>
    <t>Creates a complex, dark stone fruit characteristic.</t>
  </si>
  <si>
    <t>French Ale WLP072</t>
  </si>
  <si>
    <t>Clean strain that complements malt flavor. Available May-June.</t>
  </si>
  <si>
    <t>French Saison 3711</t>
  </si>
  <si>
    <t>Leuven Pale Ale 3538-PC</t>
  </si>
  <si>
    <t>The Monk</t>
  </si>
  <si>
    <t>Ferments tripels and high-gravity ales to 15% ABV.</t>
  </si>
  <si>
    <t>Dry estery flavor with a light clove-like spiciness.</t>
  </si>
  <si>
    <t>Belgian Lambic Blend 3278</t>
  </si>
  <si>
    <t>Rich, earthy aroma and acidic finish.</t>
  </si>
  <si>
    <t>Belgian Sour Mix WLP655</t>
  </si>
  <si>
    <t>Includes Brettanomyces, Saccharomyces, and the bacterial strains Lactobacillus and Pedioccus.</t>
  </si>
  <si>
    <t>Berliner Blend ECY06</t>
  </si>
  <si>
    <t>For lactic sourness. Contains a Kölsch ale yeast and two Lactobacillus strains.</t>
  </si>
  <si>
    <t>Berliner Weisse Blend WLP630</t>
  </si>
  <si>
    <t>63-80%</t>
  </si>
  <si>
    <t>Creates a subtle tart drinkable beer.</t>
  </si>
  <si>
    <t>Brett Anomala ECY04</t>
  </si>
  <si>
    <t>Very estery with some light funk and acidity.</t>
  </si>
  <si>
    <t>Brett bruxelensis ECY05</t>
  </si>
  <si>
    <t>Quite funky with barnyard notes accompanied by esters.</t>
  </si>
  <si>
    <t>Brett custersianus</t>
  </si>
  <si>
    <t>Displays an ester profile of mango and peach esters with limited to no barnyard funk.</t>
  </si>
  <si>
    <t>Brett nanus</t>
  </si>
  <si>
    <t>Reveals a spicy saison-like profile with none to low esters.</t>
  </si>
  <si>
    <t>Brettan. Bruxellensis 5112</t>
  </si>
  <si>
    <t>Produces classic lambic characteristics.</t>
  </si>
  <si>
    <t>Brettan. Lambicus 5526</t>
  </si>
  <si>
    <t>Pie cherry-like flavor and sourness.</t>
  </si>
  <si>
    <t>Brettanomyces Bruxellensis Trois WLP644</t>
  </si>
  <si>
    <t>Brettanomyces bruxellensis WLP650</t>
  </si>
  <si>
    <t>70-85%</t>
  </si>
  <si>
    <t>Classic strain used in secondary for Belgian styles.</t>
  </si>
  <si>
    <t>Brettanomyces Claussenii WLP645</t>
  </si>
  <si>
    <t>Low intensity Brett character. More aroma than flavor.</t>
  </si>
  <si>
    <t>Brettanomyces Lambicus WLP653</t>
  </si>
  <si>
    <t>High Brett character. Horsey, Smokey and spicy flavors.</t>
  </si>
  <si>
    <t>BugCounty ECY20</t>
  </si>
  <si>
    <t>Availability: Nov-Dec. Contains the largest mix organisms for Lambic-style brewing.</t>
  </si>
  <si>
    <t>BugFarm ECY01</t>
  </si>
  <si>
    <t>A large complex blend of cultures to emulate sour beers.</t>
  </si>
  <si>
    <t>Flemish Ale ECY02</t>
  </si>
  <si>
    <t>Dry, sour, leathery and notes of cherry stone.</t>
  </si>
  <si>
    <t>Lactobacillus 5335</t>
  </si>
  <si>
    <t>Lactic acid bacteria.</t>
  </si>
  <si>
    <t>Oud Brune ECY23</t>
  </si>
  <si>
    <t>For those who prefer sourness without the presence of Brett.</t>
  </si>
  <si>
    <t>Pediococcus Cerivisiae 5733</t>
  </si>
  <si>
    <t>Roeselare Ale Blend 3763</t>
  </si>
  <si>
    <t>Belgian Abbey 1214</t>
  </si>
  <si>
    <t>Belgian Strong Ale WLP545</t>
  </si>
  <si>
    <t>Moderate levels of ester and spicy phenolic character.</t>
  </si>
  <si>
    <t>Bavarian Lager 2206</t>
  </si>
  <si>
    <t>Produces rich, malty, full-bodied beers.</t>
  </si>
  <si>
    <t>Bohemian Lager 2124</t>
  </si>
  <si>
    <t>Ferments clean and malty.</t>
  </si>
  <si>
    <t>German Bock Lager Yeast WLP833</t>
  </si>
  <si>
    <t>Produces well balanced beers of malt and hop character.</t>
  </si>
  <si>
    <t>German Lager WLP830</t>
  </si>
  <si>
    <t>Malty and clean; great for all German lagers.</t>
  </si>
  <si>
    <t>Munich Lager 2308</t>
  </si>
  <si>
    <t>70-74%</t>
  </si>
  <si>
    <t>Very smooth, well-rounded and full-bodied.</t>
  </si>
  <si>
    <t>Munich Lager II 2352-PC</t>
  </si>
  <si>
    <t>Seasonal Availability. Low diacetyl and low sulfur aroma. Great for malt-driven lagers.</t>
  </si>
  <si>
    <t>Old Bavarian Lager Yeast WLP920</t>
  </si>
  <si>
    <t>66-73%</t>
  </si>
  <si>
    <t>Finishes malty with a slight ester profile. Use in beers such as Octoberfest, Bock, and dark lagers.</t>
  </si>
  <si>
    <t>So. German Lager WLP838</t>
  </si>
  <si>
    <t>68-76%</t>
  </si>
  <si>
    <t>A malty finish and balanced aroma.</t>
  </si>
  <si>
    <t>Staro Prague Lager 2782-PC</t>
  </si>
  <si>
    <t>British Cask Ale 1026-PC</t>
  </si>
  <si>
    <t>British Mild Ale ECY18</t>
  </si>
  <si>
    <t>Limited availability. Complex, woody ester profile. Leaves a malt profile with a slight sweetness.</t>
  </si>
  <si>
    <t>69-75%</t>
  </si>
  <si>
    <t>63-70%</t>
  </si>
  <si>
    <t>English Special Bitter 1768-PC</t>
  </si>
  <si>
    <t>Newcastle Dark Ale Yeast</t>
  </si>
  <si>
    <t>Aromas reminiscent of rich, dark fruit.</t>
  </si>
  <si>
    <t>Thames Valley Ale II 1882-PC</t>
  </si>
  <si>
    <t>West Yorkshire Ale 1469</t>
  </si>
  <si>
    <t>Yorkshire Square WLP037</t>
  </si>
  <si>
    <t>Availability: Nov-Dec. Toasty with malt-driven esters.</t>
  </si>
  <si>
    <t>American Whiskey WLP065</t>
  </si>
  <si>
    <t>76-82%</t>
  </si>
  <si>
    <t>Produces low ester profile and moderate fussel oils. Used in high-gravity beers.</t>
  </si>
  <si>
    <t>British Ale Yeast</t>
  </si>
  <si>
    <t>Earthy, nutty, orange peel and mild spice.</t>
  </si>
  <si>
    <t>Ye Olde English</t>
  </si>
  <si>
    <t xml:space="preserve">Smooth and creamy for English </t>
  </si>
  <si>
    <t>Burton Union ECY17</t>
  </si>
  <si>
    <t>Burton Union Yeast</t>
  </si>
  <si>
    <t>Some pear esters, possibly strawberry or kiwi-like aromas.</t>
  </si>
  <si>
    <t>English Ale Blend WLP085</t>
  </si>
  <si>
    <t>69-76%</t>
  </si>
  <si>
    <t>Moderate fruitiness and mineral-like.</t>
  </si>
  <si>
    <t>69-74%</t>
  </si>
  <si>
    <t>Manchester Ale WLP038</t>
  </si>
  <si>
    <t>Clean, dry finish with low esters.</t>
  </si>
  <si>
    <t>Budvar Lager 2000</t>
  </si>
  <si>
    <t>Malty nose with subtle fruit. Finishes dry and crisp.</t>
  </si>
  <si>
    <t>Munich Festbier ECY15</t>
  </si>
  <si>
    <t>Recommended for German lagers</t>
  </si>
  <si>
    <t>Bohemian Lager Yeast</t>
  </si>
  <si>
    <t>Earthy spiciness of both noble hops and Pilsner malt will be enhanced and supported by moderate to full body.</t>
  </si>
  <si>
    <t>Czech Budejovice Lager WLP802</t>
  </si>
  <si>
    <t>Produces dry and crisp lagers, with low diacetyl.</t>
  </si>
  <si>
    <t>Czech Pils 2278</t>
  </si>
  <si>
    <t>Dry but malty finish.</t>
  </si>
  <si>
    <t>Danish Lager 2042</t>
  </si>
  <si>
    <t>Rich Dortmund style with crisp, dry finish.</t>
  </si>
  <si>
    <t>North European Lager BRY 203</t>
  </si>
  <si>
    <t>Well-balanced beer, fewer sulfur compounds.</t>
  </si>
  <si>
    <t>Pilsen Lager 2007</t>
  </si>
  <si>
    <t>Smooth malty palate; ferments dry and crisp.</t>
  </si>
  <si>
    <t>Pilsner Lager WLP800</t>
  </si>
  <si>
    <t>72-77%</t>
  </si>
  <si>
    <t>Somewhat dry with a malty finish.</t>
  </si>
  <si>
    <t>Produces a fruit esterness in lagers.</t>
  </si>
  <si>
    <t>Urquell Lager 2001</t>
  </si>
  <si>
    <t>Mild fruit and floral aroma. Very dry with mouth feel.</t>
  </si>
  <si>
    <t>Zurich Lager Yeast WLP885</t>
  </si>
  <si>
    <t>Swiss style lager yeast with minimal sulfer and diacetyl production.</t>
  </si>
  <si>
    <t>Baltic Lager ECY22</t>
  </si>
  <si>
    <t>Full malt flavor and clean finish.</t>
  </si>
  <si>
    <t>Octoberfest Lager Blend 2633</t>
  </si>
  <si>
    <t>Plenty of malt character and mouth feel. Low in sulfer.</t>
  </si>
  <si>
    <t>Oktoberfest/Märzen WLP820</t>
  </si>
  <si>
    <t>65-73%</t>
  </si>
  <si>
    <t>Produces a very malty, bock-like style.</t>
  </si>
  <si>
    <t>Full flavored, but clean tasting with estery flavor.</t>
  </si>
  <si>
    <t>Kölschbier ECY21</t>
  </si>
  <si>
    <t>Scotch Whiskey WLP045</t>
  </si>
  <si>
    <t>Used for scotch whiskey production from the early 1950s. Used in high-gravity beers.</t>
  </si>
  <si>
    <t>Bavarian Wheat Blend 3056</t>
  </si>
  <si>
    <t>Bavarian Wheat Yeast</t>
  </si>
  <si>
    <t>Lots of classic banana and clove esters, balanced with clove and cinnamon-like phenolic aromas.</t>
  </si>
  <si>
    <t>Very Low</t>
  </si>
  <si>
    <t>Estery to both palate and nose with typical banana notes.</t>
  </si>
  <si>
    <t>Safbrew WB-06</t>
  </si>
  <si>
    <t>Produces subtle estery and phenol flavor notes typical of wheat beers.</t>
  </si>
  <si>
    <t>Name &amp; Number</t>
  </si>
  <si>
    <t>Atten.</t>
  </si>
  <si>
    <t>Grain Bill, Adjuncts, &amp; Sugars</t>
  </si>
  <si>
    <t>Max Fill for Boil Kettle</t>
  </si>
  <si>
    <t>Boil Kettle Deadspace</t>
  </si>
  <si>
    <t>Fermenter Deadspace</t>
  </si>
  <si>
    <t>Process Parameters</t>
  </si>
  <si>
    <t>Maximum volume capacity of mash tun.</t>
  </si>
  <si>
    <t>Max desired fill capacity for mash tun. Should be less &lt;= 95%.</t>
  </si>
  <si>
    <t>Maximum capacity of boil kettle. 8 gal min recommended for 5 gal batch.</t>
  </si>
  <si>
    <t>Temp at which water boils at your elevation above (or below) sea level.</t>
  </si>
  <si>
    <t>Max desired fill capacity for boil kettle. Should allow room for foaming and possibility of boil over.</t>
  </si>
  <si>
    <t>Initial amount of heated water to add to dry grains in mash tun to start the mash.</t>
  </si>
  <si>
    <t>Assumes dry grain occupies .3125 qt/lb (.652 L/kg) of volume</t>
  </si>
  <si>
    <t>Temperature</t>
  </si>
  <si>
    <t>Volume</t>
  </si>
  <si>
    <t>Mass (grain)</t>
  </si>
  <si>
    <t>Mass (hops)</t>
  </si>
  <si>
    <t>Select Units of Measure:</t>
  </si>
  <si>
    <t>From Grain</t>
  </si>
  <si>
    <t>From Sugar</t>
  </si>
  <si>
    <t>Sugar S.G. Contribution</t>
  </si>
  <si>
    <t>IBUs:</t>
  </si>
  <si>
    <t>% of Bill</t>
  </si>
  <si>
    <t>PPG</t>
  </si>
  <si>
    <t>Max Th Yield for batch</t>
  </si>
  <si>
    <t>AAU</t>
  </si>
  <si>
    <t>Avg Atten</t>
  </si>
  <si>
    <t>Yeast Information</t>
  </si>
  <si>
    <t>min</t>
  </si>
  <si>
    <t>Available to drain in 1st step</t>
  </si>
  <si>
    <t>Real number of batch sparge steps required to collect pre boil volume</t>
  </si>
  <si>
    <t>Rounded to whole # of sparge and drain steps to collect pre boil volume.</t>
  </si>
  <si>
    <t>Water Boil Temperature</t>
  </si>
  <si>
    <t>1. Watch Recipe Calculator Tutorial and related What's New videos on my YouTube Channel</t>
  </si>
  <si>
    <t>3. Rename the Excel file to the name of your recipe.</t>
  </si>
  <si>
    <t>4. Configure the Brewhouse Setup &amp; Cacls tab for your equipment,processes, altitude, and desired outcomes.</t>
  </si>
  <si>
    <t>5. Go to Grain &amp; Sugar Calcs tab to specifiy your desired types and amounts of grains and sugars.</t>
  </si>
  <si>
    <t>6. Go to Hops Calcs tab to specify types and amounts of hops.</t>
  </si>
  <si>
    <t>Version History:</t>
  </si>
  <si>
    <t>&lt;2.0 Various updates not tracked.</t>
  </si>
  <si>
    <t>How To Use This Recipe Calculator Template</t>
  </si>
  <si>
    <t xml:space="preserve">9. If you find this spreadsheet and related videos helpful, please consider supporting my work by donating via PayPal: </t>
  </si>
  <si>
    <t>Pre Boil</t>
  </si>
  <si>
    <t>Post Boil</t>
  </si>
  <si>
    <t>Max</t>
  </si>
  <si>
    <t>lb to kg</t>
  </si>
  <si>
    <t>kg to lb</t>
  </si>
  <si>
    <t>L to Qt</t>
  </si>
  <si>
    <t>qt to L</t>
  </si>
  <si>
    <t>qt/lb to L/kg</t>
  </si>
  <si>
    <t>F to C</t>
  </si>
  <si>
    <t>oz to grams</t>
  </si>
  <si>
    <t>L to gallons</t>
  </si>
  <si>
    <t>ceof th exp water 1/F</t>
  </si>
  <si>
    <t>ceof th exp water 1/C (20-100C)</t>
  </si>
  <si>
    <t>App Atten:</t>
  </si>
  <si>
    <t>2.0: Revamped to add Metric units ability, pulldown and cascading menus, data validation in important cells, lists for grain/sugar/hops/yeast ingredients, combined the Mash Calcs tab with the Brewhouse tab, predict FG, calculate actual IBUs compared to predicted, AAU columns, expected and actual attenuation, expected ABV, improved descriptions of some parameters and other settings, improved readability, and added a refractometer section. Updated for Office 2010. (some functions do not work on Office 2007 or earlier.) Added BJCP category and style.</t>
  </si>
  <si>
    <t>2.0.1 - Fixed issue with first row of Grain List (acidulated malt) causing #NA errors.  Added empty first row as workaround.</t>
  </si>
  <si>
    <t>2.0.2 - Changed website information</t>
  </si>
  <si>
    <t>77-80</t>
  </si>
  <si>
    <t>74-76</t>
  </si>
  <si>
    <t>Belgian Abbaye 2 ECY13</t>
  </si>
  <si>
    <t>Saison Single ECY14</t>
  </si>
  <si>
    <t>Leaves a fruity profile with woody, oak esters reminiscent of malt whiskey. Well suited for 90/shilling or heavier ales including old ales and barleywines.</t>
  </si>
  <si>
    <t>Saison Brasserie ECY08</t>
  </si>
  <si>
    <t>A combination of several saison yeast strains for both fruity and spicy characteristics accompanied with dryness.</t>
  </si>
  <si>
    <t>This yeast produces classic Belgian-style ales - robust, estery with a large note of clove and plum fruit. Rated highly in sensory tests described in "Brew Like a Monk" for complexity and low production of higher alcohols.</t>
  </si>
  <si>
    <t>Sourced from a defunct east coast brewery, this pure strain was identified as their "ale-pitching yeast" with likely British heritage. Good for all styles of American and English ales with light fruity esters, high flocculation and a compact sedimentation. Robust and reliable.</t>
  </si>
  <si>
    <t>Isolated from the Hainaut region, this pure yeast will produce flavors reminiscent of witbiers. Hazy, low flocculation.</t>
  </si>
  <si>
    <t xml:space="preserve">Traditional Belgian yeast with a complex, dry, fruity malt profile. Well balanced of spice and bubble-gum. Rated highly in sensory tests described in "Brew Like a Monk" for complexity and low production of higher alcohols. Very strong fermenter - 12 % alcohol tolerance. </t>
  </si>
  <si>
    <t>This strain leaves a smooth, full farmhouse character with mild esters reminiscent of apple pie spice.</t>
  </si>
  <si>
    <t>Produces a bold, citrusy character which accentuates mineral and hop flavors. Well suited for classic English pale ales and ESB.</t>
  </si>
  <si>
    <t>Produces a clean lager-like profile at ale fermentation temperatures. Smooth mineral and malt flavors come through with a clean, lightly yeasty flavor and aroma in the finish.</t>
  </si>
  <si>
    <t>Session Ale ECY27</t>
  </si>
  <si>
    <t>Soft, yeasty, fruity nose with complex esters of ripe fruit, apricots, and rose petals. Unique for bitters and Scottish shilling ales, as well as, session IPAs.</t>
  </si>
  <si>
    <t>Kellerbier ECY28</t>
  </si>
  <si>
    <t>This yeast exhibits a clean, crisp lager in the traditional northern German character. Use in German pilsners including Kellerbier.</t>
  </si>
  <si>
    <t>74-79</t>
  </si>
  <si>
    <t>This unique Belgian ale yeast is a high acid producer with balanced ester and phenol production allowing a good expression of malt profile, especially the strong flavors of darker malts and sugars. High alcohol tolerance. Spicy, tart, and dry on the palate with a very complex finish.</t>
  </si>
  <si>
    <t>From the East Flanders - Antwerpen region of Belgium, this unique top-fermenting yeast produces complex, classic Belgian aromas and flavors that meld well with premium quality pale and crystal malts. Well-rounded and smooth textures are exhibited with a full bodied malty profile and mouthfeel.</t>
  </si>
  <si>
    <t>70-85</t>
  </si>
  <si>
    <t>A very versatile ale strain from Belgium. Excellent for Belgian stouts and Belgian specialty ales. Ferments to dryness and produces moderate levels of esters without significant phenolic or spicy characteristics.</t>
  </si>
  <si>
    <t>Berliner Weisse Blend 3191-PC</t>
  </si>
  <si>
    <t>73-77</t>
  </si>
  <si>
    <t>This blend includes a German ale strain with low ester formation and a dry, crisp finish. The Lactobacillus included produces moderate levels of acidity. The unique Brettanomyces strain imparts a critical earthy characteristic that is indicative of a true Berliner Weisse. When this blend is used, expect a slow start to fermentation as the yeast and bacteria in the blend is balanced to allow proper acid production. It generally requires 3-6 months of aging to fully develop flavor characteristics. Use this blend with worts containing extremely low hopping rates.</t>
  </si>
  <si>
    <t>Bière de Garde 3725-PC</t>
  </si>
  <si>
    <t>Low to moderate ester production with subtle spiciness. Malty and full on the palate with initial sweetness. Finishes dry and slightly tart. Ferments well with no sluggishness.</t>
  </si>
  <si>
    <t>74-77</t>
  </si>
  <si>
    <t>A great yeast choice for any cask-conditioned British Ale and one that is especially well suited for hoppy bitters, IPAs and Australian ales. Produces a nice malt profile, and finishes crisp and slightly tart. Low to moderate fruit ester producer that clears well without filtration.</t>
  </si>
  <si>
    <t>75-79</t>
  </si>
  <si>
    <t>This alcohol tolerant strain produces complex and well-balanced Belgian Abbey style ales. Banana and fruit esters are complemented nicely with mild levels of phenolics and hints of acidity. Ester levels may be elevated by increasing gravity and fermentation temperatures.</t>
  </si>
  <si>
    <t>Denny's Favorite 50 Ale 1450</t>
  </si>
  <si>
    <t>This terrific all-round yeast can be used for almost any beer style, and is a mainstay of one of our local homebrewers, Mr. Denny Conn. It is unique in that it produces a big mouthfeel and accentuates the malt, caramel, or fruit character of a beer without being sweet or under-attenuated.</t>
  </si>
  <si>
    <t>68-72</t>
  </si>
  <si>
    <t>A great yeast for malt-predominate ales. Produces light fruit and ethanol aromas along with soft, nutty flavors. Exhibits a mild malt profile with a neutral finish. Bright beers are easily achieved without any filtration. It is similar to our 1968 London ESB Ale but slightly less flocculent.</t>
  </si>
  <si>
    <t>This strain exhibits a very clean and dry flavor profile often found in aggressively-hopped lagers. Produces mild aromatics and slight sulfur notes typical of classic pilsners. This yeast is a good attenuator resulting in beers with a distinctively crisp finish.</t>
  </si>
  <si>
    <t>Farmhouse Ale 3726</t>
  </si>
  <si>
    <t>This strain produces complex esters balanced with earthy/spicy notes. Slightly tart and dry with a peppery finish. A perfect strain for farmhouse ales and saisons.</t>
  </si>
  <si>
    <t>74-78</t>
  </si>
  <si>
    <t>This well-balanced strain from northern Belgium will produce moderate levels of both fruity esters and spicy phenols while finishing dry with a hint of malt. 3739-PC is a robust and versatile strain that performs nicely in a broad range of Belgian styles.</t>
  </si>
  <si>
    <t>77-83</t>
  </si>
  <si>
    <t>A very versatile strain that produces Saison or farmhouse style beers as well as other Belgian style beers that are highly aromatic (estery), peppery, spicy and citrusy. This strain enhances the use of spices and aroma hops, and is extremely attenuative but leaves an unexpected silky and rich mouthfeel. This strain can also be used to re-start stuck fermentations or in high gravity beers.</t>
  </si>
  <si>
    <t>Hella Bock Lager 2487-PC</t>
  </si>
  <si>
    <t>70-74</t>
  </si>
  <si>
    <t>Direct from the Austrian Alps, this strain will produce rich, full-bodied and malty beers with a complex flavor profile and a great mouth feel. Attenuates well while still leaving plenty of malt character and body. Beers fermented with this strain will benefit from a temperature rise for a diacetyl rest at the end of primary fermentation.</t>
  </si>
  <si>
    <t>Kolsch Yeast II 2575-PC</t>
  </si>
  <si>
    <t>This authentic Kӧlsch strain from one of Germany’s leading brewing schools has a rich flavor profile which accentuates a soft malt finish. It has Low or no detectable diacetyl production and will also ferment well at colder temperatures for fast lager type beers.</t>
  </si>
  <si>
    <t>70-76</t>
  </si>
  <si>
    <t>A complex alternative to the standard German wheat strain profile of 3068 Weihenstephan Weizen. This strain produces apple, pear, and plum esters in addition to the dominant banana character. The esters are complemented nicely by clove and subtle vanilla phenolics. The balance can be manipulated towards ester production through increasing fermentation temperature, increasing the wort density, and decreasing the pitch rate. Over pitching can result in a near complete loss of banana character. Decreasing the ester level will allow a higher clove character to be perceived. Sulfur is commonly produced, but will dissipate with conditioning. This strain is very powdery and will remain in suspension for an extended amount of time following attenuation. This is true top-cropping yeast and requires fermenter headspace of 33%.</t>
  </si>
  <si>
    <t>72-74</t>
  </si>
  <si>
    <t>Traditional culture of North American and Canadian lagers, light pilsners and adjunct beers. Mildly malty profile, medium ester profile, well balanced. Malty finish.</t>
  </si>
  <si>
    <t>Perfect for that “Banquet Style” beer, this lager strain, born high in the Colorado Rockies, ferments well at cooler temperatures with an emphasis on the malt finish. Will work well for all North American lagers, light pilsners and adjunct beers. Mild malty profile, medium ester profile, well balanced.</t>
  </si>
  <si>
    <t>80-80</t>
  </si>
  <si>
    <t>Our blend of lambic cultures produce beer with a complex, earthy profile and a distinctive pie cherry sourness. Aging up to 18 months is required for a full flavor profile and acidity to develop. Specific proportions of a Belgian style ale strain, a sherry strain, two Brettanomyces strains, a Lactobacillus culture, and a Pediococcus culture produce the desirable flavor components of these beers as they are brewed in West Flanders. Propagation of this culture is not recommended and will result in a change of the proportions of the individual components. This blend will produce a very dry beer due to the super-attenuative nature of the mixed cultures.</t>
  </si>
  <si>
    <t>This yeast will help create medium to full body lagers with moderate fruit and bready malt flavors. The balance is slightly toward malt sweetness and will benefit from additional hop bittering. A fantastic strain for producing classic Bohemian lagers.</t>
  </si>
  <si>
    <t>72-78</t>
  </si>
  <si>
    <t>This strain was originally sourced from a now defunct brewery on the banks of the River Thames outside of Oxford, England. Thames Valley II produces crisp, dry beers with a rich malt profile and moderate stone fruit esters. This attenuative strain is also highly flocculent resulting in bright beers not requiring filtration. A thorough diacetyl rest is recommended after fermentation is complete.</t>
  </si>
  <si>
    <t>Trappist Style Blend 3789-PC</t>
  </si>
  <si>
    <t>75-80</t>
  </si>
  <si>
    <t>A unique blend of Belgian Saccharomyces and Brettanomyces for emulating Trappist style beer from the Florenville region in Belgium. Phenolics, mild fruitiness and complex spicy notes develop with increased fermentation temperatures. Subdued but classic Brett character.</t>
  </si>
  <si>
    <t>67-71</t>
  </si>
  <si>
    <t>This strain produces ales with a full chewy malt flavor and character, but finishes dry, producing famously balanced beers. Expect moderate nutty and stone-fruit esters. Best used for the production of cask-conditioned bitters, ESB and mild ales. Reliably flocculent, producing bright beer without filtration</t>
  </si>
  <si>
    <t>American ale yeast producing well balanced beers with low diacetyl and a very clean, crisp end palate. Forms a firm foam head and
presents a very good ability to stay in suspension during fermentation.</t>
  </si>
  <si>
    <t>SafAle BE-134</t>
  </si>
  <si>
    <t xml:space="preserve">This typical yeast strain is recommended for Belgian Saison-style beers and is characterized by a particularly high attenuation. It gives fruity
aromas with a spicy character such as clove notes. This strain will produce highly refreshing and drinkable beers. </t>
  </si>
  <si>
    <t>SafAle S-04</t>
  </si>
  <si>
    <t>English ale yeast selected for its fast fermentation character and its ability to form a compact sediment at the end of fermentation, helping to
improve beer clarity. Recommended for the production of a large range of ales and specially adapted to cask-conditioned ones and
fermentation in cylindo-conical tanks</t>
  </si>
  <si>
    <t>SafAle US-05</t>
  </si>
  <si>
    <t>SafAle T-58</t>
  </si>
  <si>
    <t>Specialty yeast selected for its estery somewhat peppery and spicy flavor development. Yeast with a medium sedimentation: forms no
clumps but a powdery haze when resuspended in the beer.</t>
  </si>
  <si>
    <t>SafAle S-33</t>
  </si>
  <si>
    <t>General purpose ale yeast with neutral flavor profiles. Its low attenuation gives beers with a very good length on the palate. Particularly
recom-mended for specialty ales and trappist type beers. Yeast with a medium sedimentation: forms no clumps but a powdery haze when
resuspended in the beer.</t>
  </si>
  <si>
    <t>2.0.3 - Added many missing Yeast Attenuation values and some new yeast strains. Added Best Malz Red X grain.</t>
  </si>
  <si>
    <t>SafLager W-34/70</t>
  </si>
  <si>
    <t>SafLager S-23</t>
  </si>
  <si>
    <t>SafAle K-97</t>
  </si>
  <si>
    <t>German ale yeast selected for its ability to form a large firm head when fermenting. Suitable to brew ales with low esters and can be used for
Belgian type wheat beers.</t>
  </si>
  <si>
    <t>SafAle F-2</t>
  </si>
  <si>
    <t>SafAle F-2 has been selected specifically for secondary fermentation in bottle and in cask. This yeast assimilates very little maltotriose but
assimi-lates basic sugars (glucose, fructose, saccharose, maltose) and is caracterized by a neutral aroma profile respecting the base beer
character.</t>
  </si>
  <si>
    <t>SafAle BE-256</t>
  </si>
  <si>
    <t>Active dry yeast recommended to brew a diversity of beers amongst which abbey style beers known for their high alcohol content.
It ferments very fast and reveals subtle and well-balanced aromas.</t>
  </si>
  <si>
    <t>SafLager S-189</t>
  </si>
  <si>
    <t>Originating from the Hürlimann brewery in Switzerland. This lager strain’s attenuation profile allows to brew fairly neutral flavor beers with a
high drinkability.</t>
  </si>
  <si>
    <t>2.0.4 - Added more Fermentis yeast information.</t>
  </si>
  <si>
    <t>Temp. Low F</t>
  </si>
  <si>
    <t>Temp. High F</t>
  </si>
  <si>
    <t>Munich Wheat</t>
  </si>
  <si>
    <t>Amount of water absorbed grain</t>
  </si>
  <si>
    <t>Grain Absorption Loss</t>
  </si>
  <si>
    <t xml:space="preserve">Combined volume of strike water and grains </t>
  </si>
  <si>
    <t>Free mash tun capacity for adding sparge water</t>
  </si>
  <si>
    <t>Optimize water vol per step</t>
  </si>
  <si>
    <t>Capacity Checks</t>
  </si>
  <si>
    <t>Mash Tun</t>
  </si>
  <si>
    <t>Boil Kettle</t>
  </si>
  <si>
    <t>Inputs</t>
  </si>
  <si>
    <t>Equipment Parameters</t>
  </si>
  <si>
    <t>Calculations</t>
  </si>
  <si>
    <t>Drain for 1st Step</t>
  </si>
  <si>
    <t>Add for 1st Step</t>
  </si>
  <si>
    <t>Add/Drain for 2nd Step</t>
  </si>
  <si>
    <t>Add/Drain for 3rd Step</t>
  </si>
  <si>
    <t xml:space="preserve">Goal is to have equally sized draining volumes to maximize extract efficiency.  </t>
  </si>
  <si>
    <t>Amount of drainable wort available for first step.</t>
  </si>
  <si>
    <t>Amount of additional water to add to first step to get equal drain volumes.</t>
  </si>
  <si>
    <t>Expected amount of wort into the brew kettle for first drain step.</t>
  </si>
  <si>
    <t xml:space="preserve">Amount of water to add for second step. Optimal # of steps should usually be 2 in most cases.  </t>
  </si>
  <si>
    <t>Amount of water to add for third step. Beware: Adding a third step can add astringency to the beer.</t>
  </si>
  <si>
    <t>Water lost to evaporation.</t>
  </si>
  <si>
    <t>Wort Correction Factor</t>
  </si>
  <si>
    <t>For use with a refractometer. (Ignore if not using one)</t>
  </si>
  <si>
    <t>Specific Gravity</t>
  </si>
  <si>
    <t>kJ/kg.K</t>
  </si>
  <si>
    <t>Btu (th)/pound/°F</t>
  </si>
  <si>
    <t>Water</t>
  </si>
  <si>
    <t>2.1 - Adjusted calcs for splitting sparge steps. Update yeast fermentation range to display current temperature units, fixed lallemand yeast temp ranges. Added manual input for grain absorption ration. Rearranged Brewhouse Setup &amp; Calcs tab. Adjusted Brix FG formula per www.seanterrill.com and added an adjustable Wort Correction Factor to the brewhouse set up tab. Corrected error in Strike Water Temp calc for Metric units.</t>
  </si>
  <si>
    <t>Brewing Recipe Template Playlist</t>
  </si>
  <si>
    <t>SRM Total</t>
  </si>
  <si>
    <t>Moisture Content</t>
  </si>
  <si>
    <t>Roasted Barley (Briess)</t>
  </si>
  <si>
    <t>Torrified Wheat (Briess)</t>
  </si>
  <si>
    <t>SRM:</t>
  </si>
  <si>
    <t>Flaked Barley (Briess)</t>
  </si>
  <si>
    <t>Flaked Yellow Corn (Briess)</t>
  </si>
  <si>
    <t>Flaked Oats (Briess)</t>
  </si>
  <si>
    <t>Flaked Brown Rice (Briess)</t>
  </si>
  <si>
    <t>Flaked Red Wheat (Briess)</t>
  </si>
  <si>
    <t>Flaked Rye (Briess)</t>
  </si>
  <si>
    <t>Flaked Triticale (Briess)</t>
  </si>
  <si>
    <t>Source</t>
  </si>
  <si>
    <t>Company</t>
  </si>
  <si>
    <t>Weyermann</t>
  </si>
  <si>
    <t>Simpsons</t>
  </si>
  <si>
    <t>Briess</t>
  </si>
  <si>
    <t>Dingemans</t>
  </si>
  <si>
    <t>Roasted Barley (Simpsons)</t>
  </si>
  <si>
    <t>Roasted Barley (Weyermann)</t>
  </si>
  <si>
    <t>Spelt Malt (Weyermann)</t>
  </si>
  <si>
    <t>https://www.simpsonsmalt.co.uk/our-malts/finest-pale-ale-golden-promise/</t>
  </si>
  <si>
    <t>https://www.simpsonsmalt.co.uk/our-malts/finest-pale-ale-maris-otter/</t>
  </si>
  <si>
    <t>https://www.simpsonsmalt.co.uk/our-malts/low-colour-maris-otter/</t>
  </si>
  <si>
    <t>https://www.simpsonsmalt.co.uk/our-malts/best-pale-ale-malt/</t>
  </si>
  <si>
    <t>https://www.simpsonsmalt.co.uk/our-malts/extra-pale-ale-malt/</t>
  </si>
  <si>
    <t>https://www.simpsonsmalt.co.uk/our-malts/finest-lager-malt/</t>
  </si>
  <si>
    <t>https://www.simpsonsmalt.co.uk/our-malts/vienna-malt/</t>
  </si>
  <si>
    <t>https://www.simpsonsmalt.co.uk/our-malts/munich-malt/</t>
  </si>
  <si>
    <t>https://www.simpsonsmalt.co.uk/our-malts/imperial-malt/</t>
  </si>
  <si>
    <t>https://www.simpsonsmalt.co.uk/our-malts/aromatic-malt/</t>
  </si>
  <si>
    <t>https://www.simpsonsmalt.co.uk/our-malts/cornish-gold/</t>
  </si>
  <si>
    <t>https://www.simpsonsmalt.co.uk/our-malts/caramalt/</t>
  </si>
  <si>
    <t>https://www.simpsonsmalt.co.uk/our-malts/premium-english-caramalt/</t>
  </si>
  <si>
    <t>https://www.simpsonsmalt.co.uk/our-malts/crystal-light/</t>
  </si>
  <si>
    <t>https://www.simpsonsmalt.co.uk/our-malts/crystal-t50/</t>
  </si>
  <si>
    <t>https://www.simpsonsmalt.co.uk/our-malts/crystal-medium/</t>
  </si>
  <si>
    <t>https://www.simpsonsmalt.co.uk/our-malts/crystal-dark/</t>
  </si>
  <si>
    <t>https://www.simpsonsmalt.co.uk/our-malts/crystal-extra-dark/</t>
  </si>
  <si>
    <t>https://www.simpsonsmalt.co.uk/our-malts/simpsons-drc/</t>
  </si>
  <si>
    <t>https://www.simpsonsmalt.co.uk/our-malts/heritage-crystal-malt/</t>
  </si>
  <si>
    <t>https://www.simpsonsmalt.co.uk/our-malts/amber-malt/</t>
  </si>
  <si>
    <t>https://www.simpsonsmalt.co.uk/our-malts/brown-malt/</t>
  </si>
  <si>
    <t>https://www.simpsonsmalt.co.uk/our-malts/chocolate-malt/</t>
  </si>
  <si>
    <t>https://www.simpsonsmalt.co.uk/our-malts/black-malt/</t>
  </si>
  <si>
    <t>https://www.simpsonsmalt.co.uk/our-malts/roasted-barley/</t>
  </si>
  <si>
    <t>https://www.simpsonsmalt.co.uk/our-malts/malted-oats/</t>
  </si>
  <si>
    <t>https://www.simpsonsmalt.co.uk/our-malts/wheat-malt/</t>
  </si>
  <si>
    <t>https://www.simpsonsmalt.co.uk/our-malts/golden-naked-oats-gno/</t>
  </si>
  <si>
    <t>https://www.simpsonsmalt.co.uk/our-malts/red-rye-crystal/</t>
  </si>
  <si>
    <t>https://www.simpsonsmalt.co.uk/our-malts/malted-rye/</t>
  </si>
  <si>
    <t>https://www.simpsonsmalt.co.uk/our-malts/dextrin-malt/</t>
  </si>
  <si>
    <t>http://www.dingemansmout.be/products/kilned-malts</t>
  </si>
  <si>
    <t>http://www.dingemansmout.be/products/caramalized-malts</t>
  </si>
  <si>
    <t>http://www.dingemansmout.be/products/roasted-malts</t>
  </si>
  <si>
    <t>https://www.weyermann.de/usa/gelbe_seiten_usa.asp?go=brewery&amp;umenue=yes&amp;idmenue=269&amp;sprache=10</t>
  </si>
  <si>
    <t>http://www.brewingwithbriess.com/Products/Munich.htm#Aromatic</t>
  </si>
  <si>
    <t>http://www.brewingwithbriess.com/Products/Roasted.htm#Carabrown</t>
  </si>
  <si>
    <t>http://www.brewingwithbriess.com/Products/Caramel.htm</t>
  </si>
  <si>
    <t>BestMalz</t>
  </si>
  <si>
    <t>http://www.brewingwithbriess.com/Products/Carapils.htm</t>
  </si>
  <si>
    <t>http://www.brewingwithbriess.com/Products/Dark_Roasted.htm#2RowChocolate</t>
  </si>
  <si>
    <t>http://www.brewingwithbriess.com/Products/Roasted.htm#ExtraSpecial</t>
  </si>
  <si>
    <t>Grain or Sugar</t>
  </si>
  <si>
    <t>Ingredient Name</t>
  </si>
  <si>
    <t>http://www.brewingwithbriess.com/Products/Munich.htm#Bonlander</t>
  </si>
  <si>
    <t>http://www.brewingwithbriess.com/Products/Base.htm#Brewers</t>
  </si>
  <si>
    <t>http://www.brewingwithbriess.com/Products/Base.htm#Goldpils</t>
  </si>
  <si>
    <t>http://www.brewingwithbriess.com/Products/Wheat.htm</t>
  </si>
  <si>
    <t>http://www.brewingwithbriess.com/Products/Roasted.htm</t>
  </si>
  <si>
    <t>http://www.bestmalz.de/en/malts/best-heidelberg/?portfolioCats=28</t>
  </si>
  <si>
    <t>http://www.bestmalz.de/en/malts/best-pilsen-malt</t>
  </si>
  <si>
    <t>http://www.bestmalz.de/en/malts/best-pale-ale</t>
  </si>
  <si>
    <t>http://www.bestmalz.de/en/malts/best-vienna</t>
  </si>
  <si>
    <t>http://www.bestmalz.de/en/malts/best-munich-dark/</t>
  </si>
  <si>
    <t>http://www.bestmalz.de/en/malts/best-melanoidin</t>
  </si>
  <si>
    <t>http://www.bestmalz.de/en/malts/best-melanoidin-light</t>
  </si>
  <si>
    <t>http://www.bestmalz.de/en/malts/best-munich</t>
  </si>
  <si>
    <t>http://www.bestmalz.de/en/malts/best-wheat-malt</t>
  </si>
  <si>
    <t>http://www.bestmalz.de/en/malts/best-wheat-malt-dark</t>
  </si>
  <si>
    <t>http://www.bestmalz.de/en/malts/best-spelt-malt</t>
  </si>
  <si>
    <t>http://www.bestmalz.de/en/malts/best-heidelberg-wheat-malt</t>
  </si>
  <si>
    <t>http://www.bestmalz.de/en/malts/best-red-x/?</t>
  </si>
  <si>
    <t>http://www.bestmalz.de/en/malts/best-special-x</t>
  </si>
  <si>
    <t>http://www.bestmalz.de/en/malts/best-caramel-hell</t>
  </si>
  <si>
    <t>http://www.bestmalz.de/en/malts/best-caramel-aromatic</t>
  </si>
  <si>
    <t>http://www.bestmalz.de/en/malts/best-caramel-amber</t>
  </si>
  <si>
    <t>http://www.bestmalz.de/en/malts/best-caramel-pils</t>
  </si>
  <si>
    <t>http://www.bestmalz.de/en/malts/best-caramel-munich-i</t>
  </si>
  <si>
    <t>http://www.bestmalz.de/en/malts/best-caramel-munich-ii</t>
  </si>
  <si>
    <t>http://www.bestmalz.de/en/malts/best-caramel-munich-iii</t>
  </si>
  <si>
    <t>http://www.bestmalz.de/en/malts/best-black-malt</t>
  </si>
  <si>
    <t>http://www.bestmalz.de/en/malts/best-black-malt-extra</t>
  </si>
  <si>
    <t>http://www.bestmalz.de/en/malts/best-chit-malt</t>
  </si>
  <si>
    <t>http://www.bestmalz.de/en/malts/best-acidulated-malt</t>
  </si>
  <si>
    <t>http://www.bestmalz.de/en/malts/best-smoked</t>
  </si>
  <si>
    <t>http://www.bestmalz.de/en/malts/best-peated</t>
  </si>
  <si>
    <t>http://www.bestmalz.de/en/malts/best-roasted-barley</t>
  </si>
  <si>
    <t>Pilsner Malt: BEST Heidelberg (BestMalz)</t>
  </si>
  <si>
    <t>Pilsner Malt: BEST Pilsen Malt (BestMalz)</t>
  </si>
  <si>
    <t>Pilsner Malt: Bohemian Pilsner Malt (Weyermann)</t>
  </si>
  <si>
    <t>Pilsner Malt: Finest Lager Malt (Simpsons)</t>
  </si>
  <si>
    <t>Pilsner Malt: Pilsen Malt (Briess)</t>
  </si>
  <si>
    <t>Pilsner Malt: Pilsen MD (Dingemans)</t>
  </si>
  <si>
    <t>Pilsner Malt: Pilsener Malt (Weyermann)</t>
  </si>
  <si>
    <t>Pilsner Malt: Synergy Select Pilsen Malt (Briess)</t>
  </si>
  <si>
    <t>Acidulated Malt: Acidulated Malt (Weyermann)</t>
  </si>
  <si>
    <t>Acidulated Malt: BEST Acidulated Malt (BestMalz)</t>
  </si>
  <si>
    <t>Aromatic Malt: Aroma 100 (Dingemans)</t>
  </si>
  <si>
    <t>Caramel Malt: Cara 120 (Dingemans)</t>
  </si>
  <si>
    <t>Caramel Malt: Cara 20 (Dingemans)</t>
  </si>
  <si>
    <t>Caramel Malt: Cara 50 (Dingemans)</t>
  </si>
  <si>
    <t>Caramel Malt: Caracrystal Wheat 55L (Briess)</t>
  </si>
  <si>
    <t>Caramel Malt: Caramalt (Simpsons)</t>
  </si>
  <si>
    <t>Caramel Malt: Caramel Malt 10L (Briess)</t>
  </si>
  <si>
    <t>Caramel Malt: Caramel Malt 120L (Briess)</t>
  </si>
  <si>
    <t>Caramel Malt: Caramel Malt 20L (Briess)</t>
  </si>
  <si>
    <t>Caramel Malt: Caramel Malt 30L (Briess)</t>
  </si>
  <si>
    <t>Caramel Malt: Caramel Malt 40L (Briess)</t>
  </si>
  <si>
    <t>Caramel Malt: Caramel Malt 60L (Briess)</t>
  </si>
  <si>
    <t>Caramel Malt: Caramel Malt 80L (Briess)</t>
  </si>
  <si>
    <t>Caramel Malt: Caramel Malt 90L (Briess)</t>
  </si>
  <si>
    <t>Caramel Malt: Caramel Munich Malt 60L (Briess)</t>
  </si>
  <si>
    <t>Caramel Malt: Caramel Rye Malt (Briess)</t>
  </si>
  <si>
    <t>Caramel Malt: Caramel Vienne Malt 20L (Briess)</t>
  </si>
  <si>
    <t>Caramel Malt: Crystal Dark (Simpsons)</t>
  </si>
  <si>
    <t>Caramel Malt: Crystal Extra Dark (Simpsons)</t>
  </si>
  <si>
    <t>Caramel Malt: Crystal Light (Simpsons)</t>
  </si>
  <si>
    <t>Caramel Malt: Crystal Medium (Simpsons)</t>
  </si>
  <si>
    <t>Caramel Malt: Crystal T50® (Simpsons)</t>
  </si>
  <si>
    <t>Caramel Malt: Heritage Crystal Malt (Simpsons)</t>
  </si>
  <si>
    <t>Caramel Malt: Premium English Caramalt (Simpsons)</t>
  </si>
  <si>
    <t>Caramel Malt: Simpsons DRC (Simpsons)</t>
  </si>
  <si>
    <t>Caramel Malt: Special B® Malt (Dingemans)</t>
  </si>
  <si>
    <t>Dextrin Malt: Carapils® (Briess)</t>
  </si>
  <si>
    <t>Dextrin Malt: Carapils® Copper Malt (Briess)</t>
  </si>
  <si>
    <t>Dextrin Malt: Dextrin Malt (Simpsons)</t>
  </si>
  <si>
    <t>Pale Ale Malt: Cornish Gold (Simpsons)</t>
  </si>
  <si>
    <t>Pale Ale Malt: Imperial Malt (Simpsons)</t>
  </si>
  <si>
    <t>Pale Ale Malt: BEST Pale Ale (BestMalz)</t>
  </si>
  <si>
    <t>Pale Ale Malt: Best Pale Ale Malt (Simpsons)</t>
  </si>
  <si>
    <t>Pale Ale Malt: Extra Pale Ale Malt (Simpsons)</t>
  </si>
  <si>
    <t>Pale Ale Malt: Pale Ale Malt (Briess)</t>
  </si>
  <si>
    <t>Pale Ale Malt: Pale Ale Malt MD (Dingemans)</t>
  </si>
  <si>
    <t>Pale Ale Malt: Pale Ale Malt (Weyermann)</t>
  </si>
  <si>
    <t>Pale Malt: Ashburne® Mild Malt (Briess)</t>
  </si>
  <si>
    <t>Pale Malt: Brewers Malt, 2-row (Briess)</t>
  </si>
  <si>
    <t>Pale Malt: Full Pint (Briess)</t>
  </si>
  <si>
    <t>Pale Malt: Low Colour Marris Otter (Simpsons)</t>
  </si>
  <si>
    <t>Munich Malt: Aromatic Munich Malt 20L (Briess)</t>
  </si>
  <si>
    <t>Munich Malt: BEST Munich (BestMalz)</t>
  </si>
  <si>
    <t>Munich Malt: BEST Munich Dark (BestMalz)</t>
  </si>
  <si>
    <t>Munich Malt: Bonlander® Munich Malt 10L (Briess)</t>
  </si>
  <si>
    <t>Munich Malt: Munich MD (Dingemans)</t>
  </si>
  <si>
    <t>Munich Malt: Munich Malt (Simpsons)</t>
  </si>
  <si>
    <t>Melanoidin Malt: BEST Melanoidin (BestMalz)</t>
  </si>
  <si>
    <t>Melanoidin Malt: BEST Melanoidin Light (BestMalz)</t>
  </si>
  <si>
    <t>Melanoidin Malt: Melanoidin Malt (Weyermann)</t>
  </si>
  <si>
    <t>Roasted Malt: Amber Malt (Simpsons)</t>
  </si>
  <si>
    <t>Roasted Malt: BEST Black Malt (BestMalz)</t>
  </si>
  <si>
    <t>Roasted Malt: BEST Black Malt eXtra (BestMalz)</t>
  </si>
  <si>
    <t>Roasted Malt: BEST Chocolate (BestMalz)</t>
  </si>
  <si>
    <t>Roasted Malt: Black Malt (Briess)</t>
  </si>
  <si>
    <t>Roasted Malt: Black Malt (Simpsons)</t>
  </si>
  <si>
    <t>Roasted Malt: Black Malted Barley Flour (Briess)</t>
  </si>
  <si>
    <t>Roasted Malt: Blackprinz® Malt (Briess)</t>
  </si>
  <si>
    <t>Roasted Malt: Brown Malt (Simpsons)</t>
  </si>
  <si>
    <t>Roasted Malt: Carabrown® Malt (Briess)</t>
  </si>
  <si>
    <t>Roasted Malt: Chocolate Malt (Briess)</t>
  </si>
  <si>
    <t>Roasted Malt: Chocolate Malt (Simpsons)</t>
  </si>
  <si>
    <t>Roasted Malt: Dark Chocolate Malt (Briess)</t>
  </si>
  <si>
    <t>Roasted Malt: Extra Special Malt (Briess)</t>
  </si>
  <si>
    <t>Roasted Malt: Midnight Wheat Malt (Briess)</t>
  </si>
  <si>
    <t>Roasted Malt: Toasted Wheat (Dingemans)</t>
  </si>
  <si>
    <t>Vienna Malt: BEST Vienna (BestMalz)</t>
  </si>
  <si>
    <t>Vienna Malt: Goldpils® Vienna Malt (Briess)</t>
  </si>
  <si>
    <t>Vienna Malt: Vienna Malt (Simpsons)</t>
  </si>
  <si>
    <t>Vienna Malt: Vienna Malt (Weyermann)</t>
  </si>
  <si>
    <t>Smoked Malt: Apple Wood Smoked Malt (Briess)</t>
  </si>
  <si>
    <t>Smoked Malt: Beech Smoked Barley Malt (Weyermann)</t>
  </si>
  <si>
    <t>Smoked Malt: BEST Peated (BestMalz)</t>
  </si>
  <si>
    <t>Smoked Malt: BEST Smoked (BestMalz)</t>
  </si>
  <si>
    <t>Smoked Malt: Cherry Wood Smoked Malt (Briess)</t>
  </si>
  <si>
    <t>Smoked Malt: Mesquite Smoked Malt (Briess)</t>
  </si>
  <si>
    <t>Smoked Malt: Oak Smoked Wheat Malt (Weyermann)</t>
  </si>
  <si>
    <t>Wheat Malt: BEST Heidelberg Wheat Malt (BestMalz)</t>
  </si>
  <si>
    <t>Wheat Malt: BEST Wheat Malt (BestMalz)</t>
  </si>
  <si>
    <t>Wheat Malt: BEST Wheat Malt Dark (BestMalz)</t>
  </si>
  <si>
    <t>Wheat Malt: Diastatic Wheat Malt (Weyermann)</t>
  </si>
  <si>
    <t>Wheat Malt: Pale Wheat Malt (Weyermann)</t>
  </si>
  <si>
    <t>Wheat Malt: Wheat Malt (Simpsons)</t>
  </si>
  <si>
    <t>Wheat Malt: Wheat Malt MD (Dingemans)</t>
  </si>
  <si>
    <t>Wheat Malt: Wheat Malt, Dark (Weyermann)</t>
  </si>
  <si>
    <t>Wheat Malt: Wheat Malt, Red (Briess)</t>
  </si>
  <si>
    <t>Wheat Malt: Wheat Malt, White (Briess)</t>
  </si>
  <si>
    <t>Roasted Malt: Chocolate Rye Malt (Weyermann)</t>
  </si>
  <si>
    <t>Roasted Malt: Chocolate Spelt Malt (Weyermann)</t>
  </si>
  <si>
    <t>Roasted Malt: Chocolate Wheat Malt (Weyermann)</t>
  </si>
  <si>
    <t>Pilsner Malt: Lager Malt (Thomas Fawcett &amp; Sons)</t>
  </si>
  <si>
    <t>Pale Ale Malt: Golden Promise (Thomas Fawcett &amp; Sons)</t>
  </si>
  <si>
    <t>Thomas Fawcett &amp; Sons</t>
  </si>
  <si>
    <t>Rye Malt: Pale Rye Malt (Weyermann)</t>
  </si>
  <si>
    <t>Roasted Barley: Pealed Roasted Barley (Dingemans)</t>
  </si>
  <si>
    <t>Caramel Malt: Red Rye Crystal (Simpsons)</t>
  </si>
  <si>
    <t>Roasted Malt: Roasted Rye (Weyermann)</t>
  </si>
  <si>
    <t>Caramel Malt: CARAAROMA® (Weyermann)</t>
  </si>
  <si>
    <t>Caramel Malt: CARABELGE® (Weyermann)</t>
  </si>
  <si>
    <t>Caramel Malt: CARAFOAM® (Weyermann)</t>
  </si>
  <si>
    <t>Caramel Malt: CARAHELL® (Weyermann)</t>
  </si>
  <si>
    <t>Caramel Malt: CARAMBER® (Weyermann)</t>
  </si>
  <si>
    <t>Sugar: Honey</t>
  </si>
  <si>
    <t>Sugar: Invert Sugar</t>
  </si>
  <si>
    <t>Sugar: Lactose</t>
  </si>
  <si>
    <t>Sugar: Maple Syrup</t>
  </si>
  <si>
    <t>Sugar: Molasses</t>
  </si>
  <si>
    <t>Sugar: Sucrose (white table sugar)</t>
  </si>
  <si>
    <t>Sugar: Demerara Sugar</t>
  </si>
  <si>
    <t>Roasted Barley: BEST Roasted Barley (BestMalz)</t>
  </si>
  <si>
    <t>Other Malt: BEST Special X (BestMalz)</t>
  </si>
  <si>
    <t>Spelt Malt: BEST Spelt Malt (BestMalz)</t>
  </si>
  <si>
    <t>Other Malt: BEST Red X (BestMalz)</t>
  </si>
  <si>
    <t>Chit Malt: BEST Chilt Malt (BestMalz)</t>
  </si>
  <si>
    <t>Oat Malt: Malted Oats (Simpsons)</t>
  </si>
  <si>
    <t>Rye Malt: Malted Rye (Simpsons)</t>
  </si>
  <si>
    <t>Oat Malt: Golden Naked Oats® (Simpsons)</t>
  </si>
  <si>
    <t>Rye Malt: Rye Malt (Briess)</t>
  </si>
  <si>
    <t>Roasted Barley: Black Barley (Briess)</t>
  </si>
  <si>
    <t>Caramel Malt: CARAMUNICH® Type I (Weyermann)</t>
  </si>
  <si>
    <t>Caramel Malt: CARAMUNICH® Type II (Weyermann)</t>
  </si>
  <si>
    <t>Caramel Malt: CARAMUNICH® Type III (Weyermann)</t>
  </si>
  <si>
    <t>Caramel Malt: CARAPILS® (Weyermann)</t>
  </si>
  <si>
    <t>Caramel Malt: CARARED® (Weyermann)</t>
  </si>
  <si>
    <t>Caramel Malt: CARARYE® (Weyermann)</t>
  </si>
  <si>
    <t>Caramel Malt: CARAWHEAT® (Weyermann)</t>
  </si>
  <si>
    <t>http://www.muntonsmicrobrewing.com/product-range/</t>
  </si>
  <si>
    <t>Caramel Malt: CARAFA SPECIAL Type III® (Weyermann)</t>
  </si>
  <si>
    <t>Caramel Malt: CARAFA SPECIAL Type II® (Weyermann)</t>
  </si>
  <si>
    <t>Caramel Malt: CARAFA SPECIAL Type I® (Weyermann)</t>
  </si>
  <si>
    <t>Caramel Malt: CARAFA Type I® (Weyermann)</t>
  </si>
  <si>
    <t>Caramel Malt: CARAFA Type II® (Weyermann)</t>
  </si>
  <si>
    <t>Caramel Malt: CARAFA Type III® (Weyermann)</t>
  </si>
  <si>
    <t>Whitbread Golding Variety (U.K.)</t>
  </si>
  <si>
    <t>DME: Muntons Spraymalt Amber</t>
  </si>
  <si>
    <t>DME: Muntons Spraymalt Dark</t>
  </si>
  <si>
    <t>DME: Muntons Spraymalt Extra Dark</t>
  </si>
  <si>
    <t>DME: Muntons Spraymalt Extra Light</t>
  </si>
  <si>
    <t>DME: Muntons Spraymalt Light</t>
  </si>
  <si>
    <t>DME: Muntons Spraymalt Medium</t>
  </si>
  <si>
    <t>DME: Muntons Spraymalt Super Dark</t>
  </si>
  <si>
    <t>LME: Muntons Cedarex Amber</t>
  </si>
  <si>
    <t>LME: Muntons Cedarex Light</t>
  </si>
  <si>
    <t>LME: Muntons Cedarex Medium</t>
  </si>
  <si>
    <t>LME: Muntons Wheat Malt Extract</t>
  </si>
  <si>
    <t>Pale Ale Malt: Finest Golden Promise® (Simpsons)</t>
  </si>
  <si>
    <t>Pale Ale Malt: Finest Marris Otter (Simpsons)</t>
  </si>
  <si>
    <t>Pilsner Malt: Extra Pale Premium (Weyermann)</t>
  </si>
  <si>
    <t>Aromatic Malt (Simpsons)</t>
  </si>
  <si>
    <t>http://www.brewingwithbriess.com/Products/Adjuncts.htm</t>
  </si>
  <si>
    <t>http://www.brewingwithbriess.com/Products/Extracts.htm</t>
  </si>
  <si>
    <t>° L</t>
  </si>
  <si>
    <t>http://www.fawcett-maltsters.co.uk/uploads/2/0/2/6/20260333/spec_table_asbc.pdf</t>
  </si>
  <si>
    <t>http://brewingwithbriess.com/Products/Roasted_Barley.htm</t>
  </si>
  <si>
    <t>http://brewingwithbriess.com/Products/Dark_Roasted.htm</t>
  </si>
  <si>
    <t>http://brewingwithbriess.com/Products/Roasted.htm</t>
  </si>
  <si>
    <t>http://brewingwithbriess.com/Products/Kilned.htm</t>
  </si>
  <si>
    <t>http://www.beersmith.com/Grains/Grains/GrainList.htm</t>
  </si>
  <si>
    <t>Sugar: Brown Sugar, Light</t>
  </si>
  <si>
    <t>Sugar: Brown Sugar, Dark</t>
  </si>
  <si>
    <t>Sugar: Corn Sugar (Dextrose)</t>
  </si>
  <si>
    <t>http://www.brewingwithbriess.com/Products/Adjuncts.htm#TorrifiedWheat</t>
  </si>
  <si>
    <t>http://www.brewingwithbriess.com/Products/Dark_Roasted.htm</t>
  </si>
  <si>
    <t>http://www.bestmalz.de/en/malts/best-chocolate</t>
  </si>
  <si>
    <t>Caramel Malt: BEST Caramel Pils (BestMalz)</t>
  </si>
  <si>
    <t>Caramel Malt: BEST Caramel Munich III (BestMalz)</t>
  </si>
  <si>
    <t>Caramel Malt: BEST Caramel Munich II (BestMalz)</t>
  </si>
  <si>
    <t>Caramel Malt: BEST Caramel Munich I (BestMalz)</t>
  </si>
  <si>
    <t>Caramel Malt: BEST Caramel Hell (BestMalz)</t>
  </si>
  <si>
    <t>Caramel Malt: BEST Caramel Aromatic (BestMalz)</t>
  </si>
  <si>
    <t>Caramel Malt: BEST Caramel Amber (BestMalz)</t>
  </si>
  <si>
    <t>Aromatic Malt: Aroma 150 (Dingemans)</t>
  </si>
  <si>
    <t>Aromatic Malt: Diastatic Barley Malt (Weyermann)</t>
  </si>
  <si>
    <t>Pale Ale Malt: Abby Malt®  (Weyermann)</t>
  </si>
  <si>
    <t>Keg Carbonation</t>
  </si>
  <si>
    <t>Desired CO2 Volume Level =</t>
  </si>
  <si>
    <t>Serving Temperature (°F) =</t>
  </si>
  <si>
    <t>Keg Pressure (psi) =</t>
  </si>
  <si>
    <t>http://brainlubeonline.com/GasLawsBeer.html</t>
  </si>
  <si>
    <t>Forced Carbonation</t>
  </si>
  <si>
    <t>Pressure</t>
  </si>
  <si>
    <t xml:space="preserve">For Video Tutorials, see: </t>
  </si>
  <si>
    <t>http://www.brewingwithbriess.com/Products/Base.htm</t>
  </si>
  <si>
    <t>MC</t>
  </si>
  <si>
    <t>Max PPG</t>
  </si>
  <si>
    <t>Max Potential Extract Points Per Gallon</t>
  </si>
  <si>
    <t>Variable</t>
  </si>
  <si>
    <t>DBF(C)G</t>
  </si>
  <si>
    <t>Dry Basis Fine (or Coarse) Grind</t>
  </si>
  <si>
    <t>Moisture Content %</t>
  </si>
  <si>
    <t>Biscuit Malt: Special Roast Malt (Briess)</t>
  </si>
  <si>
    <t>Biscuit Malt: Victory® Malt (Briess)</t>
  </si>
  <si>
    <t>Floor-Malted Bohemian Dark Malt (Weyermann)</t>
  </si>
  <si>
    <t>Pilsner Malt: Floor-Malted Bohemian Pilsner Malt (Weyermann)</t>
  </si>
  <si>
    <t>Extract %</t>
  </si>
  <si>
    <t>Amber MD (Dingemans)</t>
  </si>
  <si>
    <t>Biscuit Malt: Biscuit 50 MD (Dingemans)</t>
  </si>
  <si>
    <t>Chocolate Malt: Mroost 900 (Dingemans)</t>
  </si>
  <si>
    <t>Black Malt: Mroost 1400 (Dingemans)</t>
  </si>
  <si>
    <t>DME: Briess CBW® Pale Ale DME</t>
  </si>
  <si>
    <t>DME: Briess CBW® Pilsen DME</t>
  </si>
  <si>
    <t>LME: Briess CBW® Pilsen LME</t>
  </si>
  <si>
    <t>LME: Briess CBW® Pale Ale LME</t>
  </si>
  <si>
    <t>Determine PPG from Malt Analysis Sheets (Method 2)</t>
  </si>
  <si>
    <t>Determine PPG from Malt Analysis Sheets (Method 1)</t>
  </si>
  <si>
    <t>Sources</t>
  </si>
  <si>
    <t>http://immaculatebrewery.com/how-to-read-a-malt-analysis-report/</t>
  </si>
  <si>
    <t>http://beertech.blogspot.com/2010/05/malt-analysis-and-potential-calculation.html?_sm_au_=iVVDVjrFV0WfSVHj</t>
  </si>
  <si>
    <t>http://www.morebeer.com/brewingtechniques/bmg/noonan.html</t>
  </si>
  <si>
    <t>John Palmer and BYO Magazine</t>
  </si>
  <si>
    <r>
      <t xml:space="preserve">2.2 - Added SRM calculation to estimate color.
- Updated Grain List and recalculated PPGs with corrected values from malt analysis sheets. (Apparently the grain list that I copied from somewhere online had incorrect or very generic PPG values for many grains.  Using the formula at the previous link and using real malt analysis sheets from the malter's websites, I have updated the PPG values for the grains.  They should now be more accurate.)
</t>
    </r>
    <r>
      <rPr>
        <b/>
        <sz val="10"/>
        <rFont val="Arial"/>
        <family val="2"/>
      </rPr>
      <t xml:space="preserve">NOTE: This may change your calculated extract efficiency from previous batches, so beware and be careful. Mine changed from 72% to 80% which makes me feel a whole lot better about my process.
</t>
    </r>
    <r>
      <rPr>
        <sz val="10"/>
        <rFont val="Arial"/>
        <family val="2"/>
      </rPr>
      <t>-</t>
    </r>
    <r>
      <rPr>
        <b/>
        <sz val="10"/>
        <rFont val="Arial"/>
        <family val="2"/>
      </rPr>
      <t xml:space="preserve"> </t>
    </r>
    <r>
      <rPr>
        <sz val="10"/>
        <rFont val="Arial"/>
        <family val="2"/>
      </rPr>
      <t>Added keg carbonation section to Recipe Sheet.Renamed 'Priming' tab to 'Carbonation' tab to account for forced carbonation.
- Added new grains/malts.
- Added new Malt Sheet PPG Calcs Tab to help determine PG from malt analysis sheets.</t>
    </r>
  </si>
  <si>
    <t>http://brewingwithbriess.com/Products/Roasted_Barley.htm &amp; http://www.beersmith.com/Grains/Grains/GrainList.htm</t>
  </si>
  <si>
    <t>Pale Malt: Brewers Malt, 2-row (Rahr)</t>
  </si>
  <si>
    <t>Rahr</t>
  </si>
  <si>
    <t>https://bsgcraftbrewing.com/rahr-standard-2row</t>
  </si>
  <si>
    <t>water</t>
  </si>
  <si>
    <t>sucrose</t>
  </si>
  <si>
    <r>
      <t>H</t>
    </r>
    <r>
      <rPr>
        <vertAlign val="subscript"/>
        <sz val="12"/>
        <rFont val="Arial"/>
        <family val="2"/>
      </rPr>
      <t>2</t>
    </r>
    <r>
      <rPr>
        <sz val="12"/>
        <rFont val="Arial"/>
        <family val="2"/>
      </rPr>
      <t>O</t>
    </r>
  </si>
  <si>
    <r>
      <t>C</t>
    </r>
    <r>
      <rPr>
        <vertAlign val="subscript"/>
        <sz val="12"/>
        <rFont val="Arial"/>
        <family val="2"/>
      </rPr>
      <t>12</t>
    </r>
    <r>
      <rPr>
        <sz val="12"/>
        <rFont val="Arial"/>
        <family val="2"/>
      </rPr>
      <t>H</t>
    </r>
    <r>
      <rPr>
        <vertAlign val="subscript"/>
        <sz val="12"/>
        <rFont val="Arial"/>
        <family val="2"/>
      </rPr>
      <t>22</t>
    </r>
    <r>
      <rPr>
        <sz val="12"/>
        <rFont val="Arial"/>
        <family val="2"/>
      </rPr>
      <t>O</t>
    </r>
    <r>
      <rPr>
        <vertAlign val="subscript"/>
        <sz val="12"/>
        <rFont val="Arial"/>
        <family val="2"/>
      </rPr>
      <t>11</t>
    </r>
  </si>
  <si>
    <r>
      <t>4(C</t>
    </r>
    <r>
      <rPr>
        <vertAlign val="subscript"/>
        <sz val="12"/>
        <rFont val="Arial"/>
        <family val="2"/>
      </rPr>
      <t>2</t>
    </r>
    <r>
      <rPr>
        <sz val="12"/>
        <rFont val="Arial"/>
        <family val="2"/>
      </rPr>
      <t>H</t>
    </r>
    <r>
      <rPr>
        <vertAlign val="subscript"/>
        <sz val="12"/>
        <rFont val="Arial"/>
        <family val="2"/>
      </rPr>
      <t>5</t>
    </r>
    <r>
      <rPr>
        <sz val="12"/>
        <rFont val="Arial"/>
        <family val="2"/>
      </rPr>
      <t>OH)</t>
    </r>
  </si>
  <si>
    <r>
      <t>4(CO</t>
    </r>
    <r>
      <rPr>
        <vertAlign val="subscript"/>
        <sz val="12"/>
        <rFont val="Arial"/>
        <family val="2"/>
      </rPr>
      <t>2</t>
    </r>
    <r>
      <rPr>
        <sz val="12"/>
        <rFont val="Arial"/>
        <family val="2"/>
      </rPr>
      <t>)</t>
    </r>
  </si>
  <si>
    <r>
      <t>Alcohol &amp; CO</t>
    </r>
    <r>
      <rPr>
        <b/>
        <vertAlign val="subscript"/>
        <sz val="10"/>
        <rFont val="Arial"/>
        <family val="2"/>
      </rPr>
      <t>2</t>
    </r>
    <r>
      <rPr>
        <b/>
        <sz val="10"/>
        <rFont val="Arial"/>
        <family val="2"/>
      </rPr>
      <t xml:space="preserve"> production</t>
    </r>
  </si>
  <si>
    <t>Mashing</t>
  </si>
  <si>
    <t>Sparging</t>
  </si>
  <si>
    <t>Lautering</t>
  </si>
  <si>
    <t>A01 House</t>
  </si>
  <si>
    <t>Imperial</t>
  </si>
  <si>
    <t>73-75</t>
  </si>
  <si>
    <t>House is clean and allows malt and hops to shine. This strain is extremely versatile and flocculent enough to drop out of the beer quickly. Best used in American IPAs but works well in English style ales. House is clean at cold temperatures with increased esters as fermentation temperatures increase.</t>
  </si>
  <si>
    <t>A04 Barbarian</t>
  </si>
  <si>
    <t>73-74</t>
  </si>
  <si>
    <t>Ready to attack your IPA, Barbarian produces stone fruit esters that work great when paired with citrus hops. Barbarian will give you what you need for an exceptionally balanced IPA.</t>
  </si>
  <si>
    <t>A07 Flagship</t>
  </si>
  <si>
    <t>Flagship is a versatile strain loved for its extremely clean character. This strain performs well at standard ale temperatures, but can be used in the low 60s to produce exceptionally crisp ales. Flocculation is in the middle of the road and will typically require filtration or fining to achieve crystal clear beers.</t>
  </si>
  <si>
    <t>A09 Pub</t>
  </si>
  <si>
    <t>69-74</t>
  </si>
  <si>
    <t>Brewers swear by this strain to achieve super bright ales in a short amount of time. One of the most flocculent brewer’s strains around, Pub will rip through fermentation and then drop out of the beer quickly. Pub produces higher levels of esters than most domestic ale strains. Be sure to give beers made with Pub a sufficient diacetyl rest.</t>
  </si>
  <si>
    <t>A10 Darkness</t>
  </si>
  <si>
    <t>A beautiful strain for stout, porter, brown, and amber ales. Darkness produces a unique character that matches up perfectly with roasted and caramel malts. This strain is alcohol tolerant, so don’t hesitate to throw high gravity worts its way.</t>
  </si>
  <si>
    <t>A15 Independence</t>
  </si>
  <si>
    <t>Independence is the strain for bringing some new character into your hop-driven beers. Higher in esters than Flagship, this yeast will give some fruit character that will take your hoppy beers to a new level. While it shines in pale ales and IPAs, Independence is a great all-around strain and will also work well in stouts and English ales.</t>
  </si>
  <si>
    <t>A18 Joystick</t>
  </si>
  <si>
    <t>This strain is a fast mover and can be used at the low end of the ale fermentation spectrum to keep it clean. Joystick is a good choice for big, high alcohol, malty beers but has no issues chomping on a hoppy double IPA.</t>
  </si>
  <si>
    <t>A20 Citrus</t>
  </si>
  <si>
    <t>Citrus cranks out orange and lemon aromas along with some tropical fruit. Use this strain at high temps for big ester production. A wild saccharomyces strain, it will get a bit funky without the worries of a brettanomyces strain.</t>
  </si>
  <si>
    <t>A24 Dry Hop</t>
  </si>
  <si>
    <t>Dry Hop is a blend of A20 Citrus and A04 Barbarian.  When this blend goes to work on your hoppy beer, the hop aroma blows up.  The combination of these strains produces amazing aromas of citrus, peach and apricot that will accentuate your IPA, pale ale, and any other hop driven beer.</t>
  </si>
  <si>
    <t>A31 Tartan</t>
  </si>
  <si>
    <t>Tartan is a traditional strain that accentuates the malt character of Scottish ales.  It can also be used for other styles and works well in IPAs due to its clean character.  For a higher ester profile, use this ale yeast at the top end of the temperature range.</t>
  </si>
  <si>
    <t>A38 Juice</t>
  </si>
  <si>
    <t>72-76</t>
  </si>
  <si>
    <t>Juicy. Fruity. Juice is an amazing strain for East Coast IPAs. The ester profile of Juice brings out the aromas and flavors of the new school hops and creates a beers  that is greater than the sum of its parts. Keep an eye on this strain, it likes to move to the top of fermentation and will climb out the the fermenter if too full.</t>
  </si>
  <si>
    <t>G01 Stefon</t>
  </si>
  <si>
    <t>This is the traditional German strain used to produce world class weizen beers where big banana aroma is required. Balanced with mild clove, depending on your wort profile, this strain will produce amazing beers. Stefon will create a slightly higher level of acidity to give your beer a very crisp finish. Slightly underpitching will help increase the banana character.</t>
  </si>
  <si>
    <t>G02 Kaiser</t>
  </si>
  <si>
    <t>A traditional alt strain, Kaiser is ready to produce an array of German style beers. It will keep the beer clean and allow the delicate malt flavors and aromas to shine through. Characteristics of this strain make it a good choice for traditional Berliner weisse fermentations. Kaiser is a low flocking strain, so expect long clarification times, but very low diacetyl levels.</t>
  </si>
  <si>
    <t>G03 Dieter</t>
  </si>
  <si>
    <t>Dieter is a clean, crisp, traditional German Kölsch strain. A very low ester profile makes this strain perfect for Kölsch, Alt and other light colored delicate beers. Dieter has better flocculation characteristics than most Kölsch strains which allows brewers to produce clean, bright beers in a shorter amount of time.</t>
  </si>
  <si>
    <t>B44 Whiteout</t>
  </si>
  <si>
    <t>This is the strain for Belgian Wit style beers. Whiteout produces an excellent balance of spicy phenolic character and esters. Along with the necessary aromatics, this strain produces a significant amount of acidity which is perfect for wits and other light colored Belgian ales. Whiteout can be flocculent during fermentation, then become non-flocculent at the end. This may lead to slower than normal fermentation.</t>
  </si>
  <si>
    <t>B45 Gnome</t>
  </si>
  <si>
    <t>Gnome is the yeast for brewing Belgian inspired beers in a hurry. This strain is extremely flocculent and drops out of the beer quickly after fermentation. Gnome produces a nice phenolic character that goes well with hops, as well as with caramel and toffee flavors. Great for Belgian ales that need to be crystal clear without filtration.</t>
  </si>
  <si>
    <t>B48 Triple Double</t>
  </si>
  <si>
    <t>The perfect strain for your classic abbey ales. Triple Double produces moderate esters with low to no phenolic characteristics. This strain is tried and true and works perfectly in a production environment. Keep an eye on Triple Double, it likes to sit on top of the wort throughout fermentation which may result in a slow  fermentation.</t>
  </si>
  <si>
    <t>B51 Workhorse</t>
  </si>
  <si>
    <t>72-77</t>
  </si>
  <si>
    <t>Saison…no problem. Belgian stout, double… yep. Workhorse is the strain to use for a wide variety of brews. Super clean, this fast-attenuating strain has good flocculation characteristics. High alcohol tolerance makes this a great option for big Belgian beers.</t>
  </si>
  <si>
    <t>B56 Rustic</t>
  </si>
  <si>
    <t>This unique yeast can be used in your saison, farmhouse ale, or other Belgian styles where high ester levels are important. Rustic typically produces a lot of bubblegum and juicy aromas that compliment complex maltiness.</t>
  </si>
  <si>
    <t>B63 Monastic</t>
  </si>
  <si>
    <t>This strain is a beautiful yeast for fermenting abbey ales, especially quads; high alcohol and dark Belgian beers. Monastic will produce beers with a high level of phenolic character and esters. It can be slow to begin fermentation but will easily dry out high gravity worts. This strain is a low flocking strain, so expect it to stay suspended for a long time.</t>
  </si>
  <si>
    <t>B64 Napoleon</t>
  </si>
  <si>
    <t>This yeast is an insane wort attenuator. Napoleon will destroy the sugars in your saison and farmhouse beers – even the ones in which most brewer’s strains have no interest. When all is said and done, Napoleon produces very dry, crisp beers with nice citrus aromas. Yeast settling times can be long, usually requiring filtration for bright beers.</t>
  </si>
  <si>
    <t>L05 Cablecar</t>
  </si>
  <si>
    <t>71-75</t>
  </si>
  <si>
    <t>This strain is for fermenting your “California Common” beer. Cablecar can produce clean pseudo lagers at ale temperatures but is also willing to work as a traditional lager strain down to the mid-50s.</t>
  </si>
  <si>
    <t>L13 Global</t>
  </si>
  <si>
    <t>The world’s most popular lager strain is ready for you. Global is an all-around solid lager strain that produces clean beers with a very low ester profile. This strain is very powdery, so long lagering times or filtration is required for bright beer.</t>
  </si>
  <si>
    <t>L17 Harvest</t>
  </si>
  <si>
    <t>This strain combines good flocculation characteristics with low sulfur and low diacetyl. Clean fermentations produce amazing bock, helles, pilsner, dunkles, and just about any other lager style you throw its way.</t>
  </si>
  <si>
    <t>L28 Urkel</t>
  </si>
  <si>
    <t>A traditional Czech lager strain, Urkel allows for a nice balance between hops and malt. This strain can be slightly sulphery during fermentation, but it cleans up during lagering. Fermentation at the higher end of the range will produce a beer with minimal sulfur and a light ester profile.</t>
  </si>
  <si>
    <t>F08 Sour Batch Kidz</t>
  </si>
  <si>
    <t>80+</t>
  </si>
  <si>
    <t>Sour Batch Kidz is a blend of low attenuating Belgian saison yeast, Lactobacillus, and two Brettanomyces yeast strains. This blend is great for emulating lambics, Flanders reds, sour farmhouse ales and any other brew you would like to funk up.</t>
  </si>
  <si>
    <t>W15 Suburban Brett</t>
  </si>
  <si>
    <t>Suburban Brett is Brettanomyces yeast that works great as a secondary aging strain. It really shines when used in wood barrels and will produce complex and balanced aromas of sour cherry and dried fruit.  It can also be used for as a primary strain for brett only beers</t>
  </si>
  <si>
    <t>Pale Malt: Standard 6-row (Rahr)</t>
  </si>
  <si>
    <t>http://bsgdistilling.com/rahr-standard-6-row</t>
  </si>
  <si>
    <t>Rice Hulls</t>
  </si>
  <si>
    <t>2.2.1 - Fixed value in Hops tab for U calc when determining U from a row tagged as 'FWH'.  No effect if on the first row where it is used.
- Added 2-row Brewer's malt (Rahr) on Grain &amp; Sugar List
- Added sucrose formula to Common Variables tab
- Added secondary US Gallon fields.
- Reformated Brewhouse Setup &amp; Calcs to be more in order of actual brew day steps.  Added Total Water Req'd calculation.
- Added Imperial yeast strains.
- Added Rahr 6-row malt.
- Added Hop Stand and 2 min as options on Hop Calcs tab. NOTE: No IBUs for Hop Stands are calculated; only the boil additions. Hope to add hop stand IBU calcs in a future update.
- Added rice hulls to grain list.</t>
  </si>
  <si>
    <t>2.2.2 - Fixed missing selection of first 5 rows in Grain List.
- Estimated Weyermann Acidulated Malt extract value from other acidulated malt value due to lack of information from Weyermann.</t>
  </si>
  <si>
    <t>https://www.avangard-malz.de/upload/iblock/1cb/1cbb170b18740b3d58e8786cf14b3e8c.pdf</t>
  </si>
  <si>
    <t>Avangard Malz</t>
  </si>
  <si>
    <t>Pilsner Malt: Premium Pilsen Malt (Avangard Malz)</t>
  </si>
  <si>
    <t>oz / batch</t>
  </si>
  <si>
    <t>2.2.3 - Added Avangard Malz Pilsner Malt
- Updated Carbonation tab.</t>
  </si>
  <si>
    <t>Actual Batch Volume</t>
  </si>
  <si>
    <t>oz / qt</t>
  </si>
  <si>
    <t>g / batch</t>
  </si>
  <si>
    <r>
      <t>Priming Sugar (Method #3)</t>
    </r>
    <r>
      <rPr>
        <vertAlign val="superscript"/>
        <sz val="10"/>
        <rFont val="Arial"/>
        <family val="2"/>
      </rPr>
      <t>4</t>
    </r>
  </si>
  <si>
    <r>
      <t>4</t>
    </r>
    <r>
      <rPr>
        <sz val="10"/>
        <rFont val="Arial"/>
        <family val="2"/>
      </rPr>
      <t xml:space="preserve"> Accurately Calculating Sugar Additions for Carbonation (http://braukaiser.com/wiki/index.php?title=Accurately_Calculating_Sugar_Additions_for_Carbonation)</t>
    </r>
  </si>
  <si>
    <t>Corn Sugar</t>
  </si>
  <si>
    <t>Dry Malt Extract</t>
  </si>
  <si>
    <t>Amount of beer left in fermenter when kegging or bottling. (2 qt per carboy fementer on my system.)</t>
  </si>
  <si>
    <t>2.2.4 - Defaults for my latest brewhouse setup with 70 quart mash tun</t>
  </si>
  <si>
    <t>2.2.5 - Added 'FALSE' option to VLOOKUP on 'Grain &amp; Sugar Calcs' tab for Max PPG column to ensure an exact value return. Credit for discovery and fix goes to Richard Fex.
- Added 'FALSE' option to VLOOKUP on 'Grain &amp; Sugar Calcs' tab for Color column to ensure an exact value return. Credit for discovery and fix goes to Richard Fex.</t>
  </si>
  <si>
    <t>Testing Solution for Hydrometer</t>
  </si>
  <si>
    <t>Fahrenheit</t>
  </si>
  <si>
    <t>Degrees Plato</t>
  </si>
  <si>
    <t>% (g/g)</t>
  </si>
  <si>
    <t>Hydrometer Temperature Correction</t>
  </si>
  <si>
    <t>Calibration Temperature</t>
  </si>
  <si>
    <t>Total Desired</t>
  </si>
  <si>
    <t>g</t>
  </si>
  <si>
    <t>Measured Gravity</t>
  </si>
  <si>
    <t>Sucrose</t>
  </si>
  <si>
    <t>Measured Temperature</t>
  </si>
  <si>
    <t>Distilled Water</t>
  </si>
  <si>
    <t>Corrected Gravity</t>
  </si>
  <si>
    <t>Degrees Brix</t>
  </si>
  <si>
    <t>Reference Only</t>
  </si>
  <si>
    <t>Hydrometer Correction</t>
  </si>
  <si>
    <t>Rate of evaporation during the boil.</t>
  </si>
  <si>
    <t>Notes</t>
  </si>
  <si>
    <t>2 per 6.5 gal carboy</t>
  </si>
  <si>
    <t>Hydrometer Calibration Temp</t>
  </si>
  <si>
    <t>Hydrometer calibration temperature as indicated by your hydrometer.</t>
  </si>
  <si>
    <t>Temperature of initial water addition for mashing. NOTE: Assumes a preh-heated mash tun.</t>
  </si>
  <si>
    <t>Mash pH</t>
  </si>
  <si>
    <t>Account for losses and wort cooling shrinkage</t>
  </si>
  <si>
    <t>Hop Absorption Rate</t>
  </si>
  <si>
    <t>Design</t>
  </si>
  <si>
    <t>Hydro.</t>
  </si>
  <si>
    <t>Corr SG</t>
  </si>
  <si>
    <t>Total Hops</t>
  </si>
  <si>
    <t>Pre-Boil S.G.</t>
  </si>
  <si>
    <t>Refracto.</t>
  </si>
  <si>
    <t>Ferm Temp:</t>
  </si>
  <si>
    <t>When</t>
  </si>
  <si>
    <t>Brewing Process Parameters</t>
  </si>
  <si>
    <t>Original Gravity</t>
  </si>
  <si>
    <t>Preferred SG Tool</t>
  </si>
  <si>
    <t>O.G.:</t>
  </si>
  <si>
    <t>F.G.:</t>
  </si>
  <si>
    <t>Batch Vol:</t>
  </si>
  <si>
    <t>Pre-Boil SG:</t>
  </si>
  <si>
    <t>Ferm Vol:</t>
  </si>
  <si>
    <t>Fermenter Volume</t>
  </si>
  <si>
    <t xml:space="preserve">Amount of wort left in kettle after racking to fermenter. </t>
  </si>
  <si>
    <t>Spike 20G kettle: 5 qt when pumped, 8 qt when gravity drained. Grainfather: 2.25</t>
  </si>
  <si>
    <t>Coleman 70qt: 1.5 when pumped, 3.5 when gravity drained. Grainfather: 0</t>
  </si>
  <si>
    <t>Refrac</t>
  </si>
  <si>
    <t>Extract Eff.:</t>
  </si>
  <si>
    <t>Strike Water Volume</t>
  </si>
  <si>
    <t>Sparge Water Req'd</t>
  </si>
  <si>
    <t>Total Water Req'd</t>
  </si>
  <si>
    <t>Amount of sparge water required to get pre boil volume</t>
  </si>
  <si>
    <t>Recipe Outputs</t>
  </si>
  <si>
    <t>Target Batch Size</t>
  </si>
  <si>
    <t>Grain Absorption Rate</t>
  </si>
  <si>
    <t>Temperature within milled grains just prior to mashing. (Used to calculate strike water temperature.)</t>
  </si>
  <si>
    <t xml:space="preserve">Typical range: 148-156°F (64-69°C). (Higher temp promotes a fuller bodied beer. Lower temp promotes a lighter bodied beer.) </t>
  </si>
  <si>
    <t>Default setting: .5 for US units, 1.043 for Metric units. (Good value to use when grain bill &gt;80% 2-row pale malt.)</t>
  </si>
  <si>
    <t>Large percentages of kilned/roasted malts (such as Vienna) require a larger value approaching .7</t>
  </si>
  <si>
    <t>Mash extract efficiency; typically 65-80% for batch sparging, 75-90% for fly sparging.</t>
  </si>
  <si>
    <t>Length of boil.</t>
  </si>
  <si>
    <t>Amount of water absorbed by hops per unit measure.</t>
  </si>
  <si>
    <t>Hop Loss</t>
  </si>
  <si>
    <t>Boil / Rack to Fermenter</t>
  </si>
  <si>
    <t>Amount remaining in the kettle after cooling and before racking to fermenter.</t>
  </si>
  <si>
    <t>Wort to be lost due to absorption by hops.</t>
  </si>
  <si>
    <t>Coleman 70 qt mashtun: 65 qt. Grainfather: 32 qt</t>
  </si>
  <si>
    <t>Spike 20G kettle: 80 qt. Grainfather: 32 qt.</t>
  </si>
  <si>
    <t>Pale Ale Malt: Pale Ale Malt (Rahr)</t>
  </si>
  <si>
    <t>https://www.mydigitalpublication.com/publication/?m=53118&amp;l=1&amp;p=&amp;pn=#{%22issue_id%22:453924,%22page%22:50}</t>
  </si>
  <si>
    <t>Amount of wort left in mash tun after draining. Used for calculating sparge water required.</t>
  </si>
  <si>
    <t>Hydrometer calibration offset value. (Be sure to test/calibrate your hydrometer in distilled water.)</t>
  </si>
  <si>
    <t>Step 1: Enter Starting Water Profile</t>
  </si>
  <si>
    <t>Calcium</t>
  </si>
  <si>
    <t>Magnesium</t>
  </si>
  <si>
    <t>Sodium</t>
  </si>
  <si>
    <t>Chloride</t>
  </si>
  <si>
    <t>Sulfate</t>
  </si>
  <si>
    <r>
      <t xml:space="preserve">     Bicarbonate (HCO</t>
    </r>
    <r>
      <rPr>
        <vertAlign val="subscript"/>
        <sz val="10"/>
        <rFont val="Arial"/>
        <family val="2"/>
      </rPr>
      <t>3</t>
    </r>
    <r>
      <rPr>
        <sz val="10"/>
        <rFont val="Arial"/>
        <family val="2"/>
      </rPr>
      <t xml:space="preserve"> ppm)</t>
    </r>
  </si>
  <si>
    <t>A. Profile</t>
  </si>
  <si>
    <t>(Ca ppm)</t>
  </si>
  <si>
    <t>(Mg ppm)</t>
  </si>
  <si>
    <t>(Na ppm)</t>
  </si>
  <si>
    <t>(Cl ppm)</t>
  </si>
  <si>
    <r>
      <t>(SO</t>
    </r>
    <r>
      <rPr>
        <vertAlign val="subscript"/>
        <sz val="10"/>
        <rFont val="Arial"/>
        <family val="2"/>
      </rPr>
      <t>4</t>
    </r>
    <r>
      <rPr>
        <sz val="10"/>
        <rFont val="Arial"/>
        <family val="2"/>
      </rPr>
      <t xml:space="preserve"> ppm)</t>
    </r>
  </si>
  <si>
    <r>
      <t xml:space="preserve">     Alkalinity (CaCO</t>
    </r>
    <r>
      <rPr>
        <vertAlign val="subscript"/>
        <sz val="10"/>
        <rFont val="Arial"/>
        <family val="2"/>
      </rPr>
      <t>3</t>
    </r>
    <r>
      <rPr>
        <sz val="10"/>
        <rFont val="Arial"/>
        <family val="2"/>
      </rPr>
      <t xml:space="preserve"> ppm)</t>
    </r>
  </si>
  <si>
    <t>Starting Water Profile:</t>
  </si>
  <si>
    <t>(ppm = mg/L)</t>
  </si>
  <si>
    <t>B. Volume</t>
  </si>
  <si>
    <t>Mash Water</t>
  </si>
  <si>
    <t>Sparge Water</t>
  </si>
  <si>
    <r>
      <t>If your water report gives Sulfate as Sulfur (SO</t>
    </r>
    <r>
      <rPr>
        <i/>
        <vertAlign val="subscript"/>
        <sz val="10"/>
        <color indexed="63"/>
        <rFont val="Arial"/>
        <family val="2"/>
      </rPr>
      <t>4</t>
    </r>
    <r>
      <rPr>
        <i/>
        <sz val="10"/>
        <color indexed="63"/>
        <rFont val="Arial"/>
        <family val="2"/>
      </rPr>
      <t>-S) such as a Ward Lab's report, multiply by that by 3 to get SO</t>
    </r>
    <r>
      <rPr>
        <i/>
        <vertAlign val="subscript"/>
        <sz val="10"/>
        <color indexed="63"/>
        <rFont val="Arial"/>
        <family val="2"/>
      </rPr>
      <t>4</t>
    </r>
  </si>
  <si>
    <t>Volume (gallons):</t>
  </si>
  <si>
    <t>% that is Distilled or RO:</t>
  </si>
  <si>
    <t>Step 2: Enter Grain Info</t>
  </si>
  <si>
    <t>Distilled water</t>
  </si>
  <si>
    <t>grain types</t>
  </si>
  <si>
    <t>dist water pH</t>
  </si>
  <si>
    <t>Select Grain</t>
  </si>
  <si>
    <t>Weight</t>
  </si>
  <si>
    <t>Color (°L)</t>
  </si>
  <si>
    <t xml:space="preserve">- Select Grain - </t>
  </si>
  <si>
    <t>(lb)</t>
  </si>
  <si>
    <t>(Crystal Malts Only)</t>
  </si>
  <si>
    <t>(from chart)</t>
  </si>
  <si>
    <t>Base - 2-Row</t>
  </si>
  <si>
    <r>
      <t>Crystal Malt:</t>
    </r>
    <r>
      <rPr>
        <i/>
        <sz val="10"/>
        <color indexed="63"/>
        <rFont val="Arial"/>
        <family val="2"/>
      </rPr>
      <t xml:space="preserve">
Caramel malts, Cara Munich,
Cara Aroma, etc. 
</t>
    </r>
    <r>
      <rPr>
        <b/>
        <i/>
        <sz val="10"/>
        <color indexed="63"/>
        <rFont val="Arial"/>
        <family val="2"/>
      </rPr>
      <t>Roasted/Toasted Malt:</t>
    </r>
    <r>
      <rPr>
        <i/>
        <sz val="10"/>
        <color indexed="63"/>
        <rFont val="Arial"/>
        <family val="2"/>
      </rPr>
      <t xml:space="preserve">
Roasted Barley, Black Patent,
Carafa, etc.
</t>
    </r>
    <r>
      <rPr>
        <b/>
        <i/>
        <sz val="10"/>
        <color indexed="63"/>
        <rFont val="Arial"/>
        <family val="2"/>
      </rPr>
      <t xml:space="preserve">Acidulated Malt:
</t>
    </r>
    <r>
      <rPr>
        <i/>
        <sz val="10"/>
        <color indexed="63"/>
        <rFont val="Arial"/>
        <family val="2"/>
      </rPr>
      <t>Enter in Step 4a.</t>
    </r>
  </si>
  <si>
    <t>Base - 6-Row</t>
  </si>
  <si>
    <t>Base - Maris Otter</t>
  </si>
  <si>
    <t>Base - Munich</t>
  </si>
  <si>
    <t>Base - Pilsner</t>
  </si>
  <si>
    <t>Base - Wheat</t>
  </si>
  <si>
    <t>Base - Vienna</t>
  </si>
  <si>
    <t>Base - Other</t>
  </si>
  <si>
    <t>Crystal Malt</t>
  </si>
  <si>
    <t>calculated</t>
  </si>
  <si>
    <t>Roasted/Toasted Malt</t>
  </si>
  <si>
    <t>Total Grain Weight (lb):</t>
  </si>
  <si>
    <t>The above values are used to calculate mash pH. They may vary depending on maltser or other factors - for example Rahr 2-Row has been found to be 5.56. Modify if necessary.</t>
  </si>
  <si>
    <t>Mash Thickness:</t>
  </si>
  <si>
    <t>Step 3: View Mash pH</t>
  </si>
  <si>
    <t>Note: When measuring actual mash pH with a meter, keep in mind that it can take up to 15 minutes for mash pH to stabilize.</t>
  </si>
  <si>
    <r>
      <t>Effective Alkalinity
(CaCO</t>
    </r>
    <r>
      <rPr>
        <vertAlign val="subscript"/>
        <sz val="10"/>
        <rFont val="Arial"/>
        <family val="2"/>
      </rPr>
      <t>3</t>
    </r>
    <r>
      <rPr>
        <sz val="10"/>
        <rFont val="Arial"/>
        <family val="2"/>
      </rPr>
      <t xml:space="preserve"> ppm)</t>
    </r>
  </si>
  <si>
    <t>Residual
Alkalinity</t>
  </si>
  <si>
    <t>ESTIMATED
Room-Temp
Mash pH</t>
  </si>
  <si>
    <t>Desired
Room-Temp Mash pH</t>
  </si>
  <si>
    <t>5.4 - 5.6</t>
  </si>
  <si>
    <t>There are varying opinions on the optimum range here. Consider doing your own research and/or experimentation to determine what's best for you.</t>
  </si>
  <si>
    <t>Step 4a: Adjust Mash pH DOWN (if needed)</t>
  </si>
  <si>
    <t>Gypsum</t>
  </si>
  <si>
    <t>Calc. Chloride</t>
  </si>
  <si>
    <t>Epsom Salt</t>
  </si>
  <si>
    <t>Acidulated Malt</t>
  </si>
  <si>
    <t>Lactic Acid</t>
  </si>
  <si>
    <t>add at dough-in or prior.</t>
  </si>
  <si>
    <r>
      <t>CaSO</t>
    </r>
    <r>
      <rPr>
        <vertAlign val="subscript"/>
        <sz val="10"/>
        <rFont val="Arial"/>
        <family val="2"/>
      </rPr>
      <t>4</t>
    </r>
  </si>
  <si>
    <r>
      <t>CaCl</t>
    </r>
    <r>
      <rPr>
        <vertAlign val="subscript"/>
        <sz val="10"/>
        <rFont val="Arial"/>
        <family val="2"/>
      </rPr>
      <t>2</t>
    </r>
  </si>
  <si>
    <r>
      <t>MgSO</t>
    </r>
    <r>
      <rPr>
        <vertAlign val="subscript"/>
        <sz val="10"/>
        <rFont val="Arial"/>
        <family val="2"/>
      </rPr>
      <t>4</t>
    </r>
  </si>
  <si>
    <t>acid content:</t>
  </si>
  <si>
    <t>Mash Water Additions (grams):</t>
  </si>
  <si>
    <t>oz:</t>
  </si>
  <si>
    <t>ml:</t>
  </si>
  <si>
    <t>Adjusting Sparge Water? (y/n):</t>
  </si>
  <si>
    <t>Typically 2.0%. Revise if necessary.</t>
  </si>
  <si>
    <t>Sparge Water Additions (grams):</t>
  </si>
  <si>
    <t>Some recommend keeping this under 3%.</t>
  </si>
  <si>
    <t>add to boil, or to sparge water prior to sparging, or combine with mash salts when treating all water combined prior to brewing.</t>
  </si>
  <si>
    <t>Step 4b: Adjust Mash pH UP (if needed)</t>
  </si>
  <si>
    <t>Calculations for chalk's true affect on pH are very complex and may require an acid to fully dissolve.  This spreadsheet uses half of chalk's full potential based on experimental data w/o acid addition.  Results may vary.</t>
  </si>
  <si>
    <t>Slaked Lime</t>
  </si>
  <si>
    <t>Baking Soda</t>
  </si>
  <si>
    <t>Chalk</t>
  </si>
  <si>
    <r>
      <t>Ca(OH)</t>
    </r>
    <r>
      <rPr>
        <vertAlign val="subscript"/>
        <sz val="10"/>
        <rFont val="Arial"/>
        <family val="2"/>
      </rPr>
      <t>2</t>
    </r>
  </si>
  <si>
    <r>
      <t>NaHCO</t>
    </r>
    <r>
      <rPr>
        <vertAlign val="subscript"/>
        <sz val="10"/>
        <rFont val="Arial"/>
        <family val="2"/>
      </rPr>
      <t>3</t>
    </r>
  </si>
  <si>
    <r>
      <t>CaCO</t>
    </r>
    <r>
      <rPr>
        <vertAlign val="subscript"/>
        <sz val="10"/>
        <color indexed="63"/>
        <rFont val="Arial"/>
        <family val="2"/>
      </rPr>
      <t>3</t>
    </r>
  </si>
  <si>
    <t>Step 5: View Resulting Water Profile</t>
  </si>
  <si>
    <t>Chloride / Sulfate</t>
  </si>
  <si>
    <t>Ratio</t>
  </si>
  <si>
    <t>Mash Water Profile:</t>
  </si>
  <si>
    <t>Mash + Sparge Water Profile:</t>
  </si>
  <si>
    <r>
      <t>Palmer's Recommended Ranges</t>
    </r>
    <r>
      <rPr>
        <i/>
        <sz val="10"/>
        <rFont val="Arial"/>
        <family val="2"/>
      </rPr>
      <t>:</t>
    </r>
  </si>
  <si>
    <t>50 - 150</t>
  </si>
  <si>
    <t>10 - 30</t>
  </si>
  <si>
    <t>0 - 150</t>
  </si>
  <si>
    <t>0 - 250</t>
  </si>
  <si>
    <t>50 - 350</t>
  </si>
  <si>
    <t>There are varying opinions on these ranges. Consider doing your own research and/or experimentation to determine what's best for you.</t>
  </si>
  <si>
    <t>This spreadsheet is totally free for you to use however you would like. However, should you desire to show your appreciation, please consider making a donation. Thanks for your consideration!</t>
  </si>
  <si>
    <t>Note: By donating $5 or more you will be notified of any spreadsheet updates by email (unless of course you indicate not to be).</t>
  </si>
  <si>
    <t>You can also help support EZwater by visiting the following advertiser's website:</t>
  </si>
  <si>
    <t>References:</t>
  </si>
  <si>
    <t>Portions of the Alkalinity, RA, and pH calculations are based on information and experiments from:</t>
  </si>
  <si>
    <t>Kai Troester, "The effect of brewing water and grist composition on the pH of the mash"  2009</t>
  </si>
  <si>
    <t>Recommended mineral ranges are from:</t>
  </si>
  <si>
    <t>John Palmer, "How to Brew"</t>
  </si>
  <si>
    <t>Recommended Cl to SO4 ratio ranges are from:</t>
  </si>
  <si>
    <t>John Palmer's RA spreadsheet</t>
  </si>
  <si>
    <t>Created by: TH</t>
  </si>
  <si>
    <t>Version 3.0.2</t>
  </si>
  <si>
    <t>Check for Updates</t>
  </si>
  <si>
    <t>Estimated Mash pH</t>
  </si>
  <si>
    <t>EZ Water Calculator Spreadsheet 3.0 - METRIC</t>
  </si>
  <si>
    <t>Volume (liters):</t>
  </si>
  <si>
    <t>(gallons):</t>
  </si>
  <si>
    <t>(kg)</t>
  </si>
  <si>
    <t>Total Grain Weight (kg):</t>
  </si>
  <si>
    <t>(lbs):</t>
  </si>
  <si>
    <t>grams:</t>
  </si>
  <si>
    <t>Some recommend keeping this under 3%</t>
  </si>
  <si>
    <t>Version 3.0.2 (02-22-12)</t>
  </si>
  <si>
    <t>EZ Water Calculator Spreadsheet 3.0 - US Customary Units</t>
  </si>
  <si>
    <t>Mash</t>
  </si>
  <si>
    <t>Sparge</t>
  </si>
  <si>
    <t>Cal Chloride</t>
  </si>
  <si>
    <t>Epson Salt</t>
  </si>
  <si>
    <t>INPUTS IN YELLOW</t>
  </si>
  <si>
    <t>Desired Pressure in Keg</t>
  </si>
  <si>
    <r>
      <rPr>
        <sz val="11"/>
        <color theme="1"/>
        <rFont val="Symbol"/>
        <family val="1"/>
        <charset val="2"/>
      </rPr>
      <t>D</t>
    </r>
    <r>
      <rPr>
        <sz val="10"/>
        <rFont val="Arial"/>
        <family val="2"/>
      </rPr>
      <t>P</t>
    </r>
  </si>
  <si>
    <r>
      <t>lb/in</t>
    </r>
    <r>
      <rPr>
        <vertAlign val="superscript"/>
        <sz val="11"/>
        <color theme="1"/>
        <rFont val="Calibri"/>
        <family val="2"/>
        <scheme val="minor"/>
      </rPr>
      <t>2</t>
    </r>
  </si>
  <si>
    <r>
      <t>lb/ft</t>
    </r>
    <r>
      <rPr>
        <vertAlign val="superscript"/>
        <sz val="11"/>
        <color theme="1"/>
        <rFont val="Calibri"/>
        <family val="2"/>
        <scheme val="minor"/>
      </rPr>
      <t>2</t>
    </r>
  </si>
  <si>
    <t>Specific Gravity of Beer (Final Gravity)</t>
  </si>
  <si>
    <t>SG</t>
  </si>
  <si>
    <t>Vertical Distance - Center of Keg to Tap</t>
  </si>
  <si>
    <r>
      <t>z</t>
    </r>
    <r>
      <rPr>
        <vertAlign val="subscript"/>
        <sz val="11"/>
        <color theme="1"/>
        <rFont val="Calibri"/>
        <family val="2"/>
        <scheme val="minor"/>
      </rPr>
      <t>2</t>
    </r>
  </si>
  <si>
    <t>Tubing Inner Diameter</t>
  </si>
  <si>
    <t>in</t>
  </si>
  <si>
    <t>ft</t>
  </si>
  <si>
    <t>Absolute Roughness of tubing</t>
  </si>
  <si>
    <t>e</t>
  </si>
  <si>
    <t>Desired Flow Rate</t>
  </si>
  <si>
    <t>sec/pint</t>
  </si>
  <si>
    <t>CALCS IN BLUE</t>
  </si>
  <si>
    <t>Density of Water (@40 deg F)</t>
  </si>
  <si>
    <t>r</t>
  </si>
  <si>
    <r>
      <t>slugs/ft</t>
    </r>
    <r>
      <rPr>
        <vertAlign val="superscript"/>
        <sz val="11"/>
        <color theme="1"/>
        <rFont val="Calibri"/>
        <family val="2"/>
        <scheme val="minor"/>
      </rPr>
      <t>3</t>
    </r>
  </si>
  <si>
    <r>
      <t>lb</t>
    </r>
    <r>
      <rPr>
        <vertAlign val="subscript"/>
        <sz val="11"/>
        <color theme="1"/>
        <rFont val="Calibri"/>
        <family val="2"/>
        <scheme val="minor"/>
      </rPr>
      <t>F</t>
    </r>
    <r>
      <rPr>
        <sz val="10"/>
        <rFont val="Arial"/>
        <family val="2"/>
      </rPr>
      <t>s</t>
    </r>
    <r>
      <rPr>
        <vertAlign val="superscript"/>
        <sz val="11"/>
        <color theme="1"/>
        <rFont val="Calibri"/>
        <family val="2"/>
        <scheme val="minor"/>
      </rPr>
      <t>2</t>
    </r>
    <r>
      <rPr>
        <sz val="10"/>
        <rFont val="Arial"/>
        <family val="2"/>
      </rPr>
      <t>/ft</t>
    </r>
    <r>
      <rPr>
        <vertAlign val="superscript"/>
        <sz val="11"/>
        <color theme="1"/>
        <rFont val="Calibri"/>
        <family val="2"/>
        <scheme val="minor"/>
      </rPr>
      <t>4</t>
    </r>
  </si>
  <si>
    <t>Specific Weight of Beer</t>
  </si>
  <si>
    <r>
      <t>lb/ft</t>
    </r>
    <r>
      <rPr>
        <vertAlign val="superscript"/>
        <sz val="11"/>
        <color theme="1"/>
        <rFont val="Calibri"/>
        <family val="2"/>
        <scheme val="minor"/>
      </rPr>
      <t>3</t>
    </r>
  </si>
  <si>
    <t>Cross Sect Area of tubing</t>
  </si>
  <si>
    <t>A</t>
  </si>
  <si>
    <r>
      <t>ft</t>
    </r>
    <r>
      <rPr>
        <vertAlign val="superscript"/>
        <sz val="11"/>
        <color theme="1"/>
        <rFont val="Calibri"/>
        <family val="2"/>
        <scheme val="minor"/>
      </rPr>
      <t>2</t>
    </r>
  </si>
  <si>
    <t>Volumetric Flow Rate</t>
  </si>
  <si>
    <t>Q</t>
  </si>
  <si>
    <r>
      <t>ft</t>
    </r>
    <r>
      <rPr>
        <vertAlign val="superscript"/>
        <sz val="11"/>
        <color theme="1"/>
        <rFont val="Calibri"/>
        <family val="2"/>
        <scheme val="minor"/>
      </rPr>
      <t>3</t>
    </r>
    <r>
      <rPr>
        <sz val="10"/>
        <rFont val="Arial"/>
        <family val="2"/>
      </rPr>
      <t>/sec</t>
    </r>
  </si>
  <si>
    <t>Fluid Velocity</t>
  </si>
  <si>
    <t>v</t>
  </si>
  <si>
    <t>ft/sec</t>
  </si>
  <si>
    <t>Dynamic Viscosity (@40 deg F)</t>
  </si>
  <si>
    <t>u</t>
  </si>
  <si>
    <r>
      <t>lb</t>
    </r>
    <r>
      <rPr>
        <vertAlign val="subscript"/>
        <sz val="11"/>
        <color theme="1"/>
        <rFont val="Calibri"/>
        <family val="2"/>
        <scheme val="minor"/>
      </rPr>
      <t>f</t>
    </r>
    <r>
      <rPr>
        <sz val="10"/>
        <rFont val="Arial"/>
        <family val="2"/>
      </rPr>
      <t xml:space="preserve"> s/ft</t>
    </r>
    <r>
      <rPr>
        <vertAlign val="superscript"/>
        <sz val="11"/>
        <color theme="1"/>
        <rFont val="Calibri"/>
        <family val="2"/>
        <scheme val="minor"/>
      </rPr>
      <t>2</t>
    </r>
  </si>
  <si>
    <t>Kinematic Viscosity (@40 deg F)</t>
  </si>
  <si>
    <t>n</t>
  </si>
  <si>
    <r>
      <t>ft</t>
    </r>
    <r>
      <rPr>
        <vertAlign val="superscript"/>
        <sz val="11"/>
        <color theme="1"/>
        <rFont val="Calibri"/>
        <family val="2"/>
        <scheme val="minor"/>
      </rPr>
      <t>2</t>
    </r>
    <r>
      <rPr>
        <sz val="10"/>
        <rFont val="Arial"/>
        <family val="2"/>
      </rPr>
      <t>/s</t>
    </r>
  </si>
  <si>
    <t>Reynolds Number</t>
  </si>
  <si>
    <t>Re</t>
  </si>
  <si>
    <t>Friction factor</t>
  </si>
  <si>
    <t>f</t>
  </si>
  <si>
    <t>Length of tubing to use</t>
  </si>
  <si>
    <t>L=</t>
  </si>
  <si>
    <t>Assumptions:</t>
  </si>
  <si>
    <t>1) Serving Temperature is 40 degrees.</t>
  </si>
  <si>
    <t>2) Beer viscosity is similar to water * S.G.</t>
  </si>
  <si>
    <t>3) Clear PVC tubing uses an assumed absolute surface roughness of 4.92E-06 ft.</t>
  </si>
  <si>
    <t>4) Vertical distance value is the average height of the beer surface in the keg during the life of the keg contents (full to empty) and doesn't change.</t>
  </si>
  <si>
    <t>5) There may be errors in these calculations.  Use at your own risk.</t>
  </si>
  <si>
    <r>
      <t xml:space="preserve">Compiled using Mike Soltys' online article, </t>
    </r>
    <r>
      <rPr>
        <i/>
        <sz val="11"/>
        <color theme="1"/>
        <rFont val="Calibri"/>
        <family val="2"/>
        <scheme val="minor"/>
      </rPr>
      <t>Determining Proper hose length for your Kegerator</t>
    </r>
    <r>
      <rPr>
        <sz val="10"/>
        <rFont val="Arial"/>
        <family val="2"/>
      </rPr>
      <t>, as a guide. Thank you, Mike! Great article!</t>
    </r>
  </si>
  <si>
    <t>http://www.mikesoltys.com/2012/09/17/determining-proper-hose-length-for-your-kegerator/</t>
  </si>
  <si>
    <t>Water Additions (grams)</t>
  </si>
  <si>
    <t>Choride</t>
  </si>
  <si>
    <t>Orig.</t>
  </si>
  <si>
    <t>Adj.</t>
  </si>
  <si>
    <t>Water Information</t>
  </si>
  <si>
    <t>ppm
(mg/L)</t>
  </si>
  <si>
    <t>Alkalinity</t>
  </si>
  <si>
    <t>CO2 Volume</t>
  </si>
  <si>
    <t xml:space="preserve">Pressure </t>
  </si>
  <si>
    <t>Amount</t>
  </si>
  <si>
    <r>
      <t>Cl/SO</t>
    </r>
    <r>
      <rPr>
        <vertAlign val="subscript"/>
        <sz val="8"/>
        <rFont val="Arial"/>
        <family val="2"/>
      </rPr>
      <t>4</t>
    </r>
    <r>
      <rPr>
        <sz val="8"/>
        <rFont val="Arial"/>
        <family val="2"/>
      </rPr>
      <t xml:space="preserve"> Ratio</t>
    </r>
  </si>
  <si>
    <t>US Customary</t>
  </si>
  <si>
    <t>Final 
Gravity</t>
  </si>
  <si>
    <t>Sparge Method</t>
  </si>
  <si>
    <t>Desired flow rate if fly sparging. Leave blank if using other method.</t>
  </si>
  <si>
    <t>Sparge method to use. Choose from 'Batch', 'Fly', or 'BIAB'.</t>
  </si>
  <si>
    <t>Hop Stand:</t>
  </si>
  <si>
    <t>CTZ</t>
  </si>
  <si>
    <t>14.5-16.5%</t>
  </si>
  <si>
    <t>Columbus, Tomahawk, and Zeus. High on the bittering scale yet also valued for its oil content.</t>
  </si>
  <si>
    <t>Hydrometer</t>
  </si>
  <si>
    <t>Grainfather: 2 qt/hr. Spike 20 gal kettle: TBD</t>
  </si>
  <si>
    <t>Final amount of finished beer going into keg or bottles after fermentation is complete.</t>
  </si>
  <si>
    <t>0.1 is a generic value</t>
  </si>
  <si>
    <t>Extract Efficiency
(Grains Only)</t>
  </si>
  <si>
    <t>Brewhouse Eff:</t>
  </si>
  <si>
    <t>MCU</t>
  </si>
  <si>
    <t>MCU Total</t>
  </si>
  <si>
    <t>Gladfield</t>
  </si>
  <si>
    <t>https://www.gladfieldmalt.co.nz/our-malts/</t>
  </si>
  <si>
    <t>Pale Malt: Ale Malt (Gladfield)</t>
  </si>
  <si>
    <t>Pale Malt: American Ale Malt (Gladfield)</t>
  </si>
  <si>
    <t>Aromatic Malt: Aurora (Gladfield)</t>
  </si>
  <si>
    <t>Biscuit Malt: Biscuit Malt (Gladfield)</t>
  </si>
  <si>
    <t>Biscuit Malt: Brown Malt (Gladfield)</t>
  </si>
  <si>
    <t>Chocolate Malt: Light Chocolate Malt (Gladfield)</t>
  </si>
  <si>
    <t>Chocolate Malt: Dark Chocolate Malt (Gladfield)</t>
  </si>
  <si>
    <t>Caramel Malt: Light Crystal Malt (Gladfield)</t>
  </si>
  <si>
    <t>Caramel Malt: Medium Crystal Malt (Gladfield)</t>
  </si>
  <si>
    <t>Caramel Malt: Dark Crystal Malt (Gladfield)</t>
  </si>
  <si>
    <t>Pilsner Malt: German Pilsner Malt (Gladfield)</t>
  </si>
  <si>
    <t>Flaked Barley (Gladfield)</t>
  </si>
  <si>
    <t>Dextrin Malt: Gladiator Malt (Gladfield)</t>
  </si>
  <si>
    <t>Pilsner Malt: Lager Light Malt (Gladfield)</t>
  </si>
  <si>
    <t>Corn Malt: Maize Malt (Gladfield)</t>
  </si>
  <si>
    <t>Smoked Malt: Manuka Smoked Malt (Gladfield)</t>
  </si>
  <si>
    <t>Smoked Malt: Mild Peat Smoked Malt (Gladfield)</t>
  </si>
  <si>
    <t>Munich Malt: Munich Malt (Gladfield)</t>
  </si>
  <si>
    <t>Oat Hulls</t>
  </si>
  <si>
    <t>Pilsner Malt: Pilsner Malt (Gladfield)</t>
  </si>
  <si>
    <t>Caramel Malt: RedBack Malt (Gladfield)</t>
  </si>
  <si>
    <t>Roasted Barley (Gladfield)</t>
  </si>
  <si>
    <t>Roasted Wheat (Gladfield)</t>
  </si>
  <si>
    <t>Rolled Oats</t>
  </si>
  <si>
    <t>Rye Malt: Rye Malt (Gladfield)</t>
  </si>
  <si>
    <t>Rye Malt: Chocolate Rye (Gladfield)</t>
  </si>
  <si>
    <t>Caramel Malt: Crystal Rye (Gladfield)</t>
  </si>
  <si>
    <t>Roasted Malt: Shepherds Delight Malt (Gladfield)</t>
  </si>
  <si>
    <t>Acidulated Malt: Sour Grapes Malt (Gladfield)</t>
  </si>
  <si>
    <t>Caramel Malt: Supernova Malt (Gladfield)</t>
  </si>
  <si>
    <t>Caramel Malt: Toffee Malt (Gladfield)</t>
  </si>
  <si>
    <t>Vienna Malt: Vienna Malt (Gladfield)</t>
  </si>
  <si>
    <t>Wheat Malt: Wheat Malt (Gladfield)</t>
  </si>
  <si>
    <t>Black Malt: Eclipse Wheat Malt (Gladfield)</t>
  </si>
  <si>
    <t>3.0 - Rearranged Recipe Sheet tab.
- Added Hydrometer Testing &amp; Correction tab.
- Added Hydrometer Offset and Temperature correction to Brewhouse Setup and Recipe Sheet tabs.
- Added choice of SG tool to use (hydrometer or refractometer) to calculate outputs.
- Added wort loss due to hop absorption calculation.
- Added Water Source field to Recipe Sheet Tab.
- Added Estimated pH and Measured pH fields to Recipe Sheet tab.
- Added EZ Water Calculator tabs (one for English and one for Metric).
- Changed Boil-Off Rate from percentage of batch size to real number per hour.
- Added field for Fermenter Volume.
- Embedded my previously separate 'Draft Line System Balancing' spreadsheet as 'Beer Line Length' tab.
- Add automatic update of calculated strike water temperature on Recipe Sheet if measured ambient grain temperature is different than originally estimated. This avoids having to update the brewhouse setup tab to generate a new strike water temp value.
- Mash tun and Boil kettle size fields in brewhouse tab also turn red if capacity is exceeded.
- Now have a choice of Batch, Fly, BIAB, or Extract methods that also change the related sparging section on the Recipe Sheet.
- 1st attempt to account for IBUs from Hop Stands via a fudge factor related to time.
- Added more popup explanations for cells.
- Added CTZ hops
- Updated/Fixed actual Extract Efficiency to account for, and remove, any SG related sugar additions so that only the mashed grains are included.
- Added Brewhouse Efficiency calculation for both as-designed and as-measured scenarios. This value is for informational purposes only and not used elsewhere in the spreadsheet. (Use Extract Efficiency instead.)
- Corrected SRM color estimate. Thanks to Ryan Philpot for discovering and pointing out the math error.
- Added Gladfield grains to grains list.</t>
  </si>
  <si>
    <t>3.0.1 - Unlocked protected cells for Distilled/RO water on EZ water tabs.</t>
  </si>
  <si>
    <t>7. Go to Water Calcs tab to specific water chemistry additions if necessary/desired.</t>
  </si>
  <si>
    <t>8. Go to Recipe Sheet tab to select yeast strain, add other ingredients as necessary, and enter other miscellaneous information.</t>
  </si>
  <si>
    <t>9. Save, print (or use tablet, phone, or laptop to view), and use on brew day. Works best with Excel 2010 or higher</t>
  </si>
  <si>
    <t xml:space="preserve">2. Download this Excel file and save it to your computer. </t>
  </si>
  <si>
    <t xml:space="preserve">    Min Requirement for designing recipes: Excel 2010 (2016 preferred)</t>
  </si>
  <si>
    <t xml:space="preserve">    Min Requirement for viewing recipes: Excel 2010 (2016 preferred) but Google Sheets and iOS Numbers have worked well enough.</t>
  </si>
  <si>
    <t>3.0.2 - Unlocked more protected cells on EX Water Metric tab.</t>
  </si>
  <si>
    <t>3.0.3 - More locked cells requiring unlock.</t>
  </si>
  <si>
    <t>https://byo.com/article/sweetness-brewing-sugars-how-to-use-them/</t>
  </si>
  <si>
    <t>3.0.4 - Updated PPG values for some sugars</t>
  </si>
  <si>
    <t>Sugar: Candi Sugar, Rock, Amber</t>
  </si>
  <si>
    <t>Sugar: Candi Sugar, Rock, Clear</t>
  </si>
  <si>
    <t>Sugar: Candi Sugar, Rock, Dark</t>
  </si>
  <si>
    <t>Fly</t>
  </si>
  <si>
    <t>HotHead™ Ale OYL-057</t>
  </si>
  <si>
    <t>Omega Yeast</t>
  </si>
  <si>
    <t>75-85</t>
  </si>
  <si>
    <t>A highly flocculent Norwegian ale strain with an astoundingly wide temperature range and little change in flavor across the range, Hothead™ is clean enough for both American and English styles. It has a unique honey-like aroma with overripe mango which is complementary to modern, fruity hops. Temperature control is unnecessary with this strain. Non-phenolic and no fusels, even at higher temperatures.</t>
  </si>
  <si>
    <t xml:space="preserve">Voss Kveik OYL-061 </t>
  </si>
  <si>
    <t>75-82</t>
  </si>
  <si>
    <t>A traditional Norwegian kveik directly from the Gjernes farmstead, Voss Kveik’s orange-citrus notes present throughout its wide temperature range. So, like the mango-honey profile of HotHead™ Ale (OYL-057), Voss Kveik’s orange-citrus is relatively clean across its fermentation temperature range and pairs well with citrusy, fruity hops. Fermentation speed takes off at higher temperatures. Non-phenolic.</t>
  </si>
  <si>
    <t>Hornindal Kveik OYL-091</t>
  </si>
  <si>
    <t>A wonderfully unique Norwegian farmstead “kveik,” Hornindal produces a tropical flavor and complex aroma that can present itself as stonefruit, pineapple, and dried fruit leather, which complement fruit-forward hops. Add even more dimension to “C” hops and increase ester intensity with a high fermentation temperature. Ferments well at 90° F/32° C or higher. Non-phenolic and no fusels, even at higher temps.</t>
  </si>
  <si>
    <t>Jovaru™ Lithuanian Farmhouse OYL-033</t>
  </si>
  <si>
    <t>80-85</t>
  </si>
  <si>
    <t>Borne from an exclusive partnership with the famed Jovaru™ Brewery’s “queen of Lithuanian farmhouse beer,” this unique yeast complements farmhouse beers with citrusy esters and restrained phenols. The strain produces a character of lemon pith, black pepper, and a soft mouthfeel. I sveikata!
This strain tests positive for the STA1 gene, an indicator of Saccharomyces cerevisiae var. diastaticus. This strain may have the ability to metabolize dextrins over time, resulting in higher than expected attenuation.</t>
  </si>
  <si>
    <t>72-80</t>
  </si>
  <si>
    <t>A strong fermenter popularly referred to as “Conan.” Its peach, apricot and pineapple notes are steroids for hops, complementing modern fruity hop profiles in particular. A diacetyl rest is suggested if fermented in the lower temperature range.</t>
  </si>
  <si>
    <t>Hefeweizen Ale I OYL-021</t>
  </si>
  <si>
    <t>A classic German wheat strain, it’s a cloudy, big top cropper. Presenting banana and clove, the esters turn up with increased temps, wort density and decreased pitch rate, or stay muted at lower temps where clove stands out. Over-pitching can lessen the banana. Sulfur conditions out. See also Belgian Ale A (OYL-024)for an alternate complexity.</t>
  </si>
  <si>
    <t>DIPA Ale OYL-052</t>
  </si>
  <si>
    <t>Kolsch II OYL-044</t>
  </si>
  <si>
    <t>This Kolsch strain is warmer fermenting than Kolsch I (OYL-017), flocculates much better and clears more quickly, so it is a little easier to manage. It is a lager-like ale strain that’s lightly fruity, crisp and clean with a hint of sulfur that disappears with age to leave a clean ale. Accentuates hop flavors.</t>
  </si>
  <si>
    <t>Tropical IPA OYL-200</t>
  </si>
  <si>
    <t>85-100</t>
  </si>
  <si>
    <t>Tropical IPA is a unique Saccharomyces strain formerly classified as a Brettanomyces strain, that produces delicate, tart, tropical mango and pineapple fruit characteristics with a clean finish. Try it at its higher temperatures to bring out the tropical profile. It’s stubbornly non-flocculent, but worth it.
This strain tests positive for the STA1 gene, an indicator of Saccharomyces cerevisiae var. diastaticus, and is capable of fermenting dextrins, resulting in very high attenuation.</t>
  </si>
  <si>
    <t>West Coast Ale I OYL-004</t>
  </si>
  <si>
    <t>73-80</t>
  </si>
  <si>
    <t>Popularly called “Chico,” West Coast Ale I is a reliable, versatile and popular neutral foundation for displays of malts and hops. Often used as a house strain, it is highly attenuative and moderately flocculent. And it ferments crisp and clean with light citrus notes under 66° F (19° C). Also try DIPA (OYL-052) or British I (OYL-006) to highlight hops more, or West Coast II (OYL-009) and Scottish Ale (OYL-015) for malt displays.</t>
  </si>
  <si>
    <t>British Ale I OYL-006</t>
  </si>
  <si>
    <t>70-80</t>
  </si>
  <si>
    <t>A productive, brewer-friendly top cropper attributed to a historic London brewery whose lab once hosted Louis Pasteur, British Ale I drops fast and clear, and is clean and crisp at low temperatures with heightened esters and a lightly tart, dry finish at the upper range. Try also British Ale II (OYL-007) for less attenuation and enhanced malts or British VIII (OYL-016).</t>
  </si>
  <si>
    <t>British Ale V OYL-011</t>
  </si>
  <si>
    <t>A good top cropper thought to be from a famous Manchester bitter maker, British V’s lingering haze and residual sweetness pairs popularly with the signature look and huge, fruity hop profile of the New England IPAs (NEIPA). Alternately, try DIPA (OYL-052) for slightly less residual sweetness.</t>
  </si>
  <si>
    <t>British Ale VIII OYL-016</t>
  </si>
  <si>
    <t>A ridiculously thorough flocculator thought to be from a highly regarded English ESB, British Ale VIII has unique fruitiness and noticeable finishing sweetness. It drops out quickly and completely. It is easy to crop, but needs a diacetyl rest. To enhance the fruit, ferment at the recommended temperature ceiling.</t>
  </si>
  <si>
    <t>Irish Ale OYL-005</t>
  </si>
  <si>
    <t>69-75</t>
  </si>
  <si>
    <t>Ireland’s storied stout is thought to be balanced by this dry, crisp, lightly fruity, versatile and powerful strain. The Irish Ale strain is a good fermenter with reliable, average flocculation and a hint of fruit at the lowest recommended temperatures, which increases in complexity at higher temperatures (64° F/18° C and higher). Some diacetyl possible. Successful in dark and high gravity beers. Sláinte!</t>
  </si>
  <si>
    <t>Belgian Ale A OYL-024</t>
  </si>
  <si>
    <t>72-85</t>
  </si>
  <si>
    <t>As one of the few highly flocculent Belgian ale strains, Belgian Ale A is thought to originate from a Wallonian brewery whose reputation dwarfs the small village in which it is located. It makes a great Belgian house strain. It is brewery friendly, crops easily and has a well-rounded flavor profile with balanced fruitiness and phenolics. Esters increase with upward temperatures.</t>
  </si>
  <si>
    <t>Belgian Ale W OYL-028</t>
  </si>
  <si>
    <t>An eruptive top cropper displaying nice fruit and rustic phenolics, the reliable Belgian Ale W is thought to be from a famous tripel brewer. A good flocculator with a wide temperature range. Three famous brewers ferment this on vastly different schedules, showing the versatile outcomes available.</t>
  </si>
  <si>
    <t>3.0.5 - Added Omega Yeasts to Yeast List</t>
  </si>
  <si>
    <t>Thought to originate from a small, sophisticated, Belgian brewer’s spelt saison, Belgian Saison II is earthy, spicy, peppery, tart and dry, with tropical fruit and citrus at warm fermentation temperatures. It is a perfect strain for farmhouse ales and saisons. It favors pitching in the upper 60s or low 70s and being allowed free-rise from there.
This strain tests positive for the STA1 gene, an indicator of Saccharomyces cerevisiae var. diastaticus. This strain may have the ability to metabolize dextrins over time, resulting in higher than expected attenuation.</t>
  </si>
  <si>
    <t>Belgian Saison II OYL-042</t>
  </si>
  <si>
    <t>Saisonstein's Monster OYL-500</t>
  </si>
  <si>
    <t>80-90</t>
  </si>
  <si>
    <t>Saisonstein's Monster is an Omega-original, genetic hybrid of two Saison strains, the French (OYL-026) and Belgian (OYL-027). It is versatile, aromatic and attenuative with a silky mouthfeel. It excels in high gravity and it ferments more reliably and thoroughly than its parents. It is spicy, complex, tart, dry and crisp with some bubblegum character present from its Belgian parent, and more fruit and fewer phenolics than its French parent. Attenuation is 80-90% or more.
This strain tests positive for the STA1 gene, an indicator of Saccharomyces cerevisiae var. diastaticus, and is capable of fermenting dextrins, resulting in very high attenuation.</t>
  </si>
  <si>
    <t>Bayern Lager OYL-114</t>
  </si>
  <si>
    <t>Thought to come from Munich’s oldest, traditional and vintage-vibed brewery. The Bayern Lager strain is clean, crisp and ferments well at a wide range. It has good flocculation, and has both low sulfur and low diacetyl production.</t>
  </si>
  <si>
    <t>C2C American Farmhouse OYL-217</t>
  </si>
  <si>
    <t>C2C American Farmhouse is a coast to coast blend of one saison strain from a famous Northeast U.S. brewery and one Brettanomyces strain from a Northwest U.S. brewery. The blend results in a fast developing fruity and funky farmhouse ale.
This strain tests positive for the STA1 gene, an indicator that this strain may have the ability to metabolize dextrins over time, resulting in higher than expected attenuation.</t>
  </si>
  <si>
    <t>78-88</t>
  </si>
  <si>
    <t>One Brett-famous Colorado brewery strain, plus two strains that were formerly classified as Brett (but are now known to be Saccharomyces), result in huge tropical fruit aromas that mingle well with fruity aroma hops. Note that aroma intensity fades a bit during conditioning. Brett Blend #1: Where Da Funk? has a wide temperature range, finishes very dry, and leaves neither much funk nor much body (consider adding flaked oats for body). Mild funk level and low acidity is consistent even with extended aging
This strain tests positive for the STA1 gene, an indicator of Saccharomyces cerevisiae var. diastaticus, and is capable of fermenting dextrins, resulting in very high attenuation.</t>
  </si>
  <si>
    <t>Brett Blend #1 Where Da Funk? OYL-210</t>
  </si>
  <si>
    <t>Brett Blend #2 Bit O’ Funk OYL-211</t>
  </si>
  <si>
    <t>Brett Blend #2: Bit O’ Funk contains the two Saccharomyces strains from Brett Blend #1 (OYL-210) for primary fermentation and is spiked with Brettanomyces bruxellensis for development of classic, funkforward Brett character during secondary fermentation. The bit ‘o funkiness will take extended time to develop (3 months or more)
This strain tests positive for the STA1 gene, an indicator of Saccharomyces cerevisiae var. diastaticus, and is capable of fermenting dextrins, resulting in very high attenuation.</t>
  </si>
  <si>
    <t>Brett Blend #3 Bring On Da Funk OYL-212</t>
  </si>
  <si>
    <t>Brett Blend #3: Bring on Da Funk consists of two Saccharomyces strains from Brett Blend #1 (OYL-210) spiked with both Brettanomyces bruxellensis and Brettanomyces lambicus, plus two additional Brettanomyces isolates from a Brett-famous Colorado brewery, plus two Brett isolates from an “intense” Belgian source to equal a funky, fruity, complex 8-strain composition. The Brett character will develop over time, as will acid production if exposed to oxygen.
This strain tests positive for the STA1 gene, an indicator of Saccharomyces cerevisiae var. diastaticus, and is capable of fermenting dextrins, resulting in very high attenuation.</t>
  </si>
  <si>
    <t>All the Bretts</t>
  </si>
  <si>
    <t>A blend of nearly every Brett in our collection. Use All the Bretts in secondary and expect high attenuation and a fruity and funky complexity that continues to develop over time. This evolving blend always contains at least 10 Brett strains.</t>
  </si>
  <si>
    <t>3.0.6 - Fixed VLOOKUP error in Yeast field on Recipe tab.</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</si>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</sst>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00"/>
    <numFmt numFmtId="165" formatCode="0.000E+00"/>
    <numFmt numFmtId="166" formatCode="0.0"/>
    <numFmt numFmtId="167" formatCode="0.0%"/>
    <numFmt numFmtId="168" formatCode="[$-409]mmmm\ d\,\ yyyy;@"/>
    <numFmt numFmtId="169" formatCode="0.00000000000000"/>
    <numFmt numFmtId="170" formatCode="0.0000"/>
    <numFmt numFmtId="171" formatCode="0.000%"/>
  </numFmts>
  <fonts count="48" x14ac:knownFonts="1">
    <font>
      <sz val="10"/>
      <name val="Arial"/>
    </font>
    <font>
      <sz val="11"/>
      <color theme="1"/>
      <name val="Calibri"/>
      <family val="2"/>
      <scheme val="minor"/>
    </font>
    <font>
      <b/>
      <sz val="10"/>
      <name val="Arial"/>
      <family val="2"/>
    </font>
    <font>
      <sz val="10"/>
      <name val="Arial"/>
      <family val="2"/>
    </font>
    <font>
      <vertAlign val="subscript"/>
      <sz val="10"/>
      <name val="Arial"/>
      <family val="2"/>
    </font>
    <font>
      <vertAlign val="superscript"/>
      <sz val="10"/>
      <name val="Arial"/>
      <family val="2"/>
    </font>
    <font>
      <sz val="12"/>
      <name val="Arial"/>
      <family val="2"/>
    </font>
    <font>
      <vertAlign val="subscript"/>
      <sz val="12"/>
      <name val="Arial"/>
      <family val="2"/>
    </font>
    <font>
      <sz val="10"/>
      <name val="Arial"/>
      <family val="2"/>
    </font>
    <font>
      <u/>
      <sz val="10"/>
      <color theme="10"/>
      <name val="Arial"/>
      <family val="2"/>
    </font>
    <font>
      <sz val="8"/>
      <color rgb="FF3D3626"/>
      <name val="Arial"/>
      <family val="2"/>
    </font>
    <font>
      <b/>
      <vertAlign val="subscript"/>
      <sz val="10"/>
      <name val="Arial"/>
      <family val="2"/>
    </font>
    <font>
      <i/>
      <sz val="10"/>
      <name val="Arial"/>
      <family val="2"/>
    </font>
    <font>
      <b/>
      <sz val="11"/>
      <color theme="1"/>
      <name val="Calibri"/>
      <family val="2"/>
      <scheme val="minor"/>
    </font>
    <font>
      <sz val="9"/>
      <name val="Arial"/>
      <family val="2"/>
    </font>
    <font>
      <u/>
      <sz val="9"/>
      <color theme="10"/>
      <name val="Arial"/>
      <family val="2"/>
    </font>
    <font>
      <b/>
      <sz val="9"/>
      <name val="Arial"/>
      <family val="2"/>
    </font>
    <font>
      <b/>
      <sz val="16"/>
      <name val="Arial"/>
      <family val="2"/>
    </font>
    <font>
      <b/>
      <sz val="12"/>
      <name val="Arial"/>
      <family val="2"/>
    </font>
    <font>
      <sz val="10"/>
      <color indexed="40"/>
      <name val="Arial"/>
      <family val="2"/>
    </font>
    <font>
      <sz val="1"/>
      <color indexed="48"/>
      <name val="Arial"/>
      <family val="2"/>
    </font>
    <font>
      <b/>
      <i/>
      <sz val="10"/>
      <name val="Arial"/>
      <family val="2"/>
    </font>
    <font>
      <sz val="8"/>
      <name val="Arial"/>
      <family val="2"/>
    </font>
    <font>
      <i/>
      <sz val="10"/>
      <color indexed="63"/>
      <name val="Arial"/>
      <family val="2"/>
    </font>
    <font>
      <i/>
      <vertAlign val="subscript"/>
      <sz val="10"/>
      <color indexed="63"/>
      <name val="Arial"/>
      <family val="2"/>
    </font>
    <font>
      <i/>
      <sz val="10"/>
      <color indexed="62"/>
      <name val="Arial"/>
      <family val="2"/>
    </font>
    <font>
      <b/>
      <i/>
      <sz val="10"/>
      <color indexed="63"/>
      <name val="Arial"/>
      <family val="2"/>
    </font>
    <font>
      <sz val="10"/>
      <color indexed="47"/>
      <name val="Arial"/>
      <family val="2"/>
    </font>
    <font>
      <b/>
      <sz val="11"/>
      <name val="Arial"/>
      <family val="2"/>
    </font>
    <font>
      <b/>
      <sz val="20"/>
      <name val="Arial"/>
      <family val="2"/>
    </font>
    <font>
      <b/>
      <i/>
      <sz val="12"/>
      <color indexed="17"/>
      <name val="Arial"/>
      <family val="2"/>
    </font>
    <font>
      <u/>
      <sz val="10"/>
      <name val="Arial"/>
      <family val="2"/>
    </font>
    <font>
      <sz val="2"/>
      <name val="Arial"/>
      <family val="2"/>
    </font>
    <font>
      <sz val="10"/>
      <color indexed="63"/>
      <name val="Arial"/>
      <family val="2"/>
    </font>
    <font>
      <vertAlign val="subscript"/>
      <sz val="10"/>
      <color indexed="63"/>
      <name val="Arial"/>
      <family val="2"/>
    </font>
    <font>
      <i/>
      <sz val="10"/>
      <color indexed="23"/>
      <name val="Arial"/>
      <family val="2"/>
    </font>
    <font>
      <b/>
      <i/>
      <sz val="10"/>
      <color indexed="17"/>
      <name val="Arial"/>
      <family val="2"/>
    </font>
    <font>
      <u/>
      <sz val="10"/>
      <color indexed="12"/>
      <name val="Arial"/>
      <family val="2"/>
    </font>
    <font>
      <u/>
      <sz val="8"/>
      <color indexed="12"/>
      <name val="Arial"/>
      <family val="2"/>
    </font>
    <font>
      <b/>
      <i/>
      <sz val="10"/>
      <color indexed="62"/>
      <name val="Arial"/>
      <family val="2"/>
    </font>
    <font>
      <sz val="11"/>
      <color rgb="FFFF0000"/>
      <name val="Calibri"/>
      <family val="2"/>
      <scheme val="minor"/>
    </font>
    <font>
      <sz val="11"/>
      <color theme="1"/>
      <name val="Symbol"/>
      <family val="1"/>
      <charset val="2"/>
    </font>
    <font>
      <vertAlign val="superscript"/>
      <sz val="11"/>
      <color theme="1"/>
      <name val="Calibri"/>
      <family val="2"/>
      <scheme val="minor"/>
    </font>
    <font>
      <vertAlign val="subscript"/>
      <sz val="11"/>
      <color theme="1"/>
      <name val="Calibri"/>
      <family val="2"/>
      <scheme val="minor"/>
    </font>
    <font>
      <i/>
      <sz val="11"/>
      <color theme="1"/>
      <name val="Calibri"/>
      <family val="2"/>
      <scheme val="minor"/>
    </font>
    <font>
      <u/>
      <sz val="11"/>
      <color theme="10"/>
      <name val="Calibri"/>
      <family val="2"/>
      <scheme val="minor"/>
    </font>
    <font>
      <sz val="9"/>
      <color indexed="81"/>
      <name val="Tahoma"/>
      <family val="2"/>
    </font>
    <font>
      <vertAlign val="subscript"/>
      <sz val="8"/>
      <name val="Arial"/>
      <family val="2"/>
    </font>
  </fonts>
  <fills count="1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66FF66"/>
        <bgColor indexed="64"/>
      </patternFill>
    </fill>
    <fill>
      <patternFill patternType="solid">
        <fgColor rgb="FF66CCFF"/>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4"/>
        <bgColor indexed="64"/>
      </patternFill>
    </fill>
    <fill>
      <patternFill patternType="solid">
        <fgColor indexed="47"/>
        <bgColor indexed="64"/>
      </patternFill>
    </fill>
    <fill>
      <patternFill patternType="solid">
        <fgColor indexed="46"/>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14996795556505021"/>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ck">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bottom style="thick">
        <color indexed="64"/>
      </bottom>
      <diagonal/>
    </border>
    <border>
      <left/>
      <right style="thin">
        <color indexed="64"/>
      </right>
      <top/>
      <bottom style="thick">
        <color indexed="64"/>
      </bottom>
      <diagonal/>
    </border>
    <border>
      <left style="thin">
        <color indexed="64"/>
      </left>
      <right style="thick">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ck">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23"/>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style="thin">
        <color indexed="23"/>
      </right>
      <top style="thin">
        <color indexed="23"/>
      </top>
      <bottom style="thin">
        <color indexed="23"/>
      </bottom>
      <diagonal/>
    </border>
    <border>
      <left style="thin">
        <color indexed="23"/>
      </left>
      <right/>
      <top/>
      <bottom style="thin">
        <color indexed="23"/>
      </bottom>
      <diagonal/>
    </border>
    <border>
      <left/>
      <right style="thin">
        <color indexed="23"/>
      </right>
      <top/>
      <bottom style="thin">
        <color indexed="23"/>
      </bottom>
      <diagonal/>
    </border>
    <border>
      <left/>
      <right/>
      <top/>
      <bottom style="thin">
        <color indexed="23"/>
      </bottom>
      <diagonal/>
    </border>
    <border>
      <left/>
      <right/>
      <top/>
      <bottom style="thin">
        <color indexed="55"/>
      </bottom>
      <diagonal/>
    </border>
    <border>
      <left style="thin">
        <color indexed="55"/>
      </left>
      <right style="thin">
        <color indexed="55"/>
      </right>
      <top style="thin">
        <color indexed="23"/>
      </top>
      <bottom style="thin">
        <color indexed="23"/>
      </bottom>
      <diagonal/>
    </border>
    <border>
      <left style="thin">
        <color indexed="55"/>
      </left>
      <right/>
      <top style="thin">
        <color indexed="23"/>
      </top>
      <bottom style="thin">
        <color indexed="23"/>
      </bottom>
      <diagonal/>
    </border>
    <border>
      <left style="thick">
        <color indexed="64"/>
      </left>
      <right style="thick">
        <color indexed="64"/>
      </right>
      <top style="thick">
        <color indexed="64"/>
      </top>
      <bottom style="thick">
        <color indexed="64"/>
      </bottom>
      <diagonal/>
    </border>
    <border>
      <left style="thick">
        <color indexed="64"/>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top style="thin">
        <color indexed="55"/>
      </top>
      <bottom style="medium">
        <color indexed="64"/>
      </bottom>
      <diagonal/>
    </border>
    <border>
      <left/>
      <right style="thin">
        <color indexed="55"/>
      </right>
      <top style="thin">
        <color indexed="55"/>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55"/>
      </left>
      <right style="thin">
        <color indexed="55"/>
      </right>
      <top/>
      <bottom style="thin">
        <color indexed="55"/>
      </bottom>
      <diagonal/>
    </border>
    <border>
      <left style="thin">
        <color indexed="55"/>
      </left>
      <right/>
      <top style="medium">
        <color indexed="64"/>
      </top>
      <bottom style="thin">
        <color indexed="55"/>
      </bottom>
      <diagonal/>
    </border>
    <border>
      <left style="thin">
        <color indexed="23"/>
      </left>
      <right/>
      <top style="medium">
        <color indexed="64"/>
      </top>
      <bottom style="thin">
        <color indexed="23"/>
      </bottom>
      <diagonal/>
    </border>
    <border>
      <left/>
      <right style="thin">
        <color indexed="23"/>
      </right>
      <top style="medium">
        <color indexed="64"/>
      </top>
      <bottom style="thin">
        <color indexed="23"/>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s>
  <cellStyleXfs count="8">
    <xf numFmtId="0" fontId="0" fillId="0" borderId="0"/>
    <xf numFmtId="9" fontId="8" fillId="0" borderId="0" applyFont="0" applyFill="0" applyBorder="0" applyAlignment="0" applyProtection="0"/>
    <xf numFmtId="0" fontId="9"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37" fillId="0" borderId="0" applyNumberFormat="0" applyFill="0" applyBorder="0" applyAlignment="0" applyProtection="0">
      <alignment vertical="top"/>
      <protection locked="0"/>
    </xf>
    <xf numFmtId="0" fontId="1" fillId="0" borderId="0"/>
    <xf numFmtId="0" fontId="45" fillId="0" borderId="0" applyNumberFormat="0" applyFill="0" applyBorder="0" applyAlignment="0" applyProtection="0"/>
  </cellStyleXfs>
  <cellXfs count="810">
    <xf numFmtId="0" fontId="0" fillId="0" borderId="0" xfId="0"/>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0" xfId="0" applyAlignment="1">
      <alignment horizontal="center"/>
    </xf>
    <xf numFmtId="0" fontId="0" fillId="0" borderId="1" xfId="0" applyBorder="1" applyAlignment="1">
      <alignment horizontal="right"/>
    </xf>
    <xf numFmtId="2" fontId="0" fillId="0" borderId="1" xfId="0" applyNumberFormat="1" applyBorder="1" applyAlignment="1">
      <alignment horizontal="center"/>
    </xf>
    <xf numFmtId="166" fontId="0" fillId="0" borderId="1" xfId="0" applyNumberFormat="1" applyBorder="1" applyAlignment="1">
      <alignment horizontal="center"/>
    </xf>
    <xf numFmtId="0" fontId="6" fillId="0" borderId="0" xfId="0" applyFont="1" applyAlignment="1">
      <alignment horizontal="center" vertical="center" wrapText="1"/>
    </xf>
    <xf numFmtId="0" fontId="3" fillId="0" borderId="1" xfId="0" applyFont="1" applyBorder="1" applyAlignment="1">
      <alignment horizontal="center" vertical="top" wrapText="1"/>
    </xf>
    <xf numFmtId="165" fontId="0" fillId="0" borderId="1" xfId="0" applyNumberFormat="1" applyBorder="1" applyAlignment="1">
      <alignment horizontal="center"/>
    </xf>
    <xf numFmtId="0" fontId="0" fillId="0" borderId="1" xfId="0" applyBorder="1" applyAlignment="1">
      <alignment horizontal="left"/>
    </xf>
    <xf numFmtId="0" fontId="5" fillId="0" borderId="0" xfId="0" applyFont="1"/>
    <xf numFmtId="0" fontId="3" fillId="0" borderId="1" xfId="0" applyFont="1" applyBorder="1"/>
    <xf numFmtId="0" fontId="3" fillId="0" borderId="1" xfId="0" applyFont="1" applyBorder="1" applyAlignment="1">
      <alignment horizontal="center"/>
    </xf>
    <xf numFmtId="0" fontId="0" fillId="0" borderId="1" xfId="0" applyBorder="1" applyAlignment="1">
      <alignment horizontal="center" vertical="center"/>
    </xf>
    <xf numFmtId="0" fontId="0" fillId="0" borderId="6" xfId="0" applyBorder="1" applyAlignment="1">
      <alignment horizontal="center" vertical="center" wrapText="1"/>
    </xf>
    <xf numFmtId="0" fontId="3" fillId="0" borderId="6" xfId="0" applyFont="1" applyBorder="1" applyAlignment="1">
      <alignment horizontal="center" vertical="center" wrapText="1"/>
    </xf>
    <xf numFmtId="2" fontId="0" fillId="4" borderId="1" xfId="0" applyNumberFormat="1" applyFill="1" applyBorder="1" applyAlignment="1">
      <alignment horizontal="center" vertical="center"/>
    </xf>
    <xf numFmtId="0" fontId="3" fillId="0" borderId="1" xfId="0" applyFont="1" applyBorder="1" applyAlignment="1">
      <alignment horizontal="center" vertical="center" wrapText="1"/>
    </xf>
    <xf numFmtId="0" fontId="3" fillId="0" borderId="0" xfId="0" applyFont="1"/>
    <xf numFmtId="0" fontId="3" fillId="0" borderId="0" xfId="0" applyFont="1" applyAlignment="1">
      <alignment horizontal="right"/>
    </xf>
    <xf numFmtId="2" fontId="3" fillId="0" borderId="0" xfId="0" applyNumberFormat="1" applyFont="1" applyAlignment="1">
      <alignment horizontal="right"/>
    </xf>
    <xf numFmtId="0" fontId="0" fillId="5" borderId="1" xfId="0" applyFill="1" applyBorder="1" applyAlignment="1">
      <alignment horizontal="center"/>
    </xf>
    <xf numFmtId="0" fontId="0" fillId="0" borderId="0" xfId="0" applyAlignment="1">
      <alignment horizontal="center" vertical="center" wrapText="1"/>
    </xf>
    <xf numFmtId="2" fontId="0" fillId="5" borderId="1" xfId="0" applyNumberFormat="1" applyFill="1" applyBorder="1" applyAlignment="1">
      <alignment horizontal="center"/>
    </xf>
    <xf numFmtId="166" fontId="0" fillId="0" borderId="0" xfId="0" applyNumberFormat="1"/>
    <xf numFmtId="0" fontId="2"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right"/>
    </xf>
    <xf numFmtId="164" fontId="0" fillId="5" borderId="1" xfId="0" applyNumberFormat="1" applyFill="1" applyBorder="1" applyAlignment="1">
      <alignment horizontal="center"/>
    </xf>
    <xf numFmtId="2" fontId="0" fillId="6" borderId="6" xfId="0" applyNumberFormat="1" applyFill="1" applyBorder="1" applyAlignment="1" applyProtection="1">
      <alignment horizontal="center"/>
      <protection locked="0"/>
    </xf>
    <xf numFmtId="9" fontId="0" fillId="6" borderId="6" xfId="1" applyFont="1" applyFill="1" applyBorder="1" applyAlignment="1" applyProtection="1">
      <alignment horizontal="center"/>
      <protection locked="0"/>
    </xf>
    <xf numFmtId="167" fontId="0" fillId="6" borderId="6" xfId="0" applyNumberFormat="1" applyFill="1" applyBorder="1" applyAlignment="1" applyProtection="1">
      <alignment horizontal="center"/>
      <protection locked="0"/>
    </xf>
    <xf numFmtId="1" fontId="0" fillId="6" borderId="1" xfId="1" applyNumberFormat="1" applyFont="1" applyFill="1" applyBorder="1" applyAlignment="1" applyProtection="1">
      <alignment horizontal="center"/>
      <protection locked="0"/>
    </xf>
    <xf numFmtId="166" fontId="0" fillId="6" borderId="1" xfId="1" applyNumberFormat="1" applyFont="1" applyFill="1" applyBorder="1" applyAlignment="1" applyProtection="1">
      <alignment horizontal="center"/>
      <protection locked="0"/>
    </xf>
    <xf numFmtId="167" fontId="0" fillId="6" borderId="1" xfId="1" applyNumberFormat="1" applyFont="1" applyFill="1" applyBorder="1" applyAlignment="1" applyProtection="1">
      <alignment horizontal="center"/>
      <protection locked="0"/>
    </xf>
    <xf numFmtId="2" fontId="0" fillId="6" borderId="1" xfId="0" applyNumberFormat="1" applyFill="1" applyBorder="1" applyAlignment="1" applyProtection="1">
      <alignment horizontal="center"/>
      <protection locked="0"/>
    </xf>
    <xf numFmtId="9" fontId="0" fillId="6" borderId="1" xfId="0" applyNumberFormat="1" applyFill="1" applyBorder="1" applyAlignment="1" applyProtection="1">
      <alignment horizontal="center"/>
      <protection locked="0"/>
    </xf>
    <xf numFmtId="166" fontId="0" fillId="6" borderId="1" xfId="0" applyNumberFormat="1" applyFill="1" applyBorder="1" applyAlignment="1" applyProtection="1">
      <alignment horizontal="center"/>
      <protection locked="0"/>
    </xf>
    <xf numFmtId="0" fontId="3" fillId="0" borderId="0" xfId="0" applyFont="1" applyAlignment="1" applyProtection="1">
      <alignment vertical="top" wrapText="1"/>
      <protection locked="0"/>
    </xf>
    <xf numFmtId="0" fontId="3" fillId="0" borderId="0" xfId="0" applyFont="1" applyAlignment="1">
      <alignment horizontal="center"/>
    </xf>
    <xf numFmtId="0" fontId="10" fillId="0" borderId="0" xfId="0" applyFont="1"/>
    <xf numFmtId="0" fontId="2" fillId="0" borderId="0" xfId="0" applyFont="1"/>
    <xf numFmtId="9" fontId="0" fillId="0" borderId="0" xfId="0" applyNumberFormat="1"/>
    <xf numFmtId="10" fontId="0" fillId="0" borderId="0" xfId="0" applyNumberFormat="1"/>
    <xf numFmtId="0" fontId="2" fillId="0" borderId="6" xfId="0" applyFont="1" applyBorder="1" applyAlignment="1">
      <alignment horizontal="right"/>
    </xf>
    <xf numFmtId="2" fontId="0" fillId="5" borderId="10" xfId="0" applyNumberFormat="1" applyFill="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5" borderId="10" xfId="0" applyFont="1" applyFill="1" applyBorder="1" applyAlignment="1">
      <alignment horizontal="center" vertical="center" wrapText="1"/>
    </xf>
    <xf numFmtId="0" fontId="3" fillId="6" borderId="1" xfId="0" applyFont="1" applyFill="1" applyBorder="1" applyAlignment="1" applyProtection="1">
      <alignment horizontal="center"/>
      <protection locked="0"/>
    </xf>
    <xf numFmtId="167" fontId="0" fillId="0" borderId="0" xfId="1" applyNumberFormat="1" applyFont="1"/>
    <xf numFmtId="0" fontId="0" fillId="7" borderId="1" xfId="0" applyFill="1" applyBorder="1" applyAlignment="1">
      <alignment horizontal="center"/>
    </xf>
    <xf numFmtId="2" fontId="0" fillId="7" borderId="1" xfId="0" applyNumberFormat="1" applyFill="1" applyBorder="1" applyAlignment="1">
      <alignment horizontal="center"/>
    </xf>
    <xf numFmtId="166" fontId="3" fillId="5" borderId="10" xfId="0" applyNumberFormat="1" applyFont="1" applyFill="1" applyBorder="1" applyAlignment="1">
      <alignment horizontal="center"/>
    </xf>
    <xf numFmtId="164" fontId="0" fillId="5" borderId="10" xfId="0" applyNumberFormat="1" applyFill="1" applyBorder="1" applyAlignment="1">
      <alignment horizontal="center"/>
    </xf>
    <xf numFmtId="9" fontId="0" fillId="5" borderId="10" xfId="1" applyFont="1" applyFill="1" applyBorder="1" applyAlignment="1">
      <alignment horizontal="center"/>
    </xf>
    <xf numFmtId="2" fontId="0" fillId="2" borderId="1" xfId="0" applyNumberFormat="1" applyFill="1" applyBorder="1" applyAlignment="1" applyProtection="1">
      <alignment horizontal="center"/>
      <protection locked="0"/>
    </xf>
    <xf numFmtId="0" fontId="0" fillId="5" borderId="1" xfId="0" applyFill="1" applyBorder="1" applyAlignment="1" applyProtection="1">
      <alignment horizontal="center" vertical="center"/>
      <protection locked="0"/>
    </xf>
    <xf numFmtId="0" fontId="3" fillId="0" borderId="0" xfId="0" applyFont="1" applyAlignment="1">
      <alignment vertical="top" wrapText="1"/>
    </xf>
    <xf numFmtId="14" fontId="0" fillId="0" borderId="0" xfId="0" applyNumberFormat="1" applyAlignment="1">
      <alignment horizontal="center" vertical="top"/>
    </xf>
    <xf numFmtId="0" fontId="9" fillId="0" borderId="0" xfId="2" applyAlignment="1" applyProtection="1">
      <alignment horizontal="center"/>
    </xf>
    <xf numFmtId="2" fontId="3" fillId="5" borderId="1" xfId="0" applyNumberFormat="1" applyFont="1" applyFill="1" applyBorder="1" applyAlignment="1">
      <alignment horizontal="center" vertical="center"/>
    </xf>
    <xf numFmtId="2" fontId="3" fillId="5" borderId="1" xfId="0" applyNumberFormat="1" applyFont="1" applyFill="1" applyBorder="1" applyAlignment="1">
      <alignment horizontal="center"/>
    </xf>
    <xf numFmtId="167" fontId="0" fillId="5" borderId="1" xfId="1" applyNumberFormat="1" applyFont="1" applyFill="1" applyBorder="1" applyAlignment="1">
      <alignment horizontal="center"/>
    </xf>
    <xf numFmtId="0" fontId="3" fillId="5" borderId="1" xfId="0" applyFont="1" applyFill="1" applyBorder="1" applyAlignment="1">
      <alignment horizontal="center"/>
    </xf>
    <xf numFmtId="166" fontId="0" fillId="5" borderId="1" xfId="0" applyNumberFormat="1" applyFill="1" applyBorder="1" applyAlignment="1">
      <alignment horizontal="center"/>
    </xf>
    <xf numFmtId="167" fontId="0" fillId="5" borderId="1" xfId="0" applyNumberFormat="1" applyFill="1" applyBorder="1" applyAlignment="1">
      <alignment horizontal="center"/>
    </xf>
    <xf numFmtId="0" fontId="3" fillId="7" borderId="1" xfId="0" applyFont="1" applyFill="1" applyBorder="1" applyAlignment="1">
      <alignment horizontal="center"/>
    </xf>
    <xf numFmtId="0" fontId="0" fillId="0" borderId="15" xfId="0" applyBorder="1" applyAlignment="1">
      <alignment horizontal="center" vertical="center" wrapText="1"/>
    </xf>
    <xf numFmtId="169" fontId="0" fillId="0" borderId="0" xfId="0" applyNumberFormat="1"/>
    <xf numFmtId="166" fontId="0" fillId="6" borderId="0" xfId="0" applyNumberFormat="1" applyFill="1"/>
    <xf numFmtId="2" fontId="0" fillId="7" borderId="0" xfId="0" applyNumberFormat="1" applyFill="1"/>
    <xf numFmtId="0" fontId="3" fillId="0" borderId="0" xfId="0" applyFont="1" applyAlignment="1">
      <alignment horizontal="center" vertical="center" wrapText="1"/>
    </xf>
    <xf numFmtId="14" fontId="0" fillId="0" borderId="0" xfId="0" applyNumberFormat="1"/>
    <xf numFmtId="0" fontId="0" fillId="0" borderId="0" xfId="0" applyAlignment="1">
      <alignment wrapText="1"/>
    </xf>
    <xf numFmtId="14" fontId="0" fillId="0" borderId="0" xfId="0" applyNumberFormat="1" applyAlignment="1">
      <alignment vertical="top"/>
    </xf>
    <xf numFmtId="0" fontId="2" fillId="0" borderId="0" xfId="0" applyFont="1" applyAlignment="1">
      <alignment horizontal="center" vertical="center" wrapText="1"/>
    </xf>
    <xf numFmtId="0" fontId="0" fillId="0" borderId="0" xfId="0" applyAlignment="1">
      <alignment horizontal="center" wrapText="1"/>
    </xf>
    <xf numFmtId="1" fontId="3" fillId="0" borderId="0" xfId="0" applyNumberFormat="1" applyFont="1" applyAlignment="1">
      <alignment horizontal="center"/>
    </xf>
    <xf numFmtId="0" fontId="2" fillId="0" borderId="10" xfId="0" applyFont="1" applyBorder="1" applyAlignment="1">
      <alignment horizontal="center"/>
    </xf>
    <xf numFmtId="0" fontId="0" fillId="6" borderId="1" xfId="0" applyFill="1" applyBorder="1" applyAlignment="1" applyProtection="1">
      <alignment horizontal="center"/>
      <protection locked="0"/>
    </xf>
    <xf numFmtId="0" fontId="2" fillId="0" borderId="19" xfId="0" applyFont="1" applyBorder="1" applyAlignment="1">
      <alignment horizontal="center"/>
    </xf>
    <xf numFmtId="0" fontId="3" fillId="0" borderId="21" xfId="0" applyFont="1" applyBorder="1"/>
    <xf numFmtId="0" fontId="3" fillId="0" borderId="21" xfId="0" applyFont="1" applyBorder="1" applyAlignment="1">
      <alignment horizontal="left"/>
    </xf>
    <xf numFmtId="0" fontId="3" fillId="0" borderId="23" xfId="0" applyFont="1" applyBorder="1"/>
    <xf numFmtId="166" fontId="3" fillId="0" borderId="21" xfId="0" applyNumberFormat="1" applyFont="1" applyBorder="1" applyAlignment="1">
      <alignment horizontal="left"/>
    </xf>
    <xf numFmtId="166" fontId="3" fillId="7" borderId="1" xfId="0" applyNumberFormat="1" applyFont="1" applyFill="1" applyBorder="1" applyAlignment="1">
      <alignment horizontal="center"/>
    </xf>
    <xf numFmtId="0" fontId="3" fillId="7" borderId="24" xfId="0" applyFont="1" applyFill="1" applyBorder="1" applyAlignment="1">
      <alignment horizontal="center"/>
    </xf>
    <xf numFmtId="0" fontId="3" fillId="7" borderId="10" xfId="0" applyFont="1" applyFill="1" applyBorder="1" applyAlignment="1">
      <alignment horizontal="center"/>
    </xf>
    <xf numFmtId="0" fontId="0" fillId="0" borderId="22" xfId="0" applyBorder="1"/>
    <xf numFmtId="0" fontId="0" fillId="0" borderId="19" xfId="0" applyBorder="1"/>
    <xf numFmtId="0" fontId="0" fillId="0" borderId="21" xfId="0" applyBorder="1"/>
    <xf numFmtId="166" fontId="0" fillId="7" borderId="10" xfId="0" applyNumberFormat="1" applyFill="1" applyBorder="1" applyAlignment="1">
      <alignment horizontal="center"/>
    </xf>
    <xf numFmtId="169" fontId="3" fillId="0" borderId="0" xfId="0" applyNumberFormat="1" applyFont="1"/>
    <xf numFmtId="0" fontId="9" fillId="0" borderId="0" xfId="2" applyAlignment="1" applyProtection="1"/>
    <xf numFmtId="0" fontId="9" fillId="0" borderId="0" xfId="2" applyAlignment="1" applyProtection="1">
      <alignment wrapText="1"/>
    </xf>
    <xf numFmtId="0" fontId="2" fillId="0" borderId="2" xfId="0" applyFont="1" applyBorder="1" applyAlignment="1">
      <alignment horizontal="center" vertical="center" wrapText="1"/>
    </xf>
    <xf numFmtId="166" fontId="0" fillId="2" borderId="1" xfId="0" applyNumberFormat="1" applyFill="1" applyBorder="1" applyAlignment="1" applyProtection="1">
      <alignment horizontal="center"/>
      <protection locked="0"/>
    </xf>
    <xf numFmtId="1" fontId="0" fillId="2" borderId="1" xfId="0" applyNumberFormat="1" applyFill="1" applyBorder="1" applyAlignment="1" applyProtection="1">
      <alignment horizontal="center"/>
      <protection locked="0"/>
    </xf>
    <xf numFmtId="166" fontId="0" fillId="3" borderId="1" xfId="0" applyNumberFormat="1" applyFill="1" applyBorder="1" applyAlignment="1">
      <alignment horizontal="center"/>
    </xf>
    <xf numFmtId="167" fontId="0" fillId="0" borderId="0" xfId="1" applyNumberFormat="1" applyFont="1" applyAlignment="1">
      <alignment horizontal="center"/>
    </xf>
    <xf numFmtId="164" fontId="0" fillId="0" borderId="0" xfId="0" applyNumberFormat="1" applyAlignment="1">
      <alignment horizontal="center"/>
    </xf>
    <xf numFmtId="170" fontId="0" fillId="5" borderId="10" xfId="0" applyNumberFormat="1" applyFill="1" applyBorder="1" applyAlignment="1">
      <alignment horizontal="center"/>
    </xf>
    <xf numFmtId="167" fontId="3" fillId="0" borderId="0" xfId="1" applyNumberFormat="1" applyFont="1" applyAlignment="1">
      <alignment horizontal="center"/>
    </xf>
    <xf numFmtId="0" fontId="9" fillId="0" borderId="11" xfId="2" applyBorder="1" applyAlignment="1" applyProtection="1">
      <alignment horizontal="center"/>
    </xf>
    <xf numFmtId="167" fontId="0" fillId="6" borderId="32" xfId="1" applyNumberFormat="1" applyFont="1" applyFill="1" applyBorder="1" applyAlignment="1" applyProtection="1">
      <alignment horizontal="center"/>
      <protection locked="0"/>
    </xf>
    <xf numFmtId="2" fontId="0" fillId="7" borderId="24" xfId="0" applyNumberFormat="1" applyFill="1" applyBorder="1" applyAlignment="1">
      <alignment horizontal="center"/>
    </xf>
    <xf numFmtId="0" fontId="12" fillId="0" borderId="21" xfId="0" applyFont="1" applyBorder="1" applyAlignment="1">
      <alignment horizontal="center"/>
    </xf>
    <xf numFmtId="166" fontId="0" fillId="7" borderId="9" xfId="0" applyNumberFormat="1" applyFill="1" applyBorder="1" applyAlignment="1">
      <alignment horizontal="center"/>
    </xf>
    <xf numFmtId="0" fontId="3" fillId="7" borderId="9" xfId="0" applyFont="1" applyFill="1" applyBorder="1" applyAlignment="1">
      <alignment horizontal="center"/>
    </xf>
    <xf numFmtId="167" fontId="3" fillId="0" borderId="0" xfId="1" applyNumberFormat="1" applyFont="1"/>
    <xf numFmtId="0" fontId="3" fillId="0" borderId="4" xfId="0" applyFont="1" applyBorder="1" applyAlignment="1">
      <alignment horizontal="center"/>
    </xf>
    <xf numFmtId="0" fontId="3" fillId="0" borderId="9" xfId="0" applyFont="1" applyBorder="1" applyAlignment="1">
      <alignment vertical="center" wrapText="1"/>
    </xf>
    <xf numFmtId="166" fontId="3" fillId="5" borderId="1" xfId="0" applyNumberFormat="1" applyFont="1" applyFill="1" applyBorder="1" applyAlignment="1">
      <alignment horizontal="center" vertical="center"/>
    </xf>
    <xf numFmtId="166" fontId="3" fillId="5" borderId="9" xfId="0" applyNumberFormat="1" applyFont="1" applyFill="1" applyBorder="1" applyAlignment="1">
      <alignment horizontal="center" vertical="center"/>
    </xf>
    <xf numFmtId="0" fontId="0" fillId="0" borderId="9" xfId="0" applyBorder="1" applyAlignment="1">
      <alignment horizontal="center"/>
    </xf>
    <xf numFmtId="2" fontId="3" fillId="5" borderId="2" xfId="0" applyNumberFormat="1" applyFont="1" applyFill="1" applyBorder="1" applyAlignment="1">
      <alignment horizontal="center" vertical="center"/>
    </xf>
    <xf numFmtId="166" fontId="3" fillId="5" borderId="10" xfId="0" applyNumberFormat="1" applyFont="1" applyFill="1" applyBorder="1" applyAlignment="1">
      <alignment horizontal="center" vertical="center"/>
    </xf>
    <xf numFmtId="166" fontId="3" fillId="5" borderId="36" xfId="0" applyNumberFormat="1" applyFont="1" applyFill="1" applyBorder="1" applyAlignment="1">
      <alignment horizontal="center" vertical="center"/>
    </xf>
    <xf numFmtId="2" fontId="3" fillId="5" borderId="36" xfId="0" applyNumberFormat="1" applyFont="1" applyFill="1" applyBorder="1" applyAlignment="1">
      <alignment horizontal="center" vertical="center"/>
    </xf>
    <xf numFmtId="166" fontId="0" fillId="7" borderId="1" xfId="0" applyNumberFormat="1" applyFill="1" applyBorder="1" applyAlignment="1">
      <alignment horizontal="center"/>
    </xf>
    <xf numFmtId="0" fontId="0" fillId="0" borderId="9" xfId="0" applyBorder="1"/>
    <xf numFmtId="2" fontId="0" fillId="6" borderId="1" xfId="1" applyNumberFormat="1" applyFont="1" applyFill="1" applyBorder="1" applyAlignment="1" applyProtection="1">
      <alignment horizontal="center"/>
      <protection locked="0"/>
    </xf>
    <xf numFmtId="0" fontId="0" fillId="0" borderId="11" xfId="0" applyBorder="1"/>
    <xf numFmtId="0" fontId="0" fillId="6" borderId="24" xfId="0" applyFill="1" applyBorder="1" applyAlignment="1" applyProtection="1">
      <alignment horizontal="center"/>
      <protection locked="0"/>
    </xf>
    <xf numFmtId="166" fontId="3" fillId="0" borderId="0" xfId="0" applyNumberFormat="1" applyFont="1" applyAlignment="1">
      <alignment horizontal="right"/>
    </xf>
    <xf numFmtId="0" fontId="14" fillId="0" borderId="0" xfId="0" applyFont="1" applyAlignment="1">
      <alignment horizontal="right"/>
    </xf>
    <xf numFmtId="0" fontId="14" fillId="0" borderId="0" xfId="0" applyFont="1"/>
    <xf numFmtId="0" fontId="14" fillId="0" borderId="0" xfId="0" applyFont="1" applyAlignment="1">
      <alignment horizontal="right" vertical="center"/>
    </xf>
    <xf numFmtId="0" fontId="16" fillId="0" borderId="0" xfId="0" applyFont="1" applyAlignment="1">
      <alignment horizontal="center"/>
    </xf>
    <xf numFmtId="0" fontId="16" fillId="7" borderId="10" xfId="0" applyFont="1" applyFill="1" applyBorder="1" applyAlignment="1">
      <alignment horizontal="center"/>
    </xf>
    <xf numFmtId="166" fontId="14" fillId="7" borderId="1" xfId="0" applyNumberFormat="1" applyFont="1" applyFill="1" applyBorder="1" applyAlignment="1">
      <alignment horizontal="center"/>
    </xf>
    <xf numFmtId="0" fontId="14" fillId="7" borderId="1" xfId="0" applyFont="1" applyFill="1" applyBorder="1" applyAlignment="1">
      <alignment horizontal="center"/>
    </xf>
    <xf numFmtId="2" fontId="14" fillId="7" borderId="10" xfId="0" applyNumberFormat="1" applyFont="1" applyFill="1" applyBorder="1" applyAlignment="1">
      <alignment horizontal="center"/>
    </xf>
    <xf numFmtId="167" fontId="14" fillId="7" borderId="1" xfId="0" applyNumberFormat="1" applyFont="1" applyFill="1" applyBorder="1" applyAlignment="1">
      <alignment horizontal="center"/>
    </xf>
    <xf numFmtId="2" fontId="14" fillId="7" borderId="1" xfId="0" applyNumberFormat="1" applyFont="1" applyFill="1" applyBorder="1" applyAlignment="1">
      <alignment horizontal="center"/>
    </xf>
    <xf numFmtId="0" fontId="14" fillId="0" borderId="0" xfId="0" applyFont="1" applyAlignment="1">
      <alignment horizontal="center" vertical="center" wrapText="1"/>
    </xf>
    <xf numFmtId="0" fontId="14" fillId="0" borderId="32" xfId="0" applyFont="1" applyBorder="1"/>
    <xf numFmtId="166" fontId="14" fillId="6" borderId="9" xfId="0" applyNumberFormat="1" applyFont="1" applyFill="1" applyBorder="1" applyAlignment="1" applyProtection="1">
      <alignment horizontal="center"/>
      <protection locked="0"/>
    </xf>
    <xf numFmtId="164" fontId="14" fillId="7" borderId="10" xfId="0" applyNumberFormat="1" applyFont="1" applyFill="1" applyBorder="1" applyAlignment="1">
      <alignment horizontal="center"/>
    </xf>
    <xf numFmtId="1" fontId="14" fillId="7" borderId="1" xfId="0" applyNumberFormat="1" applyFont="1" applyFill="1" applyBorder="1" applyAlignment="1">
      <alignment horizontal="center"/>
    </xf>
    <xf numFmtId="1" fontId="14" fillId="6" borderId="1" xfId="0" applyNumberFormat="1" applyFont="1" applyFill="1" applyBorder="1" applyAlignment="1" applyProtection="1">
      <alignment horizontal="center"/>
      <protection locked="0"/>
    </xf>
    <xf numFmtId="164" fontId="14" fillId="6" borderId="2" xfId="0" applyNumberFormat="1" applyFont="1" applyFill="1" applyBorder="1" applyAlignment="1" applyProtection="1">
      <alignment horizontal="center"/>
      <protection locked="0"/>
    </xf>
    <xf numFmtId="0" fontId="14" fillId="0" borderId="1" xfId="0" applyFont="1" applyBorder="1" applyAlignment="1">
      <alignment horizontal="center"/>
    </xf>
    <xf numFmtId="166" fontId="14" fillId="6" borderId="10" xfId="0" applyNumberFormat="1" applyFont="1" applyFill="1" applyBorder="1" applyAlignment="1" applyProtection="1">
      <alignment horizontal="center"/>
      <protection locked="0"/>
    </xf>
    <xf numFmtId="166" fontId="14" fillId="6" borderId="1" xfId="0" applyNumberFormat="1" applyFont="1" applyFill="1" applyBorder="1" applyAlignment="1" applyProtection="1">
      <alignment horizontal="center"/>
      <protection locked="0"/>
    </xf>
    <xf numFmtId="0" fontId="14" fillId="0" borderId="0" xfId="0" applyFont="1" applyAlignment="1">
      <alignment horizontal="center"/>
    </xf>
    <xf numFmtId="167" fontId="14" fillId="7" borderId="1" xfId="1" applyNumberFormat="1" applyFont="1" applyFill="1" applyBorder="1" applyAlignment="1">
      <alignment horizontal="center"/>
    </xf>
    <xf numFmtId="0" fontId="14" fillId="7" borderId="8" xfId="0" applyFont="1" applyFill="1" applyBorder="1" applyAlignment="1">
      <alignment horizontal="center"/>
    </xf>
    <xf numFmtId="0" fontId="16" fillId="0" borderId="10" xfId="0" applyFont="1" applyBorder="1" applyAlignment="1">
      <alignment horizontal="center"/>
    </xf>
    <xf numFmtId="0" fontId="14" fillId="0" borderId="9" xfId="0" applyFont="1" applyBorder="1" applyAlignment="1">
      <alignment horizontal="center" vertical="center"/>
    </xf>
    <xf numFmtId="164" fontId="14" fillId="6" borderId="9" xfId="0" applyNumberFormat="1" applyFont="1" applyFill="1" applyBorder="1" applyAlignment="1" applyProtection="1">
      <alignment horizontal="center"/>
      <protection locked="0"/>
    </xf>
    <xf numFmtId="0" fontId="14" fillId="0" borderId="10" xfId="0" applyFont="1" applyBorder="1" applyAlignment="1">
      <alignment horizontal="center" vertical="center" wrapText="1"/>
    </xf>
    <xf numFmtId="2" fontId="14" fillId="0" borderId="4" xfId="0" applyNumberFormat="1" applyFont="1" applyBorder="1" applyAlignment="1">
      <alignment horizontal="center" vertical="center"/>
    </xf>
    <xf numFmtId="2" fontId="14" fillId="0" borderId="1" xfId="0" applyNumberFormat="1" applyFont="1" applyBorder="1" applyAlignment="1">
      <alignment horizontal="center" vertical="center"/>
    </xf>
    <xf numFmtId="0" fontId="14" fillId="0" borderId="15" xfId="0" applyFont="1" applyBorder="1" applyAlignment="1">
      <alignment vertical="center"/>
    </xf>
    <xf numFmtId="1" fontId="14" fillId="7" borderId="1" xfId="0" applyNumberFormat="1" applyFont="1" applyFill="1" applyBorder="1" applyAlignment="1">
      <alignment horizontal="center" vertical="center"/>
    </xf>
    <xf numFmtId="166" fontId="14" fillId="7" borderId="1" xfId="0" applyNumberFormat="1" applyFont="1" applyFill="1" applyBorder="1" applyAlignment="1">
      <alignment horizontal="center" vertical="center"/>
    </xf>
    <xf numFmtId="2" fontId="14" fillId="0" borderId="9" xfId="0" applyNumberFormat="1" applyFont="1" applyBorder="1" applyAlignment="1">
      <alignment horizontal="center" vertical="center"/>
    </xf>
    <xf numFmtId="0" fontId="3" fillId="0" borderId="19" xfId="0" applyFont="1" applyBorder="1"/>
    <xf numFmtId="0" fontId="14" fillId="0" borderId="6" xfId="0" applyFont="1" applyBorder="1" applyAlignment="1">
      <alignment horizontal="center"/>
    </xf>
    <xf numFmtId="0" fontId="14" fillId="7" borderId="1" xfId="0" applyFont="1" applyFill="1" applyBorder="1" applyAlignment="1">
      <alignment horizontal="center" shrinkToFit="1"/>
    </xf>
    <xf numFmtId="0" fontId="16" fillId="0" borderId="2" xfId="0" applyFont="1" applyBorder="1" applyAlignment="1">
      <alignment horizontal="center" vertical="center" wrapText="1"/>
    </xf>
    <xf numFmtId="164" fontId="0" fillId="6" borderId="24" xfId="1" applyNumberFormat="1" applyFont="1" applyFill="1" applyBorder="1" applyAlignment="1" applyProtection="1">
      <alignment horizontal="center"/>
      <protection locked="0"/>
    </xf>
    <xf numFmtId="166" fontId="0" fillId="7" borderId="24" xfId="0" applyNumberFormat="1" applyFill="1" applyBorder="1" applyAlignment="1">
      <alignment horizontal="center"/>
    </xf>
    <xf numFmtId="0" fontId="0" fillId="7" borderId="24" xfId="0" applyFill="1" applyBorder="1" applyAlignment="1">
      <alignment horizontal="center"/>
    </xf>
    <xf numFmtId="2" fontId="0" fillId="7" borderId="10" xfId="0" applyNumberFormat="1" applyFill="1" applyBorder="1" applyAlignment="1">
      <alignment horizontal="center"/>
    </xf>
    <xf numFmtId="2" fontId="0" fillId="7" borderId="1" xfId="1" applyNumberFormat="1" applyFont="1" applyFill="1" applyBorder="1" applyAlignment="1">
      <alignment horizontal="center"/>
    </xf>
    <xf numFmtId="2" fontId="14" fillId="6" borderId="1" xfId="0" applyNumberFormat="1" applyFont="1" applyFill="1" applyBorder="1" applyAlignment="1" applyProtection="1">
      <alignment horizontal="center"/>
      <protection locked="0"/>
    </xf>
    <xf numFmtId="0" fontId="14" fillId="6" borderId="1" xfId="0" applyFont="1" applyFill="1" applyBorder="1" applyAlignment="1" applyProtection="1">
      <alignment horizontal="center"/>
      <protection locked="0"/>
    </xf>
    <xf numFmtId="0" fontId="0" fillId="9" borderId="38" xfId="0" applyFill="1" applyBorder="1"/>
    <xf numFmtId="0" fontId="18" fillId="9" borderId="39" xfId="0" applyFont="1" applyFill="1" applyBorder="1" applyAlignment="1">
      <alignment vertical="center"/>
    </xf>
    <xf numFmtId="0" fontId="0" fillId="9" borderId="39" xfId="0" applyFill="1" applyBorder="1" applyAlignment="1">
      <alignment horizontal="center"/>
    </xf>
    <xf numFmtId="0" fontId="19" fillId="9" borderId="40" xfId="0" applyFont="1" applyFill="1" applyBorder="1" applyAlignment="1" applyProtection="1">
      <alignment horizontal="center"/>
      <protection hidden="1"/>
    </xf>
    <xf numFmtId="0" fontId="0" fillId="9" borderId="41" xfId="0" applyFill="1" applyBorder="1"/>
    <xf numFmtId="0" fontId="18" fillId="9" borderId="0" xfId="0" applyFont="1" applyFill="1" applyAlignment="1">
      <alignment vertical="center"/>
    </xf>
    <xf numFmtId="0" fontId="0" fillId="9" borderId="0" xfId="0" applyFill="1" applyAlignment="1">
      <alignment horizontal="center"/>
    </xf>
    <xf numFmtId="0" fontId="21" fillId="9" borderId="0" xfId="0" applyFont="1" applyFill="1" applyAlignment="1">
      <alignment horizontal="left" indent="1"/>
    </xf>
    <xf numFmtId="0" fontId="3" fillId="9" borderId="0" xfId="0" applyFont="1" applyFill="1" applyAlignment="1">
      <alignment horizontal="center"/>
    </xf>
    <xf numFmtId="0" fontId="0" fillId="9" borderId="41" xfId="0" applyFill="1" applyBorder="1" applyAlignment="1">
      <alignment horizontal="center" vertical="center"/>
    </xf>
    <xf numFmtId="0" fontId="0" fillId="9" borderId="0" xfId="0" applyFill="1" applyAlignment="1">
      <alignment horizontal="right"/>
    </xf>
    <xf numFmtId="0" fontId="22" fillId="9" borderId="0" xfId="0" applyFont="1" applyFill="1" applyAlignment="1">
      <alignment vertical="center" wrapText="1"/>
    </xf>
    <xf numFmtId="0" fontId="0" fillId="9" borderId="42" xfId="0" applyFill="1" applyBorder="1" applyAlignment="1">
      <alignment horizontal="center" vertical="center"/>
    </xf>
    <xf numFmtId="0" fontId="0" fillId="0" borderId="0" xfId="0" applyAlignment="1">
      <alignment horizontal="center" vertical="center"/>
    </xf>
    <xf numFmtId="0" fontId="22" fillId="9" borderId="0" xfId="0" applyFont="1" applyFill="1" applyAlignment="1">
      <alignment horizontal="right" vertical="center"/>
    </xf>
    <xf numFmtId="0" fontId="22" fillId="9" borderId="0" xfId="0" applyFont="1" applyFill="1" applyAlignment="1">
      <alignment horizontal="right"/>
    </xf>
    <xf numFmtId="0" fontId="22" fillId="9" borderId="0" xfId="0" applyFont="1" applyFill="1" applyAlignment="1">
      <alignment vertical="center"/>
    </xf>
    <xf numFmtId="0" fontId="0" fillId="9" borderId="0" xfId="0" applyFill="1"/>
    <xf numFmtId="0" fontId="23" fillId="9" borderId="0" xfId="0" applyFont="1" applyFill="1" applyAlignment="1">
      <alignment vertical="top" wrapText="1"/>
    </xf>
    <xf numFmtId="0" fontId="23" fillId="9" borderId="42" xfId="0" applyFont="1" applyFill="1" applyBorder="1" applyAlignment="1">
      <alignment vertical="top" wrapText="1"/>
    </xf>
    <xf numFmtId="0" fontId="0" fillId="9" borderId="0" xfId="0" applyFill="1" applyAlignment="1">
      <alignment horizontal="center" vertical="center"/>
    </xf>
    <xf numFmtId="0" fontId="0" fillId="9" borderId="0" xfId="0" applyFill="1" applyAlignment="1">
      <alignment horizontal="right" vertical="center"/>
    </xf>
    <xf numFmtId="0" fontId="0" fillId="9" borderId="43" xfId="0" applyFill="1" applyBorder="1" applyAlignment="1">
      <alignment horizontal="center" vertical="center"/>
    </xf>
    <xf numFmtId="0" fontId="0" fillId="9" borderId="44" xfId="0" applyFill="1" applyBorder="1" applyAlignment="1">
      <alignment horizontal="right" vertical="center"/>
    </xf>
    <xf numFmtId="0" fontId="0" fillId="9" borderId="44" xfId="0" applyFill="1" applyBorder="1" applyAlignment="1">
      <alignment horizontal="center" vertical="center"/>
    </xf>
    <xf numFmtId="0" fontId="23" fillId="9" borderId="44" xfId="0" applyFont="1" applyFill="1" applyBorder="1" applyAlignment="1">
      <alignment vertical="top" wrapText="1"/>
    </xf>
    <xf numFmtId="0" fontId="0" fillId="10" borderId="38" xfId="0" applyFill="1" applyBorder="1" applyAlignment="1">
      <alignment horizontal="center" vertical="center"/>
    </xf>
    <xf numFmtId="0" fontId="18" fillId="10" borderId="39" xfId="0" applyFont="1" applyFill="1" applyBorder="1" applyAlignment="1">
      <alignment vertical="center"/>
    </xf>
    <xf numFmtId="0" fontId="0" fillId="10" borderId="39" xfId="0" applyFill="1" applyBorder="1" applyAlignment="1">
      <alignment horizontal="center" vertical="center"/>
    </xf>
    <xf numFmtId="0" fontId="25" fillId="10" borderId="39" xfId="0" applyFont="1" applyFill="1" applyBorder="1" applyAlignment="1">
      <alignment horizontal="center" vertical="center"/>
    </xf>
    <xf numFmtId="0" fontId="25" fillId="10" borderId="0" xfId="0" applyFont="1" applyFill="1" applyAlignment="1">
      <alignment horizontal="center" vertical="center"/>
    </xf>
    <xf numFmtId="0" fontId="23" fillId="10" borderId="40" xfId="0" applyFont="1" applyFill="1" applyBorder="1" applyAlignment="1">
      <alignment horizontal="left" vertical="top" wrapText="1"/>
    </xf>
    <xf numFmtId="0" fontId="0" fillId="10" borderId="41" xfId="0" applyFill="1" applyBorder="1" applyAlignment="1">
      <alignment horizontal="center" vertical="center"/>
    </xf>
    <xf numFmtId="0" fontId="18" fillId="10" borderId="0" xfId="0" applyFont="1" applyFill="1" applyAlignment="1">
      <alignment vertical="center"/>
    </xf>
    <xf numFmtId="0" fontId="0" fillId="10" borderId="0" xfId="0" applyFill="1" applyAlignment="1">
      <alignment horizontal="center" vertical="center"/>
    </xf>
    <xf numFmtId="0" fontId="25" fillId="10" borderId="0" xfId="0" applyFont="1" applyFill="1" applyAlignment="1">
      <alignment horizontal="right" vertical="center"/>
    </xf>
    <xf numFmtId="0" fontId="25" fillId="10" borderId="46" xfId="0" quotePrefix="1" applyFont="1" applyFill="1" applyBorder="1" applyAlignment="1">
      <alignment horizontal="left" vertical="center"/>
    </xf>
    <xf numFmtId="2" fontId="25" fillId="10" borderId="47" xfId="0" applyNumberFormat="1" applyFont="1" applyFill="1" applyBorder="1" applyAlignment="1">
      <alignment horizontal="center" vertical="center"/>
    </xf>
    <xf numFmtId="0" fontId="23" fillId="10" borderId="42" xfId="0" applyFont="1" applyFill="1" applyBorder="1" applyAlignment="1">
      <alignment horizontal="left" vertical="top" wrapText="1"/>
    </xf>
    <xf numFmtId="0" fontId="26" fillId="10" borderId="0" xfId="0" applyFont="1" applyFill="1" applyAlignment="1">
      <alignment vertical="top" wrapText="1"/>
    </xf>
    <xf numFmtId="0" fontId="22" fillId="10" borderId="0" xfId="0" applyFont="1" applyFill="1" applyAlignment="1">
      <alignment horizontal="center" vertical="center"/>
    </xf>
    <xf numFmtId="0" fontId="25" fillId="10" borderId="48" xfId="0" applyFont="1" applyFill="1" applyBorder="1" applyAlignment="1">
      <alignment horizontal="left" vertical="center"/>
    </xf>
    <xf numFmtId="2" fontId="25" fillId="10" borderId="49" xfId="0" applyNumberFormat="1" applyFont="1" applyFill="1" applyBorder="1" applyAlignment="1">
      <alignment horizontal="center" vertical="center"/>
    </xf>
    <xf numFmtId="0" fontId="23" fillId="10" borderId="42" xfId="0" applyFont="1" applyFill="1" applyBorder="1" applyAlignment="1">
      <alignment vertical="top" wrapText="1"/>
    </xf>
    <xf numFmtId="2" fontId="25" fillId="10" borderId="50" xfId="0" applyNumberFormat="1" applyFont="1" applyFill="1" applyBorder="1" applyAlignment="1">
      <alignment horizontal="center" vertical="center"/>
    </xf>
    <xf numFmtId="0" fontId="25" fillId="10" borderId="51" xfId="0" applyFont="1" applyFill="1" applyBorder="1" applyAlignment="1">
      <alignment horizontal="left" vertical="center"/>
    </xf>
    <xf numFmtId="2" fontId="25" fillId="10" borderId="52" xfId="0" applyNumberFormat="1" applyFont="1" applyFill="1" applyBorder="1" applyAlignment="1">
      <alignment horizontal="center" vertical="center"/>
    </xf>
    <xf numFmtId="0" fontId="21" fillId="10" borderId="0" xfId="0" applyFont="1" applyFill="1" applyAlignment="1">
      <alignment horizontal="left" indent="1"/>
    </xf>
    <xf numFmtId="0" fontId="12" fillId="10" borderId="0" xfId="0" applyFont="1" applyFill="1" applyAlignment="1">
      <alignment horizontal="right" vertical="center"/>
    </xf>
    <xf numFmtId="0" fontId="12" fillId="10" borderId="0" xfId="0" applyFont="1" applyFill="1" applyAlignment="1">
      <alignment horizontal="center" vertical="center"/>
    </xf>
    <xf numFmtId="0" fontId="12" fillId="10" borderId="13" xfId="0" applyFont="1" applyFill="1" applyBorder="1" applyAlignment="1">
      <alignment horizontal="right" vertical="center" wrapText="1"/>
    </xf>
    <xf numFmtId="2" fontId="0" fillId="10" borderId="0" xfId="0" applyNumberFormat="1" applyFill="1" applyAlignment="1">
      <alignment horizontal="center" vertical="center"/>
    </xf>
    <xf numFmtId="0" fontId="12" fillId="10" borderId="0" xfId="0" applyFont="1" applyFill="1" applyAlignment="1">
      <alignment horizontal="right" vertical="center" wrapText="1"/>
    </xf>
    <xf numFmtId="0" fontId="0" fillId="10" borderId="43" xfId="0" applyFill="1" applyBorder="1"/>
    <xf numFmtId="0" fontId="21" fillId="10" borderId="44" xfId="0" applyFont="1" applyFill="1" applyBorder="1" applyAlignment="1">
      <alignment horizontal="left" indent="1"/>
    </xf>
    <xf numFmtId="0" fontId="23" fillId="10" borderId="44" xfId="0" applyFont="1" applyFill="1" applyBorder="1" applyAlignment="1">
      <alignment vertical="center" wrapText="1"/>
    </xf>
    <xf numFmtId="0" fontId="0" fillId="11" borderId="38" xfId="0" applyFill="1" applyBorder="1"/>
    <xf numFmtId="0" fontId="18" fillId="11" borderId="39" xfId="0" applyFont="1" applyFill="1" applyBorder="1" applyAlignment="1">
      <alignment vertical="center"/>
    </xf>
    <xf numFmtId="0" fontId="12" fillId="11" borderId="39" xfId="0" applyFont="1" applyFill="1" applyBorder="1" applyAlignment="1">
      <alignment horizontal="right" vertical="center"/>
    </xf>
    <xf numFmtId="0" fontId="12" fillId="11" borderId="39" xfId="0" applyFont="1" applyFill="1" applyBorder="1" applyAlignment="1">
      <alignment horizontal="center" vertical="center"/>
    </xf>
    <xf numFmtId="0" fontId="23" fillId="11" borderId="39" xfId="0" applyFont="1" applyFill="1" applyBorder="1" applyAlignment="1">
      <alignment horizontal="left" vertical="center" wrapText="1"/>
    </xf>
    <xf numFmtId="0" fontId="0" fillId="11" borderId="41" xfId="0" applyFill="1" applyBorder="1"/>
    <xf numFmtId="0" fontId="12" fillId="11" borderId="0" xfId="0" applyFont="1" applyFill="1" applyAlignment="1">
      <alignment horizontal="right" vertical="center"/>
    </xf>
    <xf numFmtId="0" fontId="21" fillId="11" borderId="0" xfId="0" applyFont="1" applyFill="1" applyAlignment="1">
      <alignment horizontal="left" indent="1"/>
    </xf>
    <xf numFmtId="0" fontId="0" fillId="11" borderId="0" xfId="0" applyFill="1" applyAlignment="1">
      <alignment horizontal="center"/>
    </xf>
    <xf numFmtId="0" fontId="23" fillId="11" borderId="0" xfId="0" applyFont="1" applyFill="1" applyAlignment="1">
      <alignment vertical="top" wrapText="1"/>
    </xf>
    <xf numFmtId="0" fontId="23" fillId="11" borderId="42" xfId="0" applyFont="1" applyFill="1" applyBorder="1" applyAlignment="1">
      <alignment horizontal="left" vertical="center" wrapText="1"/>
    </xf>
    <xf numFmtId="0" fontId="3" fillId="11" borderId="0" xfId="0" applyFont="1" applyFill="1" applyAlignment="1">
      <alignment horizontal="right" vertical="center" wrapText="1"/>
    </xf>
    <xf numFmtId="1" fontId="3" fillId="11" borderId="55" xfId="0" applyNumberFormat="1" applyFont="1" applyFill="1" applyBorder="1" applyAlignment="1">
      <alignment horizontal="center" vertical="center"/>
    </xf>
    <xf numFmtId="1" fontId="3" fillId="11" borderId="56" xfId="0" applyNumberFormat="1" applyFont="1" applyFill="1" applyBorder="1" applyAlignment="1">
      <alignment horizontal="center" vertical="center"/>
    </xf>
    <xf numFmtId="2" fontId="29" fillId="11" borderId="57" xfId="0" applyNumberFormat="1" applyFont="1" applyFill="1" applyBorder="1" applyAlignment="1">
      <alignment horizontal="center" vertical="center"/>
    </xf>
    <xf numFmtId="1" fontId="30" fillId="11" borderId="58" xfId="0" applyNumberFormat="1" applyFont="1" applyFill="1" applyBorder="1" applyAlignment="1">
      <alignment horizontal="center" vertical="center"/>
    </xf>
    <xf numFmtId="0" fontId="0" fillId="11" borderId="43" xfId="0" applyFill="1" applyBorder="1"/>
    <xf numFmtId="0" fontId="23" fillId="11" borderId="44" xfId="0" applyFont="1" applyFill="1" applyBorder="1" applyAlignment="1">
      <alignment vertical="center" wrapText="1"/>
    </xf>
    <xf numFmtId="0" fontId="23" fillId="11" borderId="44" xfId="0" applyFont="1" applyFill="1" applyBorder="1" applyAlignment="1">
      <alignment vertical="center"/>
    </xf>
    <xf numFmtId="0" fontId="0" fillId="2" borderId="38" xfId="0" applyFill="1" applyBorder="1"/>
    <xf numFmtId="0" fontId="18" fillId="2" borderId="39" xfId="0" applyFont="1" applyFill="1" applyBorder="1" applyAlignment="1">
      <alignment vertical="center"/>
    </xf>
    <xf numFmtId="0" fontId="0" fillId="2" borderId="39" xfId="0" applyFill="1" applyBorder="1" applyAlignment="1">
      <alignment horizontal="center"/>
    </xf>
    <xf numFmtId="0" fontId="31" fillId="2" borderId="39" xfId="0" applyFont="1" applyFill="1" applyBorder="1" applyAlignment="1">
      <alignment horizontal="center"/>
    </xf>
    <xf numFmtId="0" fontId="0" fillId="2" borderId="39" xfId="0" applyFill="1" applyBorder="1" applyAlignment="1">
      <alignment horizontal="center" vertical="center"/>
    </xf>
    <xf numFmtId="0" fontId="0" fillId="2" borderId="40" xfId="0" applyFill="1" applyBorder="1" applyAlignment="1">
      <alignment horizontal="center"/>
    </xf>
    <xf numFmtId="0" fontId="0" fillId="2" borderId="41" xfId="0" applyFill="1" applyBorder="1"/>
    <xf numFmtId="0" fontId="21" fillId="2" borderId="0" xfId="0" applyFont="1" applyFill="1" applyAlignment="1">
      <alignment horizontal="left" indent="1"/>
    </xf>
    <xf numFmtId="0" fontId="0" fillId="2" borderId="0" xfId="0" applyFill="1" applyAlignment="1">
      <alignment horizontal="center"/>
    </xf>
    <xf numFmtId="0" fontId="0" fillId="2" borderId="0" xfId="0" applyFill="1" applyAlignment="1">
      <alignment horizontal="center" vertical="center"/>
    </xf>
    <xf numFmtId="0" fontId="0" fillId="2" borderId="0" xfId="0" applyFill="1"/>
    <xf numFmtId="0" fontId="0" fillId="2" borderId="42" xfId="0" applyFill="1" applyBorder="1" applyAlignment="1">
      <alignment horizontal="center"/>
    </xf>
    <xf numFmtId="0" fontId="12" fillId="2" borderId="0" xfId="0" applyFont="1" applyFill="1" applyAlignment="1">
      <alignment horizontal="left" indent="3"/>
    </xf>
    <xf numFmtId="0" fontId="0" fillId="2" borderId="0" xfId="0" applyFill="1" applyAlignment="1">
      <alignment horizontal="right" vertical="center"/>
    </xf>
    <xf numFmtId="167" fontId="3" fillId="2" borderId="1" xfId="4" applyNumberFormat="1" applyFill="1" applyBorder="1" applyAlignment="1">
      <alignment horizontal="center" vertical="center"/>
    </xf>
    <xf numFmtId="166" fontId="3" fillId="2" borderId="0" xfId="0" applyNumberFormat="1" applyFont="1" applyFill="1" applyAlignment="1">
      <alignment horizontal="right" vertical="center"/>
    </xf>
    <xf numFmtId="9" fontId="3" fillId="2" borderId="1" xfId="4"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166" fontId="2" fillId="2" borderId="0" xfId="0" applyNumberFormat="1" applyFont="1" applyFill="1" applyAlignment="1">
      <alignment horizontal="center" vertical="center"/>
    </xf>
    <xf numFmtId="171" fontId="12" fillId="2" borderId="0" xfId="0" applyNumberFormat="1" applyFont="1" applyFill="1" applyAlignment="1">
      <alignment horizontal="left" vertical="center"/>
    </xf>
    <xf numFmtId="166" fontId="12" fillId="2" borderId="0" xfId="0" applyNumberFormat="1" applyFont="1" applyFill="1" applyAlignment="1">
      <alignment horizontal="left" vertical="center" indent="2"/>
    </xf>
    <xf numFmtId="166" fontId="2" fillId="2" borderId="1" xfId="0" applyNumberFormat="1" applyFont="1" applyFill="1" applyBorder="1" applyAlignment="1">
      <alignment horizontal="center" vertical="center"/>
    </xf>
    <xf numFmtId="166" fontId="12" fillId="2" borderId="0" xfId="0" applyNumberFormat="1" applyFont="1" applyFill="1" applyAlignment="1">
      <alignment horizontal="left" vertical="center" indent="5"/>
    </xf>
    <xf numFmtId="166" fontId="12" fillId="2" borderId="0" xfId="0" applyNumberFormat="1" applyFont="1" applyFill="1" applyAlignment="1">
      <alignment horizontal="left" vertical="center"/>
    </xf>
    <xf numFmtId="166" fontId="12" fillId="2" borderId="0" xfId="0" applyNumberFormat="1" applyFont="1" applyFill="1" applyAlignment="1">
      <alignment vertical="top" wrapText="1"/>
    </xf>
    <xf numFmtId="166" fontId="12" fillId="2" borderId="42" xfId="0" applyNumberFormat="1" applyFont="1" applyFill="1" applyBorder="1" applyAlignment="1">
      <alignment vertical="top" wrapText="1"/>
    </xf>
    <xf numFmtId="0" fontId="12" fillId="2" borderId="0" xfId="0" applyFont="1" applyFill="1" applyAlignment="1">
      <alignment horizontal="left" vertical="center" indent="1"/>
    </xf>
    <xf numFmtId="166" fontId="12" fillId="2" borderId="0" xfId="0" applyNumberFormat="1" applyFont="1" applyFill="1" applyAlignment="1">
      <alignment horizontal="left" vertical="center" indent="3"/>
    </xf>
    <xf numFmtId="166" fontId="12" fillId="2" borderId="44" xfId="0" applyNumberFormat="1" applyFont="1" applyFill="1" applyBorder="1" applyAlignment="1">
      <alignment vertical="top" wrapText="1"/>
    </xf>
    <xf numFmtId="166" fontId="12" fillId="2" borderId="45" xfId="0" applyNumberFormat="1" applyFont="1" applyFill="1" applyBorder="1" applyAlignment="1">
      <alignment vertical="top" wrapText="1"/>
    </xf>
    <xf numFmtId="0" fontId="0" fillId="2" borderId="38" xfId="0" applyFill="1" applyBorder="1" applyAlignment="1">
      <alignment horizontal="center" vertical="center"/>
    </xf>
    <xf numFmtId="166" fontId="2" fillId="2" borderId="39" xfId="0" applyNumberFormat="1" applyFont="1" applyFill="1" applyBorder="1" applyAlignment="1">
      <alignment horizontal="center" vertical="center"/>
    </xf>
    <xf numFmtId="0" fontId="33" fillId="2" borderId="0" xfId="0" applyFont="1" applyFill="1" applyAlignment="1">
      <alignment horizontal="center"/>
    </xf>
    <xf numFmtId="0" fontId="33" fillId="2" borderId="0" xfId="0" applyFont="1" applyFill="1" applyAlignment="1">
      <alignment horizontal="center" vertical="center"/>
    </xf>
    <xf numFmtId="166" fontId="23" fillId="2" borderId="0" xfId="0" applyNumberFormat="1" applyFont="1" applyFill="1" applyAlignment="1">
      <alignment vertical="center" wrapText="1"/>
    </xf>
    <xf numFmtId="0" fontId="0" fillId="2" borderId="44" xfId="0" applyFill="1" applyBorder="1" applyAlignment="1">
      <alignment horizontal="center"/>
    </xf>
    <xf numFmtId="0" fontId="0" fillId="2" borderId="44" xfId="0" applyFill="1" applyBorder="1"/>
    <xf numFmtId="0" fontId="35" fillId="2" borderId="44" xfId="0" applyFont="1" applyFill="1" applyBorder="1" applyAlignment="1">
      <alignment horizontal="left" vertical="center"/>
    </xf>
    <xf numFmtId="0" fontId="0" fillId="2" borderId="45" xfId="0" applyFill="1" applyBorder="1"/>
    <xf numFmtId="0" fontId="0" fillId="9" borderId="40" xfId="0" applyFill="1" applyBorder="1" applyAlignment="1">
      <alignment horizontal="center"/>
    </xf>
    <xf numFmtId="0" fontId="0" fillId="9" borderId="42" xfId="0" applyFill="1" applyBorder="1" applyAlignment="1">
      <alignment horizontal="center"/>
    </xf>
    <xf numFmtId="0" fontId="3" fillId="0" borderId="0" xfId="0" applyFont="1" applyAlignment="1">
      <alignment vertical="center"/>
    </xf>
    <xf numFmtId="0" fontId="3" fillId="9" borderId="41" xfId="0" applyFont="1" applyFill="1" applyBorder="1" applyAlignment="1">
      <alignment vertical="center"/>
    </xf>
    <xf numFmtId="0" fontId="21" fillId="9" borderId="0" xfId="0" applyFont="1" applyFill="1" applyAlignment="1">
      <alignment horizontal="left" vertical="center" indent="1"/>
    </xf>
    <xf numFmtId="0" fontId="3" fillId="9" borderId="42" xfId="0" applyFont="1" applyFill="1" applyBorder="1" applyAlignment="1">
      <alignment horizontal="center" vertical="center"/>
    </xf>
    <xf numFmtId="0" fontId="3" fillId="0" borderId="0" xfId="0" applyFont="1" applyAlignment="1">
      <alignment horizontal="center" vertical="center"/>
    </xf>
    <xf numFmtId="1" fontId="3" fillId="9" borderId="59" xfId="0" applyNumberFormat="1" applyFont="1" applyFill="1" applyBorder="1" applyAlignment="1">
      <alignment horizontal="center" vertical="center"/>
    </xf>
    <xf numFmtId="1" fontId="2" fillId="9" borderId="36" xfId="0" applyNumberFormat="1" applyFont="1" applyFill="1" applyBorder="1" applyAlignment="1">
      <alignment horizontal="center" vertical="center"/>
    </xf>
    <xf numFmtId="0" fontId="12" fillId="9" borderId="0" xfId="0" applyFont="1" applyFill="1" applyAlignment="1">
      <alignment horizontal="right" vertical="center"/>
    </xf>
    <xf numFmtId="1" fontId="36" fillId="9" borderId="64" xfId="0" applyNumberFormat="1" applyFont="1" applyFill="1" applyBorder="1" applyAlignment="1">
      <alignment horizontal="center" vertical="center"/>
    </xf>
    <xf numFmtId="1" fontId="36" fillId="9" borderId="64" xfId="0" quotePrefix="1" applyNumberFormat="1" applyFont="1" applyFill="1" applyBorder="1" applyAlignment="1">
      <alignment horizontal="center" vertical="center"/>
    </xf>
    <xf numFmtId="1" fontId="36" fillId="9" borderId="65" xfId="0" applyNumberFormat="1" applyFont="1" applyFill="1" applyBorder="1" applyAlignment="1">
      <alignment horizontal="center" vertical="center"/>
    </xf>
    <xf numFmtId="0" fontId="0" fillId="9" borderId="43" xfId="0" applyFill="1" applyBorder="1"/>
    <xf numFmtId="0" fontId="0" fillId="12" borderId="0" xfId="0" applyFill="1"/>
    <xf numFmtId="0" fontId="23" fillId="12" borderId="0" xfId="0" applyFont="1" applyFill="1" applyAlignment="1">
      <alignment horizontal="center" vertical="center" wrapText="1"/>
    </xf>
    <xf numFmtId="0" fontId="0" fillId="12" borderId="0" xfId="0" applyFill="1" applyAlignment="1">
      <alignment horizontal="center"/>
    </xf>
    <xf numFmtId="0" fontId="3" fillId="12" borderId="0" xfId="0" applyFont="1" applyFill="1"/>
    <xf numFmtId="0" fontId="23" fillId="0" borderId="0" xfId="0" applyFont="1" applyAlignment="1">
      <alignment horizontal="center" vertical="center" wrapText="1"/>
    </xf>
    <xf numFmtId="0" fontId="12" fillId="0" borderId="0" xfId="0" applyFont="1" applyAlignment="1">
      <alignment vertical="top"/>
    </xf>
    <xf numFmtId="0" fontId="12" fillId="0" borderId="0" xfId="0" applyFont="1" applyAlignment="1">
      <alignment vertical="top" wrapText="1"/>
    </xf>
    <xf numFmtId="0" fontId="38" fillId="0" borderId="0" xfId="5" applyFont="1" applyAlignment="1" applyProtection="1">
      <alignment horizontal="left" vertical="top" wrapText="1"/>
    </xf>
    <xf numFmtId="0" fontId="22" fillId="0" borderId="0" xfId="0" applyFont="1" applyAlignment="1">
      <alignment horizontal="center"/>
    </xf>
    <xf numFmtId="0" fontId="22" fillId="0" borderId="0" xfId="0" applyFont="1"/>
    <xf numFmtId="0" fontId="0" fillId="0" borderId="0" xfId="0" applyAlignment="1">
      <alignment horizontal="left"/>
    </xf>
    <xf numFmtId="0" fontId="37" fillId="0" borderId="0" xfId="5" applyAlignment="1" applyProtection="1"/>
    <xf numFmtId="0" fontId="37" fillId="0" borderId="0" xfId="5" applyAlignment="1" applyProtection="1">
      <alignment horizontal="left"/>
    </xf>
    <xf numFmtId="0" fontId="3" fillId="0" borderId="0" xfId="3"/>
    <xf numFmtId="0" fontId="3" fillId="0" borderId="0" xfId="3" applyAlignment="1">
      <alignment horizontal="center"/>
    </xf>
    <xf numFmtId="0" fontId="3" fillId="9" borderId="38" xfId="3" applyFill="1" applyBorder="1"/>
    <xf numFmtId="0" fontId="18" fillId="9" borderId="39" xfId="3" applyFont="1" applyFill="1" applyBorder="1" applyAlignment="1">
      <alignment vertical="center"/>
    </xf>
    <xf numFmtId="0" fontId="3" fillId="9" borderId="39" xfId="3" applyFill="1" applyBorder="1" applyAlignment="1">
      <alignment horizontal="center"/>
    </xf>
    <xf numFmtId="0" fontId="19" fillId="9" borderId="40" xfId="3" applyFont="1" applyFill="1" applyBorder="1" applyAlignment="1" applyProtection="1">
      <alignment horizontal="center"/>
      <protection hidden="1"/>
    </xf>
    <xf numFmtId="0" fontId="3" fillId="9" borderId="41" xfId="3" applyFill="1" applyBorder="1"/>
    <xf numFmtId="0" fontId="18" fillId="9" borderId="0" xfId="3" applyFont="1" applyFill="1" applyAlignment="1">
      <alignment vertical="center"/>
    </xf>
    <xf numFmtId="0" fontId="3" fillId="9" borderId="0" xfId="3" applyFill="1" applyAlignment="1">
      <alignment horizontal="center"/>
    </xf>
    <xf numFmtId="0" fontId="21" fillId="9" borderId="0" xfId="3" applyFont="1" applyFill="1" applyAlignment="1">
      <alignment horizontal="left" indent="1"/>
    </xf>
    <xf numFmtId="0" fontId="3" fillId="9" borderId="41" xfId="3" applyFill="1" applyBorder="1" applyAlignment="1">
      <alignment horizontal="center" vertical="center"/>
    </xf>
    <xf numFmtId="0" fontId="3" fillId="9" borderId="0" xfId="3" applyFill="1" applyAlignment="1">
      <alignment horizontal="right"/>
    </xf>
    <xf numFmtId="0" fontId="22" fillId="9" borderId="0" xfId="3" applyFont="1" applyFill="1" applyAlignment="1">
      <alignment vertical="center" wrapText="1"/>
    </xf>
    <xf numFmtId="0" fontId="3" fillId="9" borderId="42" xfId="3" applyFill="1" applyBorder="1" applyAlignment="1">
      <alignment horizontal="center" vertical="center"/>
    </xf>
    <xf numFmtId="0" fontId="3" fillId="0" borderId="0" xfId="3" applyAlignment="1">
      <alignment horizontal="center" vertical="center"/>
    </xf>
    <xf numFmtId="0" fontId="22" fillId="9" borderId="0" xfId="3" applyFont="1" applyFill="1" applyAlignment="1">
      <alignment horizontal="right" vertical="center"/>
    </xf>
    <xf numFmtId="0" fontId="22" fillId="9" borderId="0" xfId="3" applyFont="1" applyFill="1" applyAlignment="1">
      <alignment horizontal="right"/>
    </xf>
    <xf numFmtId="0" fontId="22" fillId="9" borderId="0" xfId="3" applyFont="1" applyFill="1" applyAlignment="1">
      <alignment vertical="center"/>
    </xf>
    <xf numFmtId="0" fontId="3" fillId="9" borderId="0" xfId="3" applyFill="1"/>
    <xf numFmtId="0" fontId="23" fillId="9" borderId="0" xfId="3" applyFont="1" applyFill="1" applyAlignment="1">
      <alignment vertical="top" wrapText="1"/>
    </xf>
    <xf numFmtId="0" fontId="23" fillId="9" borderId="42" xfId="3" applyFont="1" applyFill="1" applyBorder="1" applyAlignment="1">
      <alignment vertical="top" wrapText="1"/>
    </xf>
    <xf numFmtId="0" fontId="3" fillId="9" borderId="0" xfId="3" applyFill="1" applyAlignment="1">
      <alignment horizontal="center" vertical="center"/>
    </xf>
    <xf numFmtId="0" fontId="3" fillId="9" borderId="0" xfId="3" applyFill="1" applyAlignment="1">
      <alignment horizontal="right" vertical="center"/>
    </xf>
    <xf numFmtId="0" fontId="25" fillId="9" borderId="0" xfId="3" applyFont="1" applyFill="1" applyAlignment="1">
      <alignment horizontal="right" vertical="center"/>
    </xf>
    <xf numFmtId="2" fontId="25" fillId="9" borderId="1" xfId="3" applyNumberFormat="1" applyFont="1" applyFill="1" applyBorder="1" applyAlignment="1">
      <alignment horizontal="center" vertical="center"/>
    </xf>
    <xf numFmtId="0" fontId="3" fillId="9" borderId="43" xfId="3" applyFill="1" applyBorder="1" applyAlignment="1">
      <alignment horizontal="center" vertical="center"/>
    </xf>
    <xf numFmtId="0" fontId="3" fillId="9" borderId="44" xfId="3" applyFill="1" applyBorder="1" applyAlignment="1">
      <alignment horizontal="right" vertical="center"/>
    </xf>
    <xf numFmtId="0" fontId="3" fillId="9" borderId="44" xfId="3" applyFill="1" applyBorder="1" applyAlignment="1">
      <alignment horizontal="center" vertical="center"/>
    </xf>
    <xf numFmtId="0" fontId="23" fillId="9" borderId="44" xfId="3" applyFont="1" applyFill="1" applyBorder="1" applyAlignment="1">
      <alignment vertical="top" wrapText="1"/>
    </xf>
    <xf numFmtId="0" fontId="3" fillId="10" borderId="38" xfId="3" applyFill="1" applyBorder="1" applyAlignment="1">
      <alignment horizontal="center" vertical="center"/>
    </xf>
    <xf numFmtId="0" fontId="18" fillId="10" borderId="39" xfId="3" applyFont="1" applyFill="1" applyBorder="1" applyAlignment="1">
      <alignment vertical="center"/>
    </xf>
    <xf numFmtId="0" fontId="3" fillId="10" borderId="39" xfId="3" applyFill="1" applyBorder="1" applyAlignment="1">
      <alignment horizontal="center" vertical="center"/>
    </xf>
    <xf numFmtId="0" fontId="25" fillId="10" borderId="39" xfId="3" applyFont="1" applyFill="1" applyBorder="1" applyAlignment="1">
      <alignment horizontal="center" vertical="center"/>
    </xf>
    <xf numFmtId="0" fontId="25" fillId="10" borderId="0" xfId="3" applyFont="1" applyFill="1" applyAlignment="1">
      <alignment horizontal="center" vertical="center"/>
    </xf>
    <xf numFmtId="0" fontId="23" fillId="10" borderId="40" xfId="3" applyFont="1" applyFill="1" applyBorder="1" applyAlignment="1">
      <alignment horizontal="left" vertical="top" wrapText="1"/>
    </xf>
    <xf numFmtId="0" fontId="3" fillId="10" borderId="41" xfId="3" applyFill="1" applyBorder="1" applyAlignment="1">
      <alignment horizontal="center" vertical="center"/>
    </xf>
    <xf numFmtId="0" fontId="18" fillId="10" borderId="0" xfId="3" applyFont="1" applyFill="1" applyAlignment="1">
      <alignment vertical="center"/>
    </xf>
    <xf numFmtId="0" fontId="3" fillId="10" borderId="0" xfId="3" applyFill="1" applyAlignment="1">
      <alignment horizontal="center" vertical="center"/>
    </xf>
    <xf numFmtId="0" fontId="25" fillId="10" borderId="0" xfId="3" applyFont="1" applyFill="1" applyAlignment="1">
      <alignment horizontal="right" vertical="center"/>
    </xf>
    <xf numFmtId="0" fontId="25" fillId="10" borderId="46" xfId="3" quotePrefix="1" applyFont="1" applyFill="1" applyBorder="1" applyAlignment="1">
      <alignment horizontal="left" vertical="center"/>
    </xf>
    <xf numFmtId="2" fontId="25" fillId="10" borderId="47" xfId="3" applyNumberFormat="1" applyFont="1" applyFill="1" applyBorder="1" applyAlignment="1">
      <alignment horizontal="center" vertical="center"/>
    </xf>
    <xf numFmtId="0" fontId="23" fillId="10" borderId="42" xfId="3" applyFont="1" applyFill="1" applyBorder="1" applyAlignment="1">
      <alignment horizontal="left" vertical="top" wrapText="1"/>
    </xf>
    <xf numFmtId="0" fontId="26" fillId="10" borderId="0" xfId="3" applyFont="1" applyFill="1" applyAlignment="1">
      <alignment vertical="top" wrapText="1"/>
    </xf>
    <xf numFmtId="0" fontId="22" fillId="10" borderId="0" xfId="3" applyFont="1" applyFill="1" applyAlignment="1">
      <alignment horizontal="center" vertical="center"/>
    </xf>
    <xf numFmtId="0" fontId="25" fillId="10" borderId="48" xfId="3" applyFont="1" applyFill="1" applyBorder="1" applyAlignment="1">
      <alignment horizontal="left" vertical="center"/>
    </xf>
    <xf numFmtId="2" fontId="25" fillId="10" borderId="49" xfId="3" applyNumberFormat="1" applyFont="1" applyFill="1" applyBorder="1" applyAlignment="1">
      <alignment horizontal="center" vertical="center"/>
    </xf>
    <xf numFmtId="0" fontId="23" fillId="10" borderId="42" xfId="3" applyFont="1" applyFill="1" applyBorder="1" applyAlignment="1">
      <alignment vertical="top" wrapText="1"/>
    </xf>
    <xf numFmtId="0" fontId="27" fillId="10" borderId="6" xfId="3" applyFont="1" applyFill="1" applyBorder="1" applyAlignment="1">
      <alignment horizontal="center" vertical="center"/>
    </xf>
    <xf numFmtId="2" fontId="25" fillId="10" borderId="50" xfId="3" applyNumberFormat="1" applyFont="1" applyFill="1" applyBorder="1" applyAlignment="1">
      <alignment horizontal="center" vertical="center"/>
    </xf>
    <xf numFmtId="0" fontId="25" fillId="10" borderId="51" xfId="3" applyFont="1" applyFill="1" applyBorder="1" applyAlignment="1">
      <alignment horizontal="left" vertical="center"/>
    </xf>
    <xf numFmtId="2" fontId="25" fillId="10" borderId="52" xfId="3" applyNumberFormat="1" applyFont="1" applyFill="1" applyBorder="1" applyAlignment="1">
      <alignment horizontal="center" vertical="center"/>
    </xf>
    <xf numFmtId="0" fontId="21" fillId="10" borderId="0" xfId="3" applyFont="1" applyFill="1" applyAlignment="1">
      <alignment horizontal="left" indent="1"/>
    </xf>
    <xf numFmtId="0" fontId="12" fillId="10" borderId="0" xfId="3" applyFont="1" applyFill="1" applyAlignment="1">
      <alignment horizontal="right" vertical="center"/>
    </xf>
    <xf numFmtId="0" fontId="21" fillId="10" borderId="0" xfId="3" applyFont="1" applyFill="1" applyAlignment="1">
      <alignment horizontal="center" vertical="center"/>
    </xf>
    <xf numFmtId="0" fontId="12" fillId="10" borderId="0" xfId="3" applyFont="1" applyFill="1" applyAlignment="1">
      <alignment horizontal="center" vertical="center"/>
    </xf>
    <xf numFmtId="2" fontId="3" fillId="10" borderId="0" xfId="3" applyNumberFormat="1" applyFill="1" applyAlignment="1">
      <alignment horizontal="center" vertical="center"/>
    </xf>
    <xf numFmtId="166" fontId="25" fillId="10" borderId="0" xfId="3" applyNumberFormat="1" applyFont="1" applyFill="1" applyAlignment="1">
      <alignment horizontal="center" vertical="center"/>
    </xf>
    <xf numFmtId="0" fontId="12" fillId="10" borderId="0" xfId="3" applyFont="1" applyFill="1" applyAlignment="1">
      <alignment horizontal="right" vertical="center" wrapText="1"/>
    </xf>
    <xf numFmtId="0" fontId="3" fillId="10" borderId="43" xfId="3" applyFill="1" applyBorder="1"/>
    <xf numFmtId="0" fontId="21" fillId="10" borderId="44" xfId="3" applyFont="1" applyFill="1" applyBorder="1" applyAlignment="1">
      <alignment horizontal="left" indent="1"/>
    </xf>
    <xf numFmtId="0" fontId="39" fillId="10" borderId="44" xfId="3" applyFont="1" applyFill="1" applyBorder="1" applyAlignment="1">
      <alignment horizontal="left" indent="1"/>
    </xf>
    <xf numFmtId="0" fontId="23" fillId="10" borderId="44" xfId="3" applyFont="1" applyFill="1" applyBorder="1" applyAlignment="1">
      <alignment vertical="center" wrapText="1"/>
    </xf>
    <xf numFmtId="0" fontId="3" fillId="11" borderId="38" xfId="3" applyFill="1" applyBorder="1"/>
    <xf numFmtId="0" fontId="18" fillId="11" borderId="39" xfId="3" applyFont="1" applyFill="1" applyBorder="1" applyAlignment="1">
      <alignment vertical="center"/>
    </xf>
    <xf numFmtId="0" fontId="12" fillId="11" borderId="39" xfId="3" applyFont="1" applyFill="1" applyBorder="1" applyAlignment="1">
      <alignment horizontal="right" vertical="center"/>
    </xf>
    <xf numFmtId="0" fontId="12" fillId="11" borderId="39" xfId="3" applyFont="1" applyFill="1" applyBorder="1" applyAlignment="1">
      <alignment horizontal="center" vertical="center"/>
    </xf>
    <xf numFmtId="0" fontId="23" fillId="11" borderId="39" xfId="3" applyFont="1" applyFill="1" applyBorder="1" applyAlignment="1">
      <alignment horizontal="left" vertical="center" wrapText="1"/>
    </xf>
    <xf numFmtId="0" fontId="3" fillId="11" borderId="41" xfId="3" applyFill="1" applyBorder="1"/>
    <xf numFmtId="0" fontId="12" fillId="11" borderId="0" xfId="3" applyFont="1" applyFill="1" applyAlignment="1">
      <alignment horizontal="right" vertical="center"/>
    </xf>
    <xf numFmtId="0" fontId="21" fillId="11" borderId="0" xfId="3" applyFont="1" applyFill="1" applyAlignment="1">
      <alignment horizontal="left" indent="1"/>
    </xf>
    <xf numFmtId="0" fontId="3" fillId="11" borderId="0" xfId="3" applyFill="1" applyAlignment="1">
      <alignment horizontal="center"/>
    </xf>
    <xf numFmtId="0" fontId="23" fillId="11" borderId="0" xfId="3" applyFont="1" applyFill="1" applyAlignment="1">
      <alignment vertical="top" wrapText="1"/>
    </xf>
    <xf numFmtId="0" fontId="23" fillId="11" borderId="42" xfId="3" applyFont="1" applyFill="1" applyBorder="1" applyAlignment="1">
      <alignment horizontal="left" vertical="center" wrapText="1"/>
    </xf>
    <xf numFmtId="0" fontId="3" fillId="11" borderId="0" xfId="3" applyFill="1" applyAlignment="1">
      <alignment horizontal="right" vertical="center" wrapText="1"/>
    </xf>
    <xf numFmtId="1" fontId="3" fillId="11" borderId="55" xfId="3" applyNumberFormat="1" applyFill="1" applyBorder="1" applyAlignment="1">
      <alignment horizontal="center" vertical="center"/>
    </xf>
    <xf numFmtId="1" fontId="3" fillId="11" borderId="56" xfId="3" applyNumberFormat="1" applyFill="1" applyBorder="1" applyAlignment="1">
      <alignment horizontal="center" vertical="center"/>
    </xf>
    <xf numFmtId="2" fontId="29" fillId="11" borderId="57" xfId="3" applyNumberFormat="1" applyFont="1" applyFill="1" applyBorder="1" applyAlignment="1">
      <alignment horizontal="center" vertical="center"/>
    </xf>
    <xf numFmtId="1" fontId="30" fillId="11" borderId="58" xfId="3" applyNumberFormat="1" applyFont="1" applyFill="1" applyBorder="1" applyAlignment="1">
      <alignment horizontal="center" vertical="center"/>
    </xf>
    <xf numFmtId="0" fontId="3" fillId="11" borderId="43" xfId="3" applyFill="1" applyBorder="1"/>
    <xf numFmtId="0" fontId="23" fillId="11" borderId="44" xfId="3" applyFont="1" applyFill="1" applyBorder="1" applyAlignment="1">
      <alignment vertical="center" wrapText="1"/>
    </xf>
    <xf numFmtId="0" fontId="23" fillId="11" borderId="44" xfId="3" applyFont="1" applyFill="1" applyBorder="1" applyAlignment="1">
      <alignment vertical="center"/>
    </xf>
    <xf numFmtId="0" fontId="3" fillId="2" borderId="38" xfId="3" applyFill="1" applyBorder="1"/>
    <xf numFmtId="0" fontId="18" fillId="2" borderId="39" xfId="3" applyFont="1" applyFill="1" applyBorder="1" applyAlignment="1">
      <alignment vertical="center"/>
    </xf>
    <xf numFmtId="0" fontId="3" fillId="2" borderId="39" xfId="3" applyFill="1" applyBorder="1" applyAlignment="1">
      <alignment horizontal="center"/>
    </xf>
    <xf numFmtId="0" fontId="31" fillId="2" borderId="39" xfId="3" applyFont="1" applyFill="1" applyBorder="1" applyAlignment="1">
      <alignment horizontal="center"/>
    </xf>
    <xf numFmtId="0" fontId="3" fillId="2" borderId="39" xfId="3" applyFill="1" applyBorder="1" applyAlignment="1">
      <alignment horizontal="center" vertical="center"/>
    </xf>
    <xf numFmtId="0" fontId="3" fillId="2" borderId="40" xfId="3" applyFill="1" applyBorder="1" applyAlignment="1">
      <alignment horizontal="center"/>
    </xf>
    <xf numFmtId="0" fontId="3" fillId="2" borderId="41" xfId="3" applyFill="1" applyBorder="1"/>
    <xf numFmtId="0" fontId="21" fillId="2" borderId="0" xfId="3" applyFont="1" applyFill="1" applyAlignment="1">
      <alignment horizontal="left" indent="1"/>
    </xf>
    <xf numFmtId="0" fontId="3" fillId="2" borderId="0" xfId="3" applyFill="1" applyAlignment="1">
      <alignment horizontal="center"/>
    </xf>
    <xf numFmtId="0" fontId="3" fillId="2" borderId="0" xfId="3" applyFill="1" applyAlignment="1">
      <alignment horizontal="center" vertical="center"/>
    </xf>
    <xf numFmtId="0" fontId="3" fillId="2" borderId="0" xfId="3" applyFill="1"/>
    <xf numFmtId="0" fontId="3" fillId="2" borderId="42" xfId="3" applyFill="1" applyBorder="1" applyAlignment="1">
      <alignment horizontal="center"/>
    </xf>
    <xf numFmtId="0" fontId="12" fillId="2" borderId="0" xfId="3" applyFont="1" applyFill="1" applyAlignment="1">
      <alignment horizontal="left" indent="3"/>
    </xf>
    <xf numFmtId="0" fontId="3" fillId="2" borderId="0" xfId="3" applyFill="1" applyAlignment="1">
      <alignment horizontal="right" vertical="center"/>
    </xf>
    <xf numFmtId="166" fontId="3" fillId="2" borderId="0" xfId="3" applyNumberFormat="1" applyFill="1" applyAlignment="1">
      <alignment horizontal="right" vertical="center"/>
    </xf>
    <xf numFmtId="0" fontId="3" fillId="2" borderId="41" xfId="3" applyFill="1" applyBorder="1" applyAlignment="1">
      <alignment horizontal="center" vertical="center"/>
    </xf>
    <xf numFmtId="0" fontId="3" fillId="2" borderId="42" xfId="3" applyFill="1" applyBorder="1" applyAlignment="1">
      <alignment horizontal="center" vertical="center"/>
    </xf>
    <xf numFmtId="166" fontId="25" fillId="2" borderId="0" xfId="3" applyNumberFormat="1" applyFont="1" applyFill="1" applyAlignment="1">
      <alignment horizontal="right" vertical="center"/>
    </xf>
    <xf numFmtId="166" fontId="25" fillId="2" borderId="1" xfId="3" applyNumberFormat="1" applyFont="1" applyFill="1" applyBorder="1" applyAlignment="1">
      <alignment horizontal="center" vertical="center"/>
    </xf>
    <xf numFmtId="166" fontId="12" fillId="2" borderId="0" xfId="3" applyNumberFormat="1" applyFont="1" applyFill="1" applyAlignment="1">
      <alignment horizontal="left" vertical="center" indent="2"/>
    </xf>
    <xf numFmtId="166" fontId="2" fillId="2" borderId="1" xfId="3" applyNumberFormat="1" applyFont="1" applyFill="1" applyBorder="1" applyAlignment="1">
      <alignment horizontal="center" vertical="center"/>
    </xf>
    <xf numFmtId="166" fontId="2" fillId="2" borderId="0" xfId="3" applyNumberFormat="1" applyFont="1" applyFill="1" applyAlignment="1">
      <alignment horizontal="center" vertical="center"/>
    </xf>
    <xf numFmtId="171" fontId="12" fillId="2" borderId="0" xfId="3" applyNumberFormat="1" applyFont="1" applyFill="1" applyAlignment="1">
      <alignment horizontal="left" vertical="center"/>
    </xf>
    <xf numFmtId="166" fontId="12" fillId="2" borderId="0" xfId="3" applyNumberFormat="1" applyFont="1" applyFill="1" applyAlignment="1">
      <alignment horizontal="left" vertical="center"/>
    </xf>
    <xf numFmtId="166" fontId="12" fillId="2" borderId="0" xfId="3" applyNumberFormat="1" applyFont="1" applyFill="1" applyAlignment="1">
      <alignment vertical="top" wrapText="1"/>
    </xf>
    <xf numFmtId="166" fontId="12" fillId="2" borderId="42" xfId="3" applyNumberFormat="1" applyFont="1" applyFill="1" applyBorder="1" applyAlignment="1">
      <alignment vertical="top" wrapText="1"/>
    </xf>
    <xf numFmtId="0" fontId="12" fillId="2" borderId="0" xfId="3" applyFont="1" applyFill="1" applyAlignment="1">
      <alignment horizontal="left" vertical="center" indent="1"/>
    </xf>
    <xf numFmtId="166" fontId="12" fillId="2" borderId="0" xfId="3" applyNumberFormat="1" applyFont="1" applyFill="1" applyAlignment="1">
      <alignment horizontal="left" vertical="center" indent="3"/>
    </xf>
    <xf numFmtId="166" fontId="12" fillId="2" borderId="44" xfId="3" applyNumberFormat="1" applyFont="1" applyFill="1" applyBorder="1" applyAlignment="1">
      <alignment vertical="top" wrapText="1"/>
    </xf>
    <xf numFmtId="166" fontId="12" fillId="2" borderId="45" xfId="3" applyNumberFormat="1" applyFont="1" applyFill="1" applyBorder="1" applyAlignment="1">
      <alignment vertical="top" wrapText="1"/>
    </xf>
    <xf numFmtId="0" fontId="3" fillId="2" borderId="38" xfId="3" applyFill="1" applyBorder="1" applyAlignment="1">
      <alignment horizontal="center" vertical="center"/>
    </xf>
    <xf numFmtId="166" fontId="2" fillId="2" borderId="39" xfId="3" applyNumberFormat="1" applyFont="1" applyFill="1" applyBorder="1" applyAlignment="1">
      <alignment horizontal="center" vertical="center"/>
    </xf>
    <xf numFmtId="0" fontId="33" fillId="2" borderId="0" xfId="3" applyFont="1" applyFill="1" applyAlignment="1">
      <alignment horizontal="center"/>
    </xf>
    <xf numFmtId="0" fontId="33" fillId="2" borderId="0" xfId="3" applyFont="1" applyFill="1" applyAlignment="1">
      <alignment horizontal="center" vertical="center"/>
    </xf>
    <xf numFmtId="166" fontId="23" fillId="2" borderId="0" xfId="3" applyNumberFormat="1" applyFont="1" applyFill="1" applyAlignment="1">
      <alignment vertical="center" wrapText="1"/>
    </xf>
    <xf numFmtId="0" fontId="3" fillId="2" borderId="44" xfId="3" applyFill="1" applyBorder="1" applyAlignment="1">
      <alignment horizontal="center"/>
    </xf>
    <xf numFmtId="0" fontId="3" fillId="2" borderId="44" xfId="3" applyFill="1" applyBorder="1"/>
    <xf numFmtId="0" fontId="35" fillId="2" borderId="44" xfId="3" applyFont="1" applyFill="1" applyBorder="1" applyAlignment="1">
      <alignment horizontal="left" vertical="center"/>
    </xf>
    <xf numFmtId="0" fontId="3" fillId="2" borderId="45" xfId="3" applyFill="1" applyBorder="1"/>
    <xf numFmtId="0" fontId="3" fillId="9" borderId="40" xfId="3" applyFill="1" applyBorder="1" applyAlignment="1">
      <alignment horizontal="center"/>
    </xf>
    <xf numFmtId="0" fontId="3" fillId="9" borderId="42" xfId="3" applyFill="1" applyBorder="1" applyAlignment="1">
      <alignment horizontal="center"/>
    </xf>
    <xf numFmtId="0" fontId="3" fillId="0" borderId="0" xfId="3" applyAlignment="1">
      <alignment vertical="center"/>
    </xf>
    <xf numFmtId="0" fontId="3" fillId="9" borderId="41" xfId="3" applyFill="1" applyBorder="1" applyAlignment="1">
      <alignment vertical="center"/>
    </xf>
    <xf numFmtId="0" fontId="21" fillId="9" borderId="0" xfId="3" applyFont="1" applyFill="1" applyAlignment="1">
      <alignment horizontal="left" vertical="center" indent="1"/>
    </xf>
    <xf numFmtId="1" fontId="3" fillId="9" borderId="59" xfId="3" applyNumberFormat="1" applyFill="1" applyBorder="1" applyAlignment="1">
      <alignment horizontal="center" vertical="center"/>
    </xf>
    <xf numFmtId="1" fontId="2" fillId="9" borderId="36" xfId="3" applyNumberFormat="1" applyFont="1" applyFill="1" applyBorder="1" applyAlignment="1">
      <alignment horizontal="center" vertical="center"/>
    </xf>
    <xf numFmtId="0" fontId="12" fillId="9" borderId="0" xfId="3" applyFont="1" applyFill="1" applyAlignment="1">
      <alignment horizontal="right" vertical="center"/>
    </xf>
    <xf numFmtId="1" fontId="36" fillId="9" borderId="64" xfId="3" applyNumberFormat="1" applyFont="1" applyFill="1" applyBorder="1" applyAlignment="1">
      <alignment horizontal="center" vertical="center"/>
    </xf>
    <xf numFmtId="1" fontId="36" fillId="9" borderId="64" xfId="3" quotePrefix="1" applyNumberFormat="1" applyFont="1" applyFill="1" applyBorder="1" applyAlignment="1">
      <alignment horizontal="center" vertical="center"/>
    </xf>
    <xf numFmtId="1" fontId="36" fillId="9" borderId="65" xfId="3" applyNumberFormat="1" applyFont="1" applyFill="1" applyBorder="1" applyAlignment="1">
      <alignment horizontal="center" vertical="center"/>
    </xf>
    <xf numFmtId="0" fontId="3" fillId="9" borderId="43" xfId="3" applyFill="1" applyBorder="1"/>
    <xf numFmtId="0" fontId="3" fillId="12" borderId="0" xfId="3" applyFill="1"/>
    <xf numFmtId="0" fontId="23" fillId="12" borderId="0" xfId="3" applyFont="1" applyFill="1" applyAlignment="1">
      <alignment horizontal="center" vertical="center" wrapText="1"/>
    </xf>
    <xf numFmtId="0" fontId="3" fillId="12" borderId="0" xfId="3" applyFill="1" applyAlignment="1">
      <alignment horizontal="center"/>
    </xf>
    <xf numFmtId="0" fontId="23" fillId="0" borderId="0" xfId="3" applyFont="1" applyAlignment="1">
      <alignment horizontal="center" vertical="center" wrapText="1"/>
    </xf>
    <xf numFmtId="0" fontId="12" fillId="0" borderId="0" xfId="3" applyFont="1" applyAlignment="1">
      <alignment vertical="top"/>
    </xf>
    <xf numFmtId="0" fontId="12" fillId="0" borderId="0" xfId="3" applyFont="1" applyAlignment="1">
      <alignment vertical="top" wrapText="1"/>
    </xf>
    <xf numFmtId="0" fontId="22" fillId="0" borderId="0" xfId="3" applyFont="1"/>
    <xf numFmtId="0" fontId="3" fillId="0" borderId="0" xfId="3" applyAlignment="1">
      <alignment horizontal="left"/>
    </xf>
    <xf numFmtId="0" fontId="22" fillId="0" borderId="0" xfId="3" applyFont="1" applyAlignment="1">
      <alignment horizontal="center"/>
    </xf>
    <xf numFmtId="0" fontId="3" fillId="0" borderId="0" xfId="0" applyFont="1" applyAlignment="1">
      <alignment wrapText="1"/>
    </xf>
    <xf numFmtId="0" fontId="14" fillId="0" borderId="1" xfId="0" applyFont="1" applyBorder="1" applyAlignment="1">
      <alignment horizontal="center" vertical="center"/>
    </xf>
    <xf numFmtId="2" fontId="0" fillId="7" borderId="1" xfId="0" applyNumberFormat="1" applyFill="1" applyBorder="1" applyAlignment="1">
      <alignment horizontal="center" vertical="center"/>
    </xf>
    <xf numFmtId="0" fontId="14" fillId="0" borderId="0" xfId="0" applyFont="1" applyAlignment="1">
      <alignment vertical="center"/>
    </xf>
    <xf numFmtId="1" fontId="0" fillId="0" borderId="0" xfId="0" applyNumberFormat="1" applyAlignment="1">
      <alignment horizontal="center"/>
    </xf>
    <xf numFmtId="0" fontId="1" fillId="0" borderId="0" xfId="6"/>
    <xf numFmtId="0" fontId="13" fillId="0" borderId="0" xfId="6" applyFont="1" applyAlignment="1">
      <alignment horizontal="center"/>
    </xf>
    <xf numFmtId="0" fontId="1" fillId="13" borderId="0" xfId="6" applyFill="1"/>
    <xf numFmtId="0" fontId="40" fillId="0" borderId="0" xfId="6" applyFont="1"/>
    <xf numFmtId="0" fontId="13" fillId="0" borderId="0" xfId="6" applyFont="1"/>
    <xf numFmtId="0" fontId="41" fillId="0" borderId="0" xfId="6" applyFont="1"/>
    <xf numFmtId="0" fontId="1" fillId="13" borderId="1" xfId="6" applyFill="1" applyBorder="1"/>
    <xf numFmtId="0" fontId="13" fillId="0" borderId="68" xfId="6" applyFont="1" applyBorder="1" applyAlignment="1">
      <alignment horizontal="right"/>
    </xf>
    <xf numFmtId="2" fontId="13" fillId="13" borderId="69" xfId="6" applyNumberFormat="1" applyFont="1" applyFill="1" applyBorder="1" applyAlignment="1">
      <alignment horizontal="center"/>
    </xf>
    <xf numFmtId="0" fontId="13" fillId="0" borderId="70" xfId="6" applyFont="1" applyBorder="1"/>
    <xf numFmtId="0" fontId="45" fillId="0" borderId="0" xfId="7"/>
    <xf numFmtId="164" fontId="1" fillId="0" borderId="0" xfId="6" applyNumberFormat="1"/>
    <xf numFmtId="11" fontId="1" fillId="0" borderId="0" xfId="6" applyNumberFormat="1"/>
    <xf numFmtId="0" fontId="0" fillId="8" borderId="9" xfId="0" applyFill="1" applyBorder="1" applyAlignment="1" applyProtection="1">
      <alignment horizontal="center"/>
      <protection locked="0"/>
    </xf>
    <xf numFmtId="0" fontId="0" fillId="8" borderId="1" xfId="0" applyFill="1" applyBorder="1" applyProtection="1">
      <protection locked="0"/>
    </xf>
    <xf numFmtId="164" fontId="0" fillId="8" borderId="1" xfId="0" applyNumberFormat="1" applyFill="1" applyBorder="1" applyProtection="1">
      <protection locked="0"/>
    </xf>
    <xf numFmtId="0" fontId="3" fillId="0" borderId="0" xfId="0" applyFont="1" applyAlignment="1">
      <alignment textRotation="90"/>
    </xf>
    <xf numFmtId="0" fontId="14" fillId="0" borderId="0" xfId="0" applyFont="1" applyAlignment="1">
      <alignment horizontal="center" vertical="center"/>
    </xf>
    <xf numFmtId="0" fontId="14" fillId="0" borderId="12" xfId="0" applyFont="1" applyBorder="1"/>
    <xf numFmtId="0" fontId="14" fillId="0" borderId="8" xfId="0" applyFont="1" applyBorder="1"/>
    <xf numFmtId="0" fontId="14" fillId="0" borderId="10" xfId="0" applyFont="1" applyBorder="1" applyAlignment="1">
      <alignment horizontal="right"/>
    </xf>
    <xf numFmtId="0" fontId="14" fillId="0" borderId="10" xfId="0" applyFont="1" applyBorder="1" applyAlignment="1">
      <alignment horizontal="center"/>
    </xf>
    <xf numFmtId="2" fontId="14" fillId="7" borderId="1" xfId="0" applyNumberFormat="1" applyFont="1" applyFill="1" applyBorder="1" applyAlignment="1">
      <alignment horizontal="center" vertical="center"/>
    </xf>
    <xf numFmtId="166" fontId="14" fillId="12" borderId="32" xfId="0" applyNumberFormat="1" applyFont="1" applyFill="1" applyBorder="1" applyAlignment="1">
      <alignment horizontal="center" vertical="center"/>
    </xf>
    <xf numFmtId="0" fontId="14" fillId="0" borderId="10" xfId="0" applyFont="1" applyBorder="1"/>
    <xf numFmtId="0" fontId="14" fillId="7" borderId="7" xfId="0" applyFont="1" applyFill="1" applyBorder="1" applyAlignment="1">
      <alignment horizontal="center" shrinkToFit="1"/>
    </xf>
    <xf numFmtId="0" fontId="22" fillId="0" borderId="1" xfId="0" applyFont="1" applyBorder="1" applyAlignment="1">
      <alignment horizontal="center" vertical="center"/>
    </xf>
    <xf numFmtId="166" fontId="0" fillId="7" borderId="1" xfId="0" applyNumberFormat="1" applyFill="1" applyBorder="1" applyAlignment="1">
      <alignment horizontal="center" vertical="center"/>
    </xf>
    <xf numFmtId="166" fontId="14" fillId="2" borderId="1" xfId="0" applyNumberFormat="1" applyFont="1" applyFill="1" applyBorder="1" applyAlignment="1" applyProtection="1">
      <alignment horizontal="center" vertical="center"/>
      <protection locked="0"/>
    </xf>
    <xf numFmtId="49" fontId="0" fillId="6" borderId="1" xfId="0" applyNumberFormat="1" applyFill="1" applyBorder="1" applyAlignment="1" applyProtection="1">
      <alignment horizontal="center"/>
      <protection locked="0"/>
    </xf>
    <xf numFmtId="0" fontId="27" fillId="10" borderId="6" xfId="0" applyFont="1" applyFill="1" applyBorder="1" applyAlignment="1" applyProtection="1">
      <alignment horizontal="center" vertical="center"/>
      <protection locked="0"/>
    </xf>
    <xf numFmtId="0" fontId="3" fillId="10" borderId="1" xfId="0" applyFont="1" applyFill="1" applyBorder="1" applyAlignment="1" applyProtection="1">
      <alignment horizontal="center" vertical="center"/>
      <protection locked="0"/>
    </xf>
    <xf numFmtId="0" fontId="3" fillId="10" borderId="0" xfId="0" applyFont="1" applyFill="1" applyAlignment="1">
      <alignment horizontal="center" vertical="center"/>
    </xf>
    <xf numFmtId="0" fontId="0" fillId="0" borderId="1" xfId="0" applyBorder="1" applyAlignment="1" applyProtection="1">
      <alignment horizontal="center" vertical="center"/>
      <protection locked="0"/>
    </xf>
    <xf numFmtId="0" fontId="3" fillId="0" borderId="1" xfId="4" applyNumberFormat="1" applyBorder="1" applyAlignment="1" applyProtection="1">
      <alignment horizontal="center" vertical="center"/>
      <protection locked="0"/>
    </xf>
    <xf numFmtId="0" fontId="0" fillId="0" borderId="0" xfId="0" applyAlignment="1">
      <alignment horizontal="right" vertical="center"/>
    </xf>
    <xf numFmtId="0" fontId="3" fillId="0" borderId="1" xfId="0" applyFont="1" applyBorder="1" applyAlignment="1">
      <alignment horizontal="right" vertical="center"/>
    </xf>
    <xf numFmtId="9" fontId="0" fillId="6" borderId="1" xfId="1" applyFont="1" applyFill="1" applyBorder="1" applyAlignment="1" applyProtection="1">
      <alignment horizontal="center" vertical="center"/>
      <protection locked="0"/>
    </xf>
    <xf numFmtId="0" fontId="0" fillId="0" borderId="1" xfId="0" applyBorder="1" applyAlignment="1">
      <alignment horizontal="right" vertical="center"/>
    </xf>
    <xf numFmtId="49" fontId="0" fillId="6" borderId="73" xfId="0" applyNumberFormat="1" applyFill="1" applyBorder="1" applyAlignment="1" applyProtection="1">
      <alignment horizontal="center"/>
      <protection locked="0"/>
    </xf>
    <xf numFmtId="49" fontId="0" fillId="6" borderId="75" xfId="0" applyNumberFormat="1" applyFill="1" applyBorder="1" applyAlignment="1" applyProtection="1">
      <alignment horizontal="left" vertical="top"/>
      <protection locked="0"/>
    </xf>
    <xf numFmtId="49" fontId="0" fillId="6" borderId="73" xfId="0" applyNumberFormat="1" applyFill="1" applyBorder="1" applyAlignment="1" applyProtection="1">
      <alignment horizontal="left" vertical="center"/>
      <protection locked="0"/>
    </xf>
    <xf numFmtId="49" fontId="0" fillId="6" borderId="74" xfId="0" applyNumberFormat="1" applyFill="1" applyBorder="1" applyAlignment="1" applyProtection="1">
      <alignment horizontal="left" vertical="center"/>
      <protection locked="0"/>
    </xf>
    <xf numFmtId="0" fontId="3" fillId="0" borderId="0" xfId="0" applyFont="1" applyAlignment="1" applyProtection="1">
      <alignment horizontal="center"/>
      <protection locked="0"/>
    </xf>
    <xf numFmtId="49" fontId="3" fillId="6" borderId="73" xfId="0" applyNumberFormat="1" applyFont="1" applyFill="1" applyBorder="1" applyAlignment="1" applyProtection="1">
      <alignment horizontal="left" vertical="center"/>
      <protection locked="0"/>
    </xf>
    <xf numFmtId="49" fontId="3" fillId="6" borderId="74" xfId="0" applyNumberFormat="1" applyFont="1" applyFill="1" applyBorder="1" applyAlignment="1" applyProtection="1">
      <alignment horizontal="left" vertical="top"/>
      <protection locked="0"/>
    </xf>
    <xf numFmtId="49" fontId="3" fillId="6" borderId="75" xfId="0" applyNumberFormat="1" applyFont="1" applyFill="1" applyBorder="1" applyAlignment="1" applyProtection="1">
      <alignment horizontal="left" vertical="top"/>
      <protection locked="0"/>
    </xf>
    <xf numFmtId="0" fontId="32" fillId="2" borderId="0" xfId="0" applyFont="1" applyFill="1" applyAlignment="1" applyProtection="1">
      <alignment horizontal="center" vertical="center"/>
      <protection locked="0"/>
    </xf>
    <xf numFmtId="0" fontId="32" fillId="2" borderId="0" xfId="3" applyFont="1" applyFill="1" applyAlignment="1" applyProtection="1">
      <alignment horizontal="center" vertical="center"/>
      <protection locked="0"/>
    </xf>
    <xf numFmtId="0" fontId="3" fillId="10" borderId="1" xfId="3" applyFill="1" applyBorder="1" applyAlignment="1" applyProtection="1">
      <alignment horizontal="center" vertical="center"/>
      <protection locked="0"/>
    </xf>
    <xf numFmtId="2" fontId="14" fillId="14" borderId="1" xfId="0" applyNumberFormat="1" applyFont="1" applyFill="1" applyBorder="1" applyAlignment="1">
      <alignment horizontal="center"/>
    </xf>
    <xf numFmtId="2" fontId="0" fillId="6" borderId="1" xfId="1" applyNumberFormat="1" applyFont="1" applyFill="1" applyBorder="1" applyAlignment="1" applyProtection="1">
      <alignment horizontal="center" vertical="center"/>
      <protection locked="0"/>
    </xf>
    <xf numFmtId="0" fontId="0" fillId="5" borderId="1" xfId="0" applyFill="1" applyBorder="1"/>
    <xf numFmtId="166" fontId="0" fillId="5" borderId="1" xfId="0" applyNumberFormat="1" applyFill="1" applyBorder="1"/>
    <xf numFmtId="164" fontId="0" fillId="5" borderId="1" xfId="0" applyNumberFormat="1" applyFill="1" applyBorder="1"/>
    <xf numFmtId="167" fontId="14" fillId="7" borderId="1" xfId="1" applyNumberFormat="1" applyFont="1" applyFill="1" applyBorder="1" applyAlignment="1">
      <alignment horizontal="center" vertical="center" shrinkToFit="1"/>
    </xf>
    <xf numFmtId="167" fontId="14" fillId="7" borderId="1" xfId="0" applyNumberFormat="1" applyFont="1" applyFill="1" applyBorder="1" applyAlignment="1">
      <alignment horizontal="center" vertical="center" shrinkToFit="1"/>
    </xf>
    <xf numFmtId="164" fontId="14" fillId="7" borderId="8" xfId="0" applyNumberFormat="1" applyFont="1" applyFill="1" applyBorder="1" applyAlignment="1">
      <alignment horizontal="center" vertical="center" shrinkToFit="1"/>
    </xf>
    <xf numFmtId="166" fontId="14" fillId="7" borderId="1" xfId="0" applyNumberFormat="1" applyFont="1" applyFill="1" applyBorder="1" applyAlignment="1">
      <alignment horizontal="center" vertical="center" shrinkToFit="1"/>
    </xf>
    <xf numFmtId="1" fontId="14" fillId="7" borderId="1" xfId="0" applyNumberFormat="1" applyFont="1" applyFill="1" applyBorder="1" applyAlignment="1">
      <alignment horizontal="center" vertical="center" shrinkToFit="1"/>
    </xf>
    <xf numFmtId="166" fontId="14" fillId="7" borderId="1" xfId="1" applyNumberFormat="1" applyFont="1" applyFill="1" applyBorder="1" applyAlignment="1">
      <alignment horizontal="center" vertical="center" shrinkToFit="1"/>
    </xf>
    <xf numFmtId="2" fontId="3" fillId="5" borderId="10" xfId="0" applyNumberFormat="1" applyFont="1" applyFill="1" applyBorder="1" applyAlignment="1">
      <alignment horizontal="center"/>
    </xf>
    <xf numFmtId="166" fontId="3" fillId="0" borderId="0" xfId="0" applyNumberFormat="1" applyFont="1" applyAlignment="1">
      <alignment horizontal="center"/>
    </xf>
    <xf numFmtId="166" fontId="3" fillId="0" borderId="9" xfId="0" applyNumberFormat="1" applyFont="1" applyBorder="1" applyAlignment="1">
      <alignment horizontal="center"/>
    </xf>
    <xf numFmtId="166" fontId="0" fillId="5" borderId="10" xfId="0" applyNumberFormat="1" applyFill="1" applyBorder="1" applyAlignment="1">
      <alignment horizontal="center"/>
    </xf>
    <xf numFmtId="0" fontId="3" fillId="0" borderId="9" xfId="0" applyFont="1" applyBorder="1" applyAlignment="1">
      <alignment horizontal="center"/>
    </xf>
    <xf numFmtId="9" fontId="0" fillId="0" borderId="1" xfId="4" applyFont="1" applyBorder="1" applyAlignment="1" applyProtection="1">
      <alignment horizontal="center" vertical="center"/>
      <protection locked="0"/>
    </xf>
    <xf numFmtId="0" fontId="3" fillId="0" borderId="0" xfId="0" quotePrefix="1" applyFont="1"/>
    <xf numFmtId="0" fontId="3" fillId="0" borderId="1" xfId="3" applyBorder="1" applyAlignment="1" applyProtection="1">
      <alignment horizontal="center" vertical="center"/>
      <protection locked="0"/>
    </xf>
    <xf numFmtId="0" fontId="1" fillId="8" borderId="1" xfId="6" applyFill="1" applyBorder="1" applyProtection="1">
      <protection locked="0"/>
    </xf>
    <xf numFmtId="164" fontId="1" fillId="8" borderId="1" xfId="6" applyNumberFormat="1" applyFill="1" applyBorder="1" applyProtection="1">
      <protection locked="0"/>
    </xf>
    <xf numFmtId="2" fontId="1" fillId="8" borderId="1" xfId="6" applyNumberFormat="1" applyFill="1" applyBorder="1" applyProtection="1">
      <protection locked="0"/>
    </xf>
    <xf numFmtId="11" fontId="1" fillId="8" borderId="1" xfId="6" applyNumberFormat="1" applyFill="1" applyBorder="1" applyProtection="1">
      <protection locked="0"/>
    </xf>
    <xf numFmtId="0" fontId="14" fillId="6" borderId="1" xfId="0" applyFont="1" applyFill="1" applyBorder="1" applyAlignment="1" applyProtection="1">
      <alignment horizontal="center"/>
      <protection locked="0"/>
    </xf>
    <xf numFmtId="0" fontId="14" fillId="7" borderId="6" xfId="0" applyFont="1" applyFill="1" applyBorder="1" applyAlignment="1">
      <alignment horizontal="center" shrinkToFit="1"/>
    </xf>
    <xf numFmtId="0" fontId="14" fillId="7" borderId="4" xfId="0" applyFont="1" applyFill="1" applyBorder="1" applyAlignment="1">
      <alignment horizontal="center" shrinkToFit="1"/>
    </xf>
    <xf numFmtId="0" fontId="14" fillId="6" borderId="0" xfId="0" applyFont="1" applyFill="1" applyAlignment="1" applyProtection="1">
      <alignment horizontal="center"/>
      <protection locked="0"/>
    </xf>
    <xf numFmtId="0" fontId="14" fillId="6" borderId="0" xfId="0" applyFont="1" applyFill="1" applyAlignment="1" applyProtection="1">
      <alignment horizontal="center" vertical="center" wrapText="1"/>
      <protection locked="0"/>
    </xf>
    <xf numFmtId="0" fontId="16" fillId="0" borderId="15" xfId="0" applyFont="1" applyBorder="1" applyAlignment="1">
      <alignment horizontal="center" vertical="center" wrapText="1"/>
    </xf>
    <xf numFmtId="0" fontId="16" fillId="0" borderId="0" xfId="0" applyFont="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4" xfId="0" applyFont="1" applyBorder="1" applyAlignment="1">
      <alignment horizontal="center"/>
    </xf>
    <xf numFmtId="0" fontId="16" fillId="0" borderId="13" xfId="0" applyFont="1" applyBorder="1" applyAlignment="1">
      <alignment horizontal="center"/>
    </xf>
    <xf numFmtId="0" fontId="16" fillId="0" borderId="5" xfId="0" applyFont="1" applyBorder="1" applyAlignment="1">
      <alignment horizontal="center"/>
    </xf>
    <xf numFmtId="0" fontId="14" fillId="7" borderId="3" xfId="0" applyFont="1" applyFill="1" applyBorder="1" applyAlignment="1">
      <alignment horizontal="center" shrinkToFit="1"/>
    </xf>
    <xf numFmtId="0" fontId="14" fillId="7" borderId="1" xfId="0" applyFont="1" applyFill="1" applyBorder="1" applyAlignment="1">
      <alignment horizontal="center" shrinkToFit="1"/>
    </xf>
    <xf numFmtId="2" fontId="14" fillId="7" borderId="6" xfId="0" applyNumberFormat="1" applyFont="1" applyFill="1" applyBorder="1" applyAlignment="1">
      <alignment horizontal="center"/>
    </xf>
    <xf numFmtId="2" fontId="14" fillId="7" borderId="4" xfId="0" applyNumberFormat="1" applyFont="1" applyFill="1" applyBorder="1" applyAlignment="1">
      <alignment horizontal="center"/>
    </xf>
    <xf numFmtId="0" fontId="16" fillId="7" borderId="12" xfId="0" applyFont="1" applyFill="1" applyBorder="1" applyAlignment="1">
      <alignment horizontal="center"/>
    </xf>
    <xf numFmtId="0" fontId="16" fillId="7" borderId="8" xfId="0" applyFont="1" applyFill="1" applyBorder="1" applyAlignment="1">
      <alignment horizontal="center"/>
    </xf>
    <xf numFmtId="0" fontId="14" fillId="0" borderId="1" xfId="0" applyFont="1" applyBorder="1" applyAlignment="1">
      <alignment horizontal="right"/>
    </xf>
    <xf numFmtId="0" fontId="16" fillId="0" borderId="6" xfId="0" applyFont="1" applyBorder="1" applyAlignment="1">
      <alignment horizontal="center"/>
    </xf>
    <xf numFmtId="0" fontId="16" fillId="0" borderId="4" xfId="0" applyFont="1" applyBorder="1" applyAlignment="1">
      <alignment horizontal="center"/>
    </xf>
    <xf numFmtId="164" fontId="14" fillId="7" borderId="1" xfId="0" applyNumberFormat="1" applyFont="1" applyFill="1" applyBorder="1" applyAlignment="1">
      <alignment horizontal="center" vertical="center"/>
    </xf>
    <xf numFmtId="0" fontId="14" fillId="0" borderId="1" xfId="0" applyFont="1" applyBorder="1" applyAlignment="1">
      <alignment horizontal="center" vertical="center"/>
    </xf>
    <xf numFmtId="0" fontId="14" fillId="0" borderId="6" xfId="0" applyFont="1" applyBorder="1" applyAlignment="1">
      <alignment horizontal="center"/>
    </xf>
    <xf numFmtId="0" fontId="14" fillId="0" borderId="4" xfId="0" applyFont="1" applyBorder="1" applyAlignment="1">
      <alignment horizontal="center"/>
    </xf>
    <xf numFmtId="0" fontId="14" fillId="0" borderId="1" xfId="0" applyFont="1" applyBorder="1" applyAlignment="1" applyProtection="1">
      <alignment horizontal="right" vertical="center"/>
      <protection locked="0"/>
    </xf>
    <xf numFmtId="0" fontId="16" fillId="0" borderId="10"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9" xfId="0" applyFont="1" applyBorder="1" applyAlignment="1">
      <alignment horizontal="center"/>
    </xf>
    <xf numFmtId="0" fontId="16" fillId="0" borderId="10" xfId="0" applyFont="1" applyBorder="1" applyAlignment="1">
      <alignment horizontal="center" vertical="center"/>
    </xf>
    <xf numFmtId="0" fontId="16" fillId="0" borderId="1" xfId="0" applyFont="1" applyBorder="1" applyAlignment="1">
      <alignment horizontal="center" vertical="center"/>
    </xf>
    <xf numFmtId="0" fontId="14" fillId="7" borderId="15" xfId="0" applyFont="1" applyFill="1" applyBorder="1" applyAlignment="1">
      <alignment horizontal="center"/>
    </xf>
    <xf numFmtId="0" fontId="14" fillId="7" borderId="0" xfId="0" applyFont="1" applyFill="1" applyAlignment="1">
      <alignment horizontal="center"/>
    </xf>
    <xf numFmtId="0" fontId="14" fillId="7" borderId="11" xfId="0" applyFont="1" applyFill="1" applyBorder="1" applyAlignment="1">
      <alignment horizontal="center"/>
    </xf>
    <xf numFmtId="0" fontId="14" fillId="6" borderId="15" xfId="0" applyFont="1" applyFill="1" applyBorder="1" applyAlignment="1" applyProtection="1">
      <alignment horizontal="center" shrinkToFit="1"/>
      <protection locked="0"/>
    </xf>
    <xf numFmtId="0" fontId="14" fillId="6" borderId="0" xfId="0" applyFont="1" applyFill="1" applyAlignment="1" applyProtection="1">
      <alignment horizontal="center" shrinkToFit="1"/>
      <protection locked="0"/>
    </xf>
    <xf numFmtId="0" fontId="14" fillId="6" borderId="11" xfId="0" applyFont="1" applyFill="1" applyBorder="1" applyAlignment="1" applyProtection="1">
      <alignment horizontal="center" shrinkToFit="1"/>
      <protection locked="0"/>
    </xf>
    <xf numFmtId="0" fontId="16" fillId="0" borderId="3" xfId="0" applyFont="1" applyBorder="1" applyAlignment="1">
      <alignment horizontal="center"/>
    </xf>
    <xf numFmtId="0" fontId="14" fillId="6" borderId="6" xfId="0" applyFont="1" applyFill="1" applyBorder="1" applyAlignment="1" applyProtection="1">
      <alignment horizontal="center"/>
      <protection locked="0"/>
    </xf>
    <xf numFmtId="0" fontId="14" fillId="6" borderId="4" xfId="0" applyFont="1" applyFill="1" applyBorder="1" applyAlignment="1" applyProtection="1">
      <alignment horizontal="center"/>
      <protection locked="0"/>
    </xf>
    <xf numFmtId="0" fontId="16" fillId="0" borderId="2" xfId="0" applyFont="1" applyBorder="1" applyAlignment="1">
      <alignment horizontal="center" vertical="center" wrapText="1"/>
    </xf>
    <xf numFmtId="0" fontId="14" fillId="6" borderId="2" xfId="0" applyFont="1" applyFill="1" applyBorder="1" applyAlignment="1" applyProtection="1">
      <alignment horizontal="center" vertical="center" wrapText="1"/>
      <protection locked="0"/>
    </xf>
    <xf numFmtId="0" fontId="14" fillId="0" borderId="10" xfId="0" applyFont="1" applyBorder="1" applyAlignment="1">
      <alignment horizontal="center" vertical="center" textRotation="90"/>
    </xf>
    <xf numFmtId="0" fontId="14" fillId="0" borderId="1" xfId="0" applyFont="1" applyBorder="1" applyAlignment="1">
      <alignment horizontal="center" vertical="center" textRotation="90"/>
    </xf>
    <xf numFmtId="0" fontId="14" fillId="0" borderId="10" xfId="0" applyFont="1" applyBorder="1" applyAlignment="1">
      <alignment horizontal="center" vertical="center" wrapText="1"/>
    </xf>
    <xf numFmtId="0" fontId="14" fillId="0" borderId="6" xfId="0" applyFont="1" applyBorder="1" applyAlignment="1">
      <alignment horizontal="right"/>
    </xf>
    <xf numFmtId="0" fontId="14" fillId="0" borderId="4" xfId="0" applyFont="1" applyBorder="1" applyAlignment="1">
      <alignment horizontal="right"/>
    </xf>
    <xf numFmtId="0" fontId="14" fillId="6" borderId="3" xfId="0" applyFont="1" applyFill="1" applyBorder="1" applyAlignment="1" applyProtection="1">
      <alignment horizontal="center"/>
      <protection locked="0"/>
    </xf>
    <xf numFmtId="0" fontId="14" fillId="0" borderId="1" xfId="0" applyFont="1" applyBorder="1" applyAlignment="1">
      <alignment horizontal="center" vertical="center" textRotation="90" wrapText="1"/>
    </xf>
    <xf numFmtId="0" fontId="14" fillId="0" borderId="14" xfId="0" applyFont="1" applyBorder="1" applyAlignment="1">
      <alignment horizontal="center" vertical="center" textRotation="90" wrapText="1"/>
    </xf>
    <xf numFmtId="0" fontId="14" fillId="0" borderId="15" xfId="0" applyFont="1" applyBorder="1" applyAlignment="1">
      <alignment horizontal="center" vertical="center" textRotation="90" wrapText="1"/>
    </xf>
    <xf numFmtId="0" fontId="14" fillId="0" borderId="12" xfId="0" applyFont="1" applyBorder="1" applyAlignment="1">
      <alignment horizontal="center" vertical="center" textRotation="90" wrapText="1"/>
    </xf>
    <xf numFmtId="0" fontId="14" fillId="0" borderId="9" xfId="0" applyFont="1" applyBorder="1" applyAlignment="1">
      <alignment horizontal="center" vertical="center" textRotation="90" wrapText="1"/>
    </xf>
    <xf numFmtId="0" fontId="14" fillId="0" borderId="2" xfId="0" applyFont="1" applyBorder="1" applyAlignment="1">
      <alignment horizontal="center" vertical="center" textRotation="90" wrapText="1"/>
    </xf>
    <xf numFmtId="0" fontId="14" fillId="0" borderId="10" xfId="0" applyFont="1" applyBorder="1" applyAlignment="1">
      <alignment horizontal="center" vertical="center" textRotation="90" wrapText="1"/>
    </xf>
    <xf numFmtId="0" fontId="14" fillId="0" borderId="14" xfId="0" applyFont="1" applyBorder="1" applyAlignment="1">
      <alignment horizontal="center"/>
    </xf>
    <xf numFmtId="0" fontId="14" fillId="0" borderId="5" xfId="0" applyFont="1" applyBorder="1" applyAlignment="1">
      <alignment horizontal="center"/>
    </xf>
    <xf numFmtId="0" fontId="14" fillId="0" borderId="14"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5" fillId="0" borderId="12" xfId="2" applyFont="1" applyBorder="1" applyAlignment="1" applyProtection="1">
      <alignment horizontal="center"/>
    </xf>
    <xf numFmtId="0" fontId="15" fillId="0" borderId="7" xfId="2" applyFont="1" applyBorder="1" applyAlignment="1" applyProtection="1">
      <alignment horizontal="center"/>
    </xf>
    <xf numFmtId="0" fontId="15" fillId="0" borderId="8" xfId="2" applyFont="1" applyBorder="1" applyAlignment="1" applyProtection="1">
      <alignment horizontal="center"/>
    </xf>
    <xf numFmtId="0" fontId="16" fillId="0" borderId="12" xfId="0" applyFont="1" applyBorder="1" applyAlignment="1">
      <alignment horizontal="center"/>
    </xf>
    <xf numFmtId="0" fontId="16" fillId="0" borderId="8" xfId="0" applyFont="1" applyBorder="1" applyAlignment="1">
      <alignment horizontal="center"/>
    </xf>
    <xf numFmtId="167" fontId="14" fillId="7" borderId="4" xfId="1" applyNumberFormat="1" applyFont="1" applyFill="1" applyBorder="1" applyAlignment="1">
      <alignment horizontal="center" vertical="center"/>
    </xf>
    <xf numFmtId="0" fontId="16" fillId="6" borderId="1" xfId="0" applyFont="1" applyFill="1" applyBorder="1" applyAlignment="1" applyProtection="1">
      <alignment horizontal="center"/>
      <protection locked="0"/>
    </xf>
    <xf numFmtId="164" fontId="14" fillId="7" borderId="2" xfId="0" applyNumberFormat="1" applyFont="1" applyFill="1" applyBorder="1" applyAlignment="1">
      <alignment horizontal="center" vertical="center"/>
    </xf>
    <xf numFmtId="164" fontId="14" fillId="7" borderId="10" xfId="0" applyNumberFormat="1" applyFont="1" applyFill="1" applyBorder="1" applyAlignment="1">
      <alignment horizontal="center" vertical="center"/>
    </xf>
    <xf numFmtId="168" fontId="14" fillId="6" borderId="0" xfId="0" applyNumberFormat="1" applyFont="1" applyFill="1" applyAlignment="1" applyProtection="1">
      <alignment horizontal="center"/>
      <protection locked="0"/>
    </xf>
    <xf numFmtId="0" fontId="14" fillId="0" borderId="6" xfId="0" applyFont="1" applyBorder="1" applyAlignment="1">
      <alignment horizontal="right" vertical="center"/>
    </xf>
    <xf numFmtId="0" fontId="14" fillId="0" borderId="4" xfId="0" applyFont="1" applyBorder="1" applyAlignment="1">
      <alignment horizontal="right" vertical="center"/>
    </xf>
    <xf numFmtId="0" fontId="14" fillId="0" borderId="1" xfId="0" applyFont="1" applyBorder="1" applyAlignment="1">
      <alignment horizontal="right" shrinkToFit="1"/>
    </xf>
    <xf numFmtId="2" fontId="14" fillId="0" borderId="1" xfId="0" applyNumberFormat="1" applyFont="1" applyBorder="1" applyAlignment="1">
      <alignment horizontal="center" vertical="center" wrapText="1"/>
    </xf>
    <xf numFmtId="0" fontId="14" fillId="0" borderId="14" xfId="0" applyFont="1" applyBorder="1" applyAlignment="1" applyProtection="1">
      <alignment horizontal="left" vertical="top" wrapText="1"/>
      <protection locked="0"/>
    </xf>
    <xf numFmtId="0" fontId="14" fillId="0" borderId="13"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15"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6" fillId="0" borderId="1" xfId="0" applyFont="1" applyBorder="1" applyAlignment="1">
      <alignment horizont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3" fillId="0" borderId="1" xfId="0" applyFont="1" applyBorder="1"/>
    <xf numFmtId="0" fontId="3" fillId="0" borderId="22" xfId="0" applyFont="1" applyBorder="1"/>
    <xf numFmtId="0" fontId="3" fillId="0" borderId="24" xfId="0" applyFont="1" applyBorder="1" applyAlignment="1">
      <alignment horizontal="left"/>
    </xf>
    <xf numFmtId="0" fontId="3" fillId="0" borderId="25" xfId="0" applyFont="1" applyBorder="1" applyAlignment="1">
      <alignment horizontal="left"/>
    </xf>
    <xf numFmtId="0" fontId="2" fillId="0" borderId="10" xfId="0" applyFont="1" applyBorder="1" applyAlignment="1">
      <alignment horizontal="center"/>
    </xf>
    <xf numFmtId="0" fontId="2" fillId="0" borderId="20" xfId="0" applyFont="1" applyBorder="1" applyAlignment="1">
      <alignment horizontal="center"/>
    </xf>
    <xf numFmtId="0" fontId="0" fillId="6" borderId="6" xfId="0" applyFill="1" applyBorder="1" applyAlignment="1" applyProtection="1">
      <alignment horizontal="center"/>
      <protection locked="0"/>
    </xf>
    <xf numFmtId="0" fontId="0" fillId="6" borderId="4" xfId="0" applyFill="1" applyBorder="1" applyAlignment="1" applyProtection="1">
      <alignment horizontal="center"/>
      <protection locked="0"/>
    </xf>
    <xf numFmtId="0" fontId="3" fillId="0" borderId="1" xfId="0" applyFont="1" applyBorder="1" applyAlignment="1">
      <alignment horizontal="left"/>
    </xf>
    <xf numFmtId="0" fontId="3" fillId="0" borderId="22" xfId="0" applyFont="1" applyBorder="1" applyAlignment="1">
      <alignment horizontal="left"/>
    </xf>
    <xf numFmtId="0" fontId="2" fillId="0" borderId="16" xfId="0" applyFont="1" applyBorder="1" applyAlignment="1">
      <alignment horizontal="center"/>
    </xf>
    <xf numFmtId="0" fontId="2" fillId="0" borderId="17" xfId="0" applyFont="1" applyBorder="1" applyAlignment="1">
      <alignment horizontal="center"/>
    </xf>
    <xf numFmtId="0" fontId="2" fillId="0" borderId="37" xfId="0" applyFont="1" applyBorder="1" applyAlignment="1">
      <alignment horizontal="center"/>
    </xf>
    <xf numFmtId="0" fontId="3" fillId="0" borderId="0" xfId="0" applyFont="1" applyAlignment="1">
      <alignment horizontal="center"/>
    </xf>
    <xf numFmtId="0" fontId="0" fillId="0" borderId="0" xfId="0" applyAlignment="1">
      <alignment horizontal="center"/>
    </xf>
    <xf numFmtId="0" fontId="9" fillId="0" borderId="0" xfId="2" applyAlignment="1" applyProtection="1">
      <alignment horizontal="center"/>
    </xf>
    <xf numFmtId="0" fontId="0" fillId="0" borderId="14" xfId="0" applyBorder="1" applyAlignment="1">
      <alignment horizontal="center"/>
    </xf>
    <xf numFmtId="0" fontId="0" fillId="0" borderId="5" xfId="0" applyBorder="1" applyAlignment="1">
      <alignment horizontal="center"/>
    </xf>
    <xf numFmtId="0" fontId="0" fillId="0" borderId="12" xfId="0" applyBorder="1" applyAlignment="1">
      <alignment horizontal="center"/>
    </xf>
    <xf numFmtId="0" fontId="0" fillId="0" borderId="8"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6" xfId="0" applyBorder="1" applyAlignment="1">
      <alignment horizontal="center"/>
    </xf>
    <xf numFmtId="0" fontId="0" fillId="0" borderId="4" xfId="0" applyBorder="1" applyAlignment="1">
      <alignment horizontal="center"/>
    </xf>
    <xf numFmtId="0" fontId="2" fillId="0" borderId="1" xfId="0" applyFont="1" applyBorder="1" applyAlignment="1">
      <alignment horizontal="center"/>
    </xf>
    <xf numFmtId="0" fontId="0" fillId="0" borderId="3" xfId="0" applyBorder="1" applyAlignment="1">
      <alignment horizontal="center"/>
    </xf>
    <xf numFmtId="0" fontId="2" fillId="0" borderId="18"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3" fillId="0" borderId="30" xfId="0" applyFont="1" applyBorder="1" applyAlignment="1">
      <alignment horizontal="left"/>
    </xf>
    <xf numFmtId="0" fontId="3" fillId="0" borderId="31" xfId="0" applyFont="1" applyBorder="1" applyAlignment="1">
      <alignment horizontal="left"/>
    </xf>
    <xf numFmtId="0" fontId="0" fillId="0" borderId="13" xfId="0" applyBorder="1" applyAlignment="1">
      <alignment horizontal="center"/>
    </xf>
    <xf numFmtId="0" fontId="0" fillId="0" borderId="7" xfId="0" applyBorder="1" applyAlignment="1">
      <alignment horizontal="center"/>
    </xf>
    <xf numFmtId="0" fontId="3" fillId="0" borderId="6" xfId="0" applyFont="1" applyBorder="1" applyAlignment="1">
      <alignment horizontal="left"/>
    </xf>
    <xf numFmtId="0" fontId="3" fillId="0" borderId="3" xfId="0" applyFont="1" applyBorder="1" applyAlignment="1">
      <alignment horizontal="left"/>
    </xf>
    <xf numFmtId="0" fontId="3" fillId="0" borderId="29" xfId="0" applyFont="1" applyBorder="1" applyAlignment="1">
      <alignment horizontal="left"/>
    </xf>
    <xf numFmtId="0" fontId="0" fillId="0" borderId="29" xfId="0" applyBorder="1" applyAlignment="1">
      <alignment horizontal="center"/>
    </xf>
    <xf numFmtId="0" fontId="3" fillId="0" borderId="9" xfId="0" applyFont="1" applyBorder="1" applyAlignment="1">
      <alignment horizontal="left"/>
    </xf>
    <xf numFmtId="0" fontId="0" fillId="0" borderId="9" xfId="0" applyBorder="1" applyAlignment="1">
      <alignment horizontal="left"/>
    </xf>
    <xf numFmtId="0" fontId="0" fillId="0" borderId="35" xfId="0" applyBorder="1" applyAlignment="1">
      <alignment horizontal="left"/>
    </xf>
    <xf numFmtId="0" fontId="0" fillId="0" borderId="1" xfId="0" applyBorder="1" applyAlignment="1">
      <alignment horizontal="left"/>
    </xf>
    <xf numFmtId="0" fontId="0" fillId="0" borderId="22" xfId="0" applyBorder="1" applyAlignment="1">
      <alignment horizontal="left"/>
    </xf>
    <xf numFmtId="0" fontId="0" fillId="0" borderId="30" xfId="0" applyBorder="1" applyAlignment="1">
      <alignment horizontal="center"/>
    </xf>
    <xf numFmtId="0" fontId="0" fillId="0" borderId="34" xfId="0" applyBorder="1" applyAlignment="1">
      <alignment horizontal="center"/>
    </xf>
    <xf numFmtId="0" fontId="3" fillId="0" borderId="6" xfId="0" applyFont="1" applyBorder="1" applyAlignment="1">
      <alignment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9" xfId="0" applyFont="1" applyBorder="1" applyAlignment="1">
      <alignment horizontal="left" vertical="center" wrapText="1"/>
    </xf>
    <xf numFmtId="0" fontId="0" fillId="0" borderId="33" xfId="0" applyBorder="1" applyAlignment="1">
      <alignment horizont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xf>
    <xf numFmtId="0" fontId="2" fillId="0" borderId="0" xfId="0" applyFont="1" applyAlignment="1">
      <alignment horizontal="center"/>
    </xf>
    <xf numFmtId="166" fontId="2" fillId="0" borderId="9" xfId="0" applyNumberFormat="1" applyFont="1" applyBorder="1" applyAlignment="1">
      <alignment horizontal="center" vertical="center" wrapText="1"/>
    </xf>
    <xf numFmtId="166" fontId="2" fillId="0" borderId="10" xfId="0" applyNumberFormat="1" applyFont="1" applyBorder="1" applyAlignment="1">
      <alignment horizontal="center" vertical="center" wrapText="1"/>
    </xf>
    <xf numFmtId="0" fontId="2" fillId="0" borderId="9" xfId="0" applyFont="1" applyBorder="1" applyAlignment="1">
      <alignment horizontal="center"/>
    </xf>
    <xf numFmtId="0" fontId="26" fillId="10" borderId="11" xfId="0" applyFont="1" applyFill="1" applyBorder="1" applyAlignment="1">
      <alignment horizontal="left" vertical="top" wrapText="1"/>
    </xf>
    <xf numFmtId="0" fontId="17" fillId="0" borderId="0" xfId="0" applyFont="1" applyAlignment="1">
      <alignment horizontal="center"/>
    </xf>
    <xf numFmtId="0" fontId="0" fillId="9" borderId="0" xfId="0" applyFill="1" applyAlignment="1">
      <alignment horizontal="left"/>
    </xf>
    <xf numFmtId="0" fontId="20" fillId="9" borderId="42" xfId="0" applyFont="1" applyFill="1" applyBorder="1" applyAlignment="1">
      <alignment horizontal="center" vertical="center"/>
    </xf>
    <xf numFmtId="0" fontId="3" fillId="9" borderId="0" xfId="0" applyFont="1" applyFill="1" applyAlignment="1">
      <alignment horizontal="left"/>
    </xf>
    <xf numFmtId="0" fontId="23" fillId="9" borderId="0" xfId="0" applyFont="1" applyFill="1" applyAlignment="1">
      <alignment horizontal="left" vertical="top" wrapText="1"/>
    </xf>
    <xf numFmtId="0" fontId="23" fillId="9" borderId="42" xfId="0" applyFont="1" applyFill="1" applyBorder="1" applyAlignment="1">
      <alignment horizontal="left" vertical="top" wrapText="1"/>
    </xf>
    <xf numFmtId="0" fontId="23" fillId="9" borderId="44" xfId="0" applyFont="1" applyFill="1" applyBorder="1" applyAlignment="1">
      <alignment horizontal="left" vertical="top" wrapText="1"/>
    </xf>
    <xf numFmtId="0" fontId="23" fillId="9" borderId="45" xfId="0" applyFont="1" applyFill="1" applyBorder="1" applyAlignment="1">
      <alignment horizontal="left" vertical="top" wrapText="1"/>
    </xf>
    <xf numFmtId="2" fontId="2" fillId="9" borderId="62" xfId="0" applyNumberFormat="1" applyFont="1" applyFill="1" applyBorder="1" applyAlignment="1">
      <alignment horizontal="center" vertical="center"/>
    </xf>
    <xf numFmtId="0" fontId="0" fillId="0" borderId="63" xfId="0" applyBorder="1"/>
    <xf numFmtId="0" fontId="25" fillId="10" borderId="0" xfId="0" applyFont="1" applyFill="1" applyAlignment="1">
      <alignment horizontal="left" vertical="center" wrapText="1" indent="4"/>
    </xf>
    <xf numFmtId="0" fontId="25" fillId="0" borderId="0" xfId="0" applyFont="1" applyAlignment="1">
      <alignment horizontal="left" vertical="center" wrapText="1" indent="4"/>
    </xf>
    <xf numFmtId="0" fontId="25" fillId="0" borderId="42" xfId="0" applyFont="1" applyBorder="1" applyAlignment="1">
      <alignment horizontal="left" vertical="center" wrapText="1" indent="4"/>
    </xf>
    <xf numFmtId="0" fontId="25" fillId="0" borderId="44" xfId="0" applyFont="1" applyBorder="1" applyAlignment="1">
      <alignment horizontal="left" vertical="center" wrapText="1" indent="4"/>
    </xf>
    <xf numFmtId="0" fontId="25" fillId="0" borderId="45" xfId="0" applyFont="1" applyBorder="1" applyAlignment="1">
      <alignment horizontal="left" vertical="center" wrapText="1" indent="4"/>
    </xf>
    <xf numFmtId="0" fontId="23" fillId="11" borderId="39" xfId="0" applyFont="1" applyFill="1" applyBorder="1" applyAlignment="1">
      <alignment horizontal="left" vertical="top" wrapText="1" indent="3"/>
    </xf>
    <xf numFmtId="0" fontId="23" fillId="11" borderId="40" xfId="0" applyFont="1" applyFill="1" applyBorder="1" applyAlignment="1">
      <alignment horizontal="left" vertical="top" wrapText="1" indent="3"/>
    </xf>
    <xf numFmtId="0" fontId="23" fillId="11" borderId="0" xfId="0" applyFont="1" applyFill="1" applyAlignment="1">
      <alignment horizontal="left" vertical="top" wrapText="1" indent="3"/>
    </xf>
    <xf numFmtId="0" fontId="23" fillId="11" borderId="42" xfId="0" applyFont="1" applyFill="1" applyBorder="1" applyAlignment="1">
      <alignment horizontal="left" vertical="top" wrapText="1" indent="3"/>
    </xf>
    <xf numFmtId="0" fontId="3" fillId="11" borderId="0" xfId="0" applyFont="1" applyFill="1" applyAlignment="1">
      <alignment horizontal="center" wrapText="1"/>
    </xf>
    <xf numFmtId="0" fontId="3" fillId="11" borderId="53" xfId="0" applyFont="1" applyFill="1" applyBorder="1" applyAlignment="1">
      <alignment horizontal="center" wrapText="1"/>
    </xf>
    <xf numFmtId="0" fontId="0" fillId="11" borderId="0" xfId="0" applyFill="1" applyAlignment="1">
      <alignment horizontal="center" wrapText="1"/>
    </xf>
    <xf numFmtId="0" fontId="0" fillId="11" borderId="0" xfId="0" applyFill="1" applyAlignment="1">
      <alignment horizontal="center"/>
    </xf>
    <xf numFmtId="0" fontId="0" fillId="11" borderId="53" xfId="0" applyFill="1" applyBorder="1" applyAlignment="1">
      <alignment horizontal="center"/>
    </xf>
    <xf numFmtId="0" fontId="28" fillId="11" borderId="0" xfId="0" applyFont="1" applyFill="1" applyAlignment="1">
      <alignment horizontal="center" wrapText="1"/>
    </xf>
    <xf numFmtId="0" fontId="28" fillId="11" borderId="30" xfId="0" applyFont="1" applyFill="1" applyBorder="1" applyAlignment="1">
      <alignment horizontal="center" wrapText="1"/>
    </xf>
    <xf numFmtId="0" fontId="12" fillId="11" borderId="0" xfId="0" applyFont="1" applyFill="1" applyAlignment="1">
      <alignment horizontal="center" wrapText="1"/>
    </xf>
    <xf numFmtId="0" fontId="12" fillId="11" borderId="54" xfId="0" applyFont="1" applyFill="1" applyBorder="1" applyAlignment="1">
      <alignment horizontal="center" wrapText="1"/>
    </xf>
    <xf numFmtId="0" fontId="0" fillId="0" borderId="0" xfId="0" applyAlignment="1">
      <alignment horizontal="left" wrapText="1" indent="3"/>
    </xf>
    <xf numFmtId="0" fontId="0" fillId="0" borderId="42" xfId="0" applyBorder="1" applyAlignment="1">
      <alignment horizontal="left" wrapText="1" indent="3"/>
    </xf>
    <xf numFmtId="0" fontId="0" fillId="0" borderId="44" xfId="0" applyBorder="1" applyAlignment="1">
      <alignment horizontal="left" wrapText="1" indent="3"/>
    </xf>
    <xf numFmtId="0" fontId="0" fillId="0" borderId="45" xfId="0" applyBorder="1" applyAlignment="1">
      <alignment horizontal="left" wrapText="1" indent="3"/>
    </xf>
    <xf numFmtId="166" fontId="23" fillId="2" borderId="39" xfId="0" applyNumberFormat="1" applyFont="1" applyFill="1" applyBorder="1" applyAlignment="1">
      <alignment horizontal="left" vertical="center" wrapText="1"/>
    </xf>
    <xf numFmtId="166" fontId="23" fillId="2" borderId="40" xfId="0" applyNumberFormat="1" applyFont="1" applyFill="1" applyBorder="1" applyAlignment="1">
      <alignment horizontal="left" vertical="center" wrapText="1"/>
    </xf>
    <xf numFmtId="166" fontId="23" fillId="2" borderId="0" xfId="0" applyNumberFormat="1" applyFont="1" applyFill="1" applyAlignment="1">
      <alignment horizontal="left" vertical="center" wrapText="1"/>
    </xf>
    <xf numFmtId="166" fontId="23" fillId="2" borderId="42" xfId="0" applyNumberFormat="1" applyFont="1" applyFill="1" applyBorder="1" applyAlignment="1">
      <alignment horizontal="left" vertical="center" wrapText="1"/>
    </xf>
    <xf numFmtId="0" fontId="0" fillId="9" borderId="0" xfId="0" applyFill="1" applyAlignment="1">
      <alignment horizontal="center"/>
    </xf>
    <xf numFmtId="0" fontId="3" fillId="9" borderId="54" xfId="0" applyFont="1" applyFill="1" applyBorder="1" applyAlignment="1">
      <alignment horizontal="center"/>
    </xf>
    <xf numFmtId="2" fontId="3" fillId="9" borderId="60" xfId="0" applyNumberFormat="1" applyFont="1" applyFill="1" applyBorder="1" applyAlignment="1">
      <alignment horizontal="center" vertical="center"/>
    </xf>
    <xf numFmtId="0" fontId="0" fillId="0" borderId="61" xfId="0" applyBorder="1"/>
    <xf numFmtId="0" fontId="37" fillId="0" borderId="0" xfId="5" applyAlignment="1" applyProtection="1">
      <alignment horizontal="left" vertical="top" wrapText="1"/>
    </xf>
    <xf numFmtId="0" fontId="37" fillId="0" borderId="0" xfId="5" applyAlignment="1" applyProtection="1"/>
    <xf numFmtId="0" fontId="12" fillId="9" borderId="66" xfId="0" applyFont="1" applyFill="1" applyBorder="1" applyAlignment="1">
      <alignment horizontal="center" vertical="center"/>
    </xf>
    <xf numFmtId="0" fontId="0" fillId="0" borderId="67" xfId="0" applyBorder="1"/>
    <xf numFmtId="0" fontId="23" fillId="9" borderId="0" xfId="0" applyFont="1" applyFill="1" applyAlignment="1">
      <alignment horizontal="left" vertical="center" wrapText="1" indent="10"/>
    </xf>
    <xf numFmtId="0" fontId="23" fillId="9" borderId="42" xfId="0" applyFont="1" applyFill="1" applyBorder="1" applyAlignment="1">
      <alignment horizontal="left" vertical="center" wrapText="1" indent="10"/>
    </xf>
    <xf numFmtId="0" fontId="23" fillId="9" borderId="44" xfId="0" applyFont="1" applyFill="1" applyBorder="1" applyAlignment="1">
      <alignment horizontal="center" vertical="center" wrapText="1"/>
    </xf>
    <xf numFmtId="0" fontId="0" fillId="0" borderId="44" xfId="0" applyBorder="1" applyAlignment="1">
      <alignment horizontal="center"/>
    </xf>
    <xf numFmtId="0" fontId="0" fillId="0" borderId="45" xfId="0" applyBorder="1" applyAlignment="1">
      <alignment horizontal="center"/>
    </xf>
    <xf numFmtId="0" fontId="12" fillId="12" borderId="0" xfId="0" applyFont="1" applyFill="1" applyAlignment="1">
      <alignment horizontal="left" vertical="center" wrapText="1"/>
    </xf>
    <xf numFmtId="0" fontId="18" fillId="0" borderId="0" xfId="0" applyFont="1" applyAlignment="1">
      <alignment horizontal="left" wrapText="1"/>
    </xf>
    <xf numFmtId="0" fontId="3" fillId="0" borderId="0" xfId="0" applyFont="1" applyAlignment="1">
      <alignment horizontal="left" vertical="top" wrapText="1"/>
    </xf>
    <xf numFmtId="0" fontId="26" fillId="10" borderId="11" xfId="3" applyFont="1" applyFill="1" applyBorder="1" applyAlignment="1">
      <alignment horizontal="left" vertical="top" wrapText="1"/>
    </xf>
    <xf numFmtId="0" fontId="17" fillId="0" borderId="0" xfId="3" applyFont="1" applyAlignment="1">
      <alignment horizontal="center"/>
    </xf>
    <xf numFmtId="0" fontId="3" fillId="9" borderId="0" xfId="3" applyFill="1" applyAlignment="1">
      <alignment horizontal="left"/>
    </xf>
    <xf numFmtId="0" fontId="20" fillId="9" borderId="42" xfId="3" applyFont="1" applyFill="1" applyBorder="1" applyAlignment="1">
      <alignment horizontal="center" vertical="center"/>
    </xf>
    <xf numFmtId="0" fontId="23" fillId="9" borderId="0" xfId="3" applyFont="1" applyFill="1" applyAlignment="1">
      <alignment horizontal="left" vertical="top" wrapText="1"/>
    </xf>
    <xf numFmtId="0" fontId="23" fillId="9" borderId="42" xfId="3" applyFont="1" applyFill="1" applyBorder="1" applyAlignment="1">
      <alignment horizontal="left" vertical="top" wrapText="1"/>
    </xf>
    <xf numFmtId="0" fontId="23" fillId="9" borderId="44" xfId="3" applyFont="1" applyFill="1" applyBorder="1" applyAlignment="1">
      <alignment horizontal="left" vertical="top" wrapText="1"/>
    </xf>
    <xf numFmtId="0" fontId="23" fillId="9" borderId="45" xfId="3" applyFont="1" applyFill="1" applyBorder="1" applyAlignment="1">
      <alignment horizontal="left" vertical="top" wrapText="1"/>
    </xf>
    <xf numFmtId="2" fontId="2" fillId="9" borderId="62" xfId="3" applyNumberFormat="1" applyFont="1" applyFill="1" applyBorder="1" applyAlignment="1">
      <alignment horizontal="center" vertical="center"/>
    </xf>
    <xf numFmtId="0" fontId="3" fillId="0" borderId="63" xfId="3" applyBorder="1"/>
    <xf numFmtId="0" fontId="25" fillId="10" borderId="0" xfId="3" applyFont="1" applyFill="1" applyAlignment="1">
      <alignment horizontal="left" vertical="center" wrapText="1" indent="4"/>
    </xf>
    <xf numFmtId="0" fontId="25" fillId="0" borderId="0" xfId="3" applyFont="1" applyAlignment="1">
      <alignment horizontal="left" vertical="center" wrapText="1" indent="4"/>
    </xf>
    <xf numFmtId="0" fontId="25" fillId="0" borderId="42" xfId="3" applyFont="1" applyBorder="1" applyAlignment="1">
      <alignment horizontal="left" vertical="center" wrapText="1" indent="4"/>
    </xf>
    <xf numFmtId="0" fontId="25" fillId="0" borderId="44" xfId="3" applyFont="1" applyBorder="1" applyAlignment="1">
      <alignment horizontal="left" vertical="center" wrapText="1" indent="4"/>
    </xf>
    <xf numFmtId="0" fontId="25" fillId="0" borderId="45" xfId="3" applyFont="1" applyBorder="1" applyAlignment="1">
      <alignment horizontal="left" vertical="center" wrapText="1" indent="4"/>
    </xf>
    <xf numFmtId="0" fontId="23" fillId="11" borderId="39" xfId="3" applyFont="1" applyFill="1" applyBorder="1" applyAlignment="1">
      <alignment horizontal="left" vertical="top" wrapText="1" indent="3"/>
    </xf>
    <xf numFmtId="0" fontId="23" fillId="11" borderId="40" xfId="3" applyFont="1" applyFill="1" applyBorder="1" applyAlignment="1">
      <alignment horizontal="left" vertical="top" wrapText="1" indent="3"/>
    </xf>
    <xf numFmtId="0" fontId="23" fillId="11" borderId="0" xfId="3" applyFont="1" applyFill="1" applyAlignment="1">
      <alignment horizontal="left" vertical="top" wrapText="1" indent="3"/>
    </xf>
    <xf numFmtId="0" fontId="23" fillId="11" borderId="42" xfId="3" applyFont="1" applyFill="1" applyBorder="1" applyAlignment="1">
      <alignment horizontal="left" vertical="top" wrapText="1" indent="3"/>
    </xf>
    <xf numFmtId="0" fontId="3" fillId="11" borderId="0" xfId="3" applyFill="1" applyAlignment="1">
      <alignment horizontal="center" wrapText="1"/>
    </xf>
    <xf numFmtId="0" fontId="3" fillId="11" borderId="53" xfId="3" applyFill="1" applyBorder="1" applyAlignment="1">
      <alignment horizontal="center" wrapText="1"/>
    </xf>
    <xf numFmtId="0" fontId="3" fillId="11" borderId="0" xfId="3" applyFill="1" applyAlignment="1">
      <alignment horizontal="center"/>
    </xf>
    <xf numFmtId="0" fontId="3" fillId="11" borderId="53" xfId="3" applyFill="1" applyBorder="1" applyAlignment="1">
      <alignment horizontal="center"/>
    </xf>
    <xf numFmtId="0" fontId="28" fillId="11" borderId="0" xfId="3" applyFont="1" applyFill="1" applyAlignment="1">
      <alignment horizontal="center" wrapText="1"/>
    </xf>
    <xf numFmtId="0" fontId="28" fillId="11" borderId="30" xfId="3" applyFont="1" applyFill="1" applyBorder="1" applyAlignment="1">
      <alignment horizontal="center" wrapText="1"/>
    </xf>
    <xf numFmtId="0" fontId="12" fillId="11" borderId="0" xfId="3" applyFont="1" applyFill="1" applyAlignment="1">
      <alignment horizontal="center" wrapText="1"/>
    </xf>
    <xf numFmtId="0" fontId="12" fillId="11" borderId="54" xfId="3" applyFont="1" applyFill="1" applyBorder="1" applyAlignment="1">
      <alignment horizontal="center" wrapText="1"/>
    </xf>
    <xf numFmtId="0" fontId="3" fillId="0" borderId="0" xfId="3" applyAlignment="1">
      <alignment horizontal="left" wrapText="1" indent="3"/>
    </xf>
    <xf numFmtId="0" fontId="3" fillId="0" borderId="42" xfId="3" applyBorder="1" applyAlignment="1">
      <alignment horizontal="left" wrapText="1" indent="3"/>
    </xf>
    <xf numFmtId="0" fontId="3" fillId="0" borderId="44" xfId="3" applyBorder="1" applyAlignment="1">
      <alignment horizontal="left" wrapText="1" indent="3"/>
    </xf>
    <xf numFmtId="0" fontId="3" fillId="0" borderId="45" xfId="3" applyBorder="1" applyAlignment="1">
      <alignment horizontal="left" wrapText="1" indent="3"/>
    </xf>
    <xf numFmtId="166" fontId="23" fillId="2" borderId="39" xfId="3" applyNumberFormat="1" applyFont="1" applyFill="1" applyBorder="1" applyAlignment="1">
      <alignment horizontal="left" vertical="center" wrapText="1"/>
    </xf>
    <xf numFmtId="166" fontId="23" fillId="2" borderId="40" xfId="3" applyNumberFormat="1" applyFont="1" applyFill="1" applyBorder="1" applyAlignment="1">
      <alignment horizontal="left" vertical="center" wrapText="1"/>
    </xf>
    <xf numFmtId="166" fontId="23" fillId="2" borderId="0" xfId="3" applyNumberFormat="1" applyFont="1" applyFill="1" applyAlignment="1">
      <alignment horizontal="left" vertical="center" wrapText="1"/>
    </xf>
    <xf numFmtId="166" fontId="23" fillId="2" borderId="42" xfId="3" applyNumberFormat="1" applyFont="1" applyFill="1" applyBorder="1" applyAlignment="1">
      <alignment horizontal="left" vertical="center" wrapText="1"/>
    </xf>
    <xf numFmtId="0" fontId="3" fillId="9" borderId="0" xfId="3" applyFill="1" applyAlignment="1">
      <alignment horizontal="center"/>
    </xf>
    <xf numFmtId="0" fontId="3" fillId="9" borderId="54" xfId="3" applyFill="1" applyBorder="1" applyAlignment="1">
      <alignment horizontal="center"/>
    </xf>
    <xf numFmtId="2" fontId="3" fillId="9" borderId="60" xfId="3" applyNumberFormat="1" applyFill="1" applyBorder="1" applyAlignment="1">
      <alignment horizontal="center" vertical="center"/>
    </xf>
    <xf numFmtId="0" fontId="3" fillId="0" borderId="61" xfId="3" applyBorder="1"/>
    <xf numFmtId="0" fontId="12" fillId="9" borderId="66" xfId="3" applyFont="1" applyFill="1" applyBorder="1" applyAlignment="1">
      <alignment horizontal="center" vertical="center"/>
    </xf>
    <xf numFmtId="0" fontId="3" fillId="0" borderId="67" xfId="3" applyBorder="1"/>
    <xf numFmtId="0" fontId="23" fillId="9" borderId="0" xfId="3" applyFont="1" applyFill="1" applyAlignment="1">
      <alignment horizontal="left" vertical="center" wrapText="1" indent="10"/>
    </xf>
    <xf numFmtId="0" fontId="23" fillId="9" borderId="42" xfId="3" applyFont="1" applyFill="1" applyBorder="1" applyAlignment="1">
      <alignment horizontal="left" vertical="center" wrapText="1" indent="10"/>
    </xf>
    <xf numFmtId="0" fontId="23" fillId="9" borderId="44" xfId="3" applyFont="1" applyFill="1" applyBorder="1" applyAlignment="1">
      <alignment horizontal="center" vertical="center" wrapText="1"/>
    </xf>
    <xf numFmtId="0" fontId="3" fillId="0" borderId="44" xfId="3" applyBorder="1" applyAlignment="1">
      <alignment horizontal="center"/>
    </xf>
    <xf numFmtId="0" fontId="3" fillId="0" borderId="45" xfId="3" applyBorder="1" applyAlignment="1">
      <alignment horizontal="center"/>
    </xf>
    <xf numFmtId="0" fontId="12" fillId="12" borderId="0" xfId="3" applyFont="1" applyFill="1" applyAlignment="1">
      <alignment horizontal="left" vertical="center" wrapText="1"/>
    </xf>
    <xf numFmtId="0" fontId="18" fillId="0" borderId="0" xfId="3" applyFont="1" applyAlignment="1">
      <alignment horizontal="left" wrapText="1"/>
    </xf>
    <xf numFmtId="0" fontId="3" fillId="0" borderId="0" xfId="3" applyAlignment="1">
      <alignment horizontal="left" vertical="top" wrapText="1"/>
    </xf>
    <xf numFmtId="0" fontId="13" fillId="0" borderId="1" xfId="0" applyFont="1" applyBorder="1" applyAlignment="1">
      <alignment horizontal="center"/>
    </xf>
    <xf numFmtId="0" fontId="0" fillId="0" borderId="1" xfId="0" applyBorder="1" applyAlignment="1">
      <alignment horizontal="center"/>
    </xf>
    <xf numFmtId="0" fontId="3" fillId="0" borderId="1" xfId="0" applyFont="1" applyBorder="1" applyAlignment="1">
      <alignment horizontal="center"/>
    </xf>
    <xf numFmtId="0" fontId="2" fillId="0" borderId="6" xfId="0" applyFont="1" applyBorder="1" applyAlignment="1">
      <alignment horizontal="center" vertical="center"/>
    </xf>
    <xf numFmtId="0" fontId="2" fillId="0" borderId="3" xfId="0" applyFont="1" applyBorder="1" applyAlignment="1">
      <alignment horizontal="center" vertical="center"/>
    </xf>
    <xf numFmtId="0" fontId="0" fillId="0" borderId="1" xfId="0" applyBorder="1" applyAlignment="1">
      <alignment horizont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3" fillId="0" borderId="9" xfId="0" applyFont="1" applyBorder="1" applyAlignment="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3" fillId="0" borderId="9"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4" xfId="0" applyFont="1"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9" xfId="0" applyBorder="1" applyAlignment="1">
      <alignment horizontal="center" wrapText="1"/>
    </xf>
    <xf numFmtId="0" fontId="0" fillId="0" borderId="10" xfId="0" applyBorder="1" applyAlignment="1">
      <alignment horizontal="center" wrapText="1"/>
    </xf>
    <xf numFmtId="0" fontId="2" fillId="0" borderId="14" xfId="0" applyFont="1" applyBorder="1" applyAlignment="1">
      <alignment horizontal="center"/>
    </xf>
    <xf numFmtId="0" fontId="2" fillId="0" borderId="13" xfId="0" applyFont="1" applyBorder="1" applyAlignment="1">
      <alignment horizontal="center"/>
    </xf>
    <xf numFmtId="0" fontId="2" fillId="0" borderId="5" xfId="0" applyFont="1" applyBorder="1" applyAlignment="1">
      <alignment horizontal="center"/>
    </xf>
    <xf numFmtId="2" fontId="0" fillId="4" borderId="6" xfId="0" applyNumberFormat="1" applyFill="1" applyBorder="1" applyAlignment="1">
      <alignment horizontal="center" vertical="center"/>
    </xf>
    <xf numFmtId="2" fontId="0" fillId="4" borderId="4" xfId="0" applyNumberFormat="1" applyFill="1"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wrapText="1"/>
    </xf>
  </cellXfs>
  <cellStyles count="8">
    <cellStyle name="Hyperlink" xfId="2" builtinId="8"/>
    <cellStyle name="Hyperlink 2" xfId="5" xr:uid="{F2A5D47C-B618-4E58-BF42-D4EF4E00E918}"/>
    <cellStyle name="Hyperlink 3" xfId="7" xr:uid="{E9812191-A91B-4EB2-8362-25378F555A19}"/>
    <cellStyle name="Normal" xfId="0" builtinId="0"/>
    <cellStyle name="Normal 2" xfId="3" xr:uid="{00000000-0005-0000-0000-000002000000}"/>
    <cellStyle name="Normal 3" xfId="6" xr:uid="{839CEE9A-2B63-4285-8A01-968F2B3C2F64}"/>
    <cellStyle name="Percent" xfId="1" builtinId="5"/>
    <cellStyle name="Percent 2" xfId="4" xr:uid="{00000000-0005-0000-0000-000032000000}"/>
  </cellStyles>
  <dxfs count="47">
    <dxf>
      <font>
        <b val="0"/>
        <i val="0"/>
        <strike val="0"/>
        <condense val="0"/>
        <extend val="0"/>
        <outline val="0"/>
        <shadow val="0"/>
        <u val="none"/>
        <vertAlign val="baseline"/>
        <sz val="10"/>
        <color auto="1"/>
        <name val="Arial"/>
        <scheme val="none"/>
      </font>
    </dxf>
    <dxf>
      <alignment horizontal="center" vertical="bottom" textRotation="0" wrapText="1" indent="0" justifyLastLine="0" shrinkToFit="0" readingOrder="0"/>
    </dxf>
    <dxf>
      <alignment horizontal="center" textRotation="0" indent="0" justifyLastLine="0" shrinkToFit="0" readingOrder="0"/>
    </dxf>
    <dxf>
      <font>
        <b val="0"/>
        <i val="0"/>
        <strike val="0"/>
        <condense val="0"/>
        <extend val="0"/>
        <outline val="0"/>
        <shadow val="0"/>
        <u val="none"/>
        <vertAlign val="baseline"/>
        <sz val="10"/>
        <color auto="1"/>
        <name val="Arial"/>
        <scheme val="none"/>
      </font>
      <numFmt numFmtId="167" formatCode="0.0%"/>
    </dxf>
    <dxf>
      <font>
        <b/>
        <i val="0"/>
        <strike val="0"/>
        <condense val="0"/>
        <extend val="0"/>
        <outline val="0"/>
        <shadow val="0"/>
        <u val="none"/>
        <vertAlign val="baseline"/>
        <sz val="10"/>
        <color auto="1"/>
        <name val="Arial"/>
        <scheme val="none"/>
      </font>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center" textRotation="0" wrapText="1" indent="0" justifyLastLine="0" shrinkToFit="0" readingOrder="0"/>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8"/>
      </font>
      <fill>
        <patternFill>
          <bgColor indexed="9"/>
        </patternFill>
      </fill>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ill>
        <patternFill>
          <bgColor rgb="FFFFFF99"/>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theme="0" tint="-0.14996795556505021"/>
        </patternFill>
      </fill>
    </dxf>
    <dxf>
      <font>
        <b/>
        <i val="0"/>
      </font>
    </dxf>
    <dxf>
      <font>
        <b/>
        <i val="0"/>
      </font>
    </dxf>
    <dxf>
      <font>
        <b/>
        <i val="0"/>
      </font>
    </dxf>
    <dxf>
      <font>
        <b/>
        <i val="0"/>
      </font>
    </dxf>
    <dxf>
      <font>
        <b/>
        <i val="0"/>
      </font>
    </dxf>
    <dxf>
      <font>
        <b/>
        <i val="0"/>
      </font>
    </dxf>
    <dxf>
      <font>
        <b/>
        <i val="0"/>
      </font>
      <fill>
        <patternFill>
          <bgColor rgb="FF00B0F0"/>
        </patternFill>
      </fill>
    </dxf>
  </dxfs>
  <tableStyles count="0" defaultTableStyle="TableStyleMedium9" defaultPivotStyle="PivotStyleLight16"/>
  <colors>
    <mruColors>
      <color rgb="FF66CCFF"/>
      <color rgb="FFFFFF99"/>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Drop" dropLines="12" dropStyle="combo" dx="22" fmlaLink="D14" fmlaRange="$I$12:$I$22" noThreeD="1" sel="2" val="0"/>
</file>

<file path=xl/ctrlProps/ctrlProp10.xml><?xml version="1.0" encoding="utf-8"?>
<formControlPr xmlns="http://schemas.microsoft.com/office/spreadsheetml/2009/9/main" objectType="Drop" dropLines="12" dropStyle="combo" dx="22" fmlaLink="D16" fmlaRange="$I$12:$I$22" noThreeD="1" sel="10" val="0"/>
</file>

<file path=xl/ctrlProps/ctrlProp11.xml><?xml version="1.0" encoding="utf-8"?>
<formControlPr xmlns="http://schemas.microsoft.com/office/spreadsheetml/2009/9/main" objectType="Drop" dropLines="12" dropStyle="combo" dx="22" fmlaLink="D17" fmlaRange="$I$12:$I$22" noThreeD="1" sel="1" val="0"/>
</file>

<file path=xl/ctrlProps/ctrlProp12.xml><?xml version="1.0" encoding="utf-8"?>
<formControlPr xmlns="http://schemas.microsoft.com/office/spreadsheetml/2009/9/main" objectType="Drop" dropLines="12" dropStyle="combo" dx="22" fmlaLink="D21" fmlaRange="$I$12:$I$22" noThreeD="1" sel="1" val="0"/>
</file>

<file path=xl/ctrlProps/ctrlProp13.xml><?xml version="1.0" encoding="utf-8"?>
<formControlPr xmlns="http://schemas.microsoft.com/office/spreadsheetml/2009/9/main" objectType="Drop" dropLines="12" dropStyle="combo" dx="22" fmlaLink="D18" fmlaRange="$I$12:$I$22" noThreeD="1" sel="1" val="0"/>
</file>

<file path=xl/ctrlProps/ctrlProp14.xml><?xml version="1.0" encoding="utf-8"?>
<formControlPr xmlns="http://schemas.microsoft.com/office/spreadsheetml/2009/9/main" objectType="Drop" dropLines="12" dropStyle="combo" dx="22" fmlaLink="D19" fmlaRange="$I$12:$I$22" noThreeD="1" sel="1" val="0"/>
</file>

<file path=xl/ctrlProps/ctrlProp15.xml><?xml version="1.0" encoding="utf-8"?>
<formControlPr xmlns="http://schemas.microsoft.com/office/spreadsheetml/2009/9/main" objectType="Drop" dropLines="12" dropStyle="combo" dx="22" fmlaLink="D20" fmlaRange="$I$12:$I$22" noThreeD="1" sel="1" val="0"/>
</file>

<file path=xl/ctrlProps/ctrlProp16.xml><?xml version="1.0" encoding="utf-8"?>
<formControlPr xmlns="http://schemas.microsoft.com/office/spreadsheetml/2009/9/main" objectType="CheckBox" checked="Checked" fmlaLink="$D$44" lockText="1" noThreeD="1"/>
</file>

<file path=xl/ctrlProps/ctrlProp17.xml><?xml version="1.0" encoding="utf-8"?>
<formControlPr xmlns="http://schemas.microsoft.com/office/spreadsheetml/2009/9/main" objectType="Drop" dropLines="12" dropStyle="combo" dx="22" fmlaLink="D22" fmlaRange="$I$12:$I$22" noThreeD="1" sel="1" val="0"/>
</file>

<file path=xl/ctrlProps/ctrlProp18.xml><?xml version="1.0" encoding="utf-8"?>
<formControlPr xmlns="http://schemas.microsoft.com/office/spreadsheetml/2009/9/main" objectType="Radio" firstButton="1" fmlaLink="$K$3"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Radio" firstButton="1" fmlaLink="$K$3" lockText="1" noThreeD="1"/>
</file>

<file path=xl/ctrlProps/ctrlProp20.xml><?xml version="1.0" encoding="utf-8"?>
<formControlPr xmlns="http://schemas.microsoft.com/office/spreadsheetml/2009/9/main" objectType="CheckBox" checked="Checked" fmlaLink="$F$45" lockText="1" noThreeD="1"/>
</file>

<file path=xl/ctrlProps/ctrlProp21.xml><?xml version="1.0" encoding="utf-8"?>
<formControlPr xmlns="http://schemas.microsoft.com/office/spreadsheetml/2009/9/main" objectType="CheckBox" checked="Checked" fmlaLink="$D$38" lockText="1" noThreeD="1"/>
</file>

<file path=xl/ctrlProps/ctrlProp22.xml><?xml version="1.0" encoding="utf-8"?>
<formControlPr xmlns="http://schemas.microsoft.com/office/spreadsheetml/2009/9/main" objectType="CheckBox" checked="Checked" fmlaLink="$E$38" lockText="1" noThreeD="1"/>
</file>

<file path=xl/ctrlProps/ctrlProp23.xml><?xml version="1.0" encoding="utf-8"?>
<formControlPr xmlns="http://schemas.microsoft.com/office/spreadsheetml/2009/9/main" objectType="CheckBox" checked="Checked" fmlaLink="$F$38" lockText="1" noThreeD="1"/>
</file>

<file path=xl/ctrlProps/ctrlProp24.xml><?xml version="1.0" encoding="utf-8"?>
<formControlPr xmlns="http://schemas.microsoft.com/office/spreadsheetml/2009/9/main" objectType="CheckBox" checked="Checked" fmlaLink="$E$45" lockText="1" noThreeD="1"/>
</file>

<file path=xl/ctrlProps/ctrlProp25.xml><?xml version="1.0" encoding="utf-8"?>
<formControlPr xmlns="http://schemas.microsoft.com/office/spreadsheetml/2009/9/main" objectType="Drop" dropLines="12" dropStyle="combo" dx="22" fmlaLink="D15" fmlaRange="$I$13:$I$23" noThreeD="1" sel="1" val="0"/>
</file>

<file path=xl/ctrlProps/ctrlProp26.xml><?xml version="1.0" encoding="utf-8"?>
<formControlPr xmlns="http://schemas.microsoft.com/office/spreadsheetml/2009/9/main" objectType="Drop" dropLines="12" dropStyle="combo" dx="22" fmlaLink="D16" fmlaRange="$I$13:$I$23" noThreeD="1" sel="1" val="0"/>
</file>

<file path=xl/ctrlProps/ctrlProp27.xml><?xml version="1.0" encoding="utf-8"?>
<formControlPr xmlns="http://schemas.microsoft.com/office/spreadsheetml/2009/9/main" objectType="Drop" dropLines="12" dropStyle="combo" dx="22" fmlaLink="D17" fmlaRange="$I$13:$I$23" noThreeD="1" sel="1" val="0"/>
</file>

<file path=xl/ctrlProps/ctrlProp28.xml><?xml version="1.0" encoding="utf-8"?>
<formControlPr xmlns="http://schemas.microsoft.com/office/spreadsheetml/2009/9/main" objectType="Drop" dropLines="12" dropStyle="combo" dx="22" fmlaLink="D18" fmlaRange="$I$13:$I$23" noThreeD="1" sel="1" val="0"/>
</file>

<file path=xl/ctrlProps/ctrlProp29.xml><?xml version="1.0" encoding="utf-8"?>
<formControlPr xmlns="http://schemas.microsoft.com/office/spreadsheetml/2009/9/main" objectType="Drop" dropLines="12" dropStyle="combo" dx="22" fmlaLink="D22" fmlaRange="$I$13:$I$23" noThreeD="1" sel="1" val="0"/>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Drop" dropLines="12" dropStyle="combo" dx="22" fmlaLink="D19" fmlaRange="$I$13:$I$23" noThreeD="1" sel="1" val="0"/>
</file>

<file path=xl/ctrlProps/ctrlProp31.xml><?xml version="1.0" encoding="utf-8"?>
<formControlPr xmlns="http://schemas.microsoft.com/office/spreadsheetml/2009/9/main" objectType="Drop" dropLines="12" dropStyle="combo" dx="22" fmlaLink="D20" fmlaRange="$I$13:$I$23" noThreeD="1" sel="1" val="0"/>
</file>

<file path=xl/ctrlProps/ctrlProp32.xml><?xml version="1.0" encoding="utf-8"?>
<formControlPr xmlns="http://schemas.microsoft.com/office/spreadsheetml/2009/9/main" objectType="Drop" dropLines="12" dropStyle="combo" dx="22" fmlaLink="D21" fmlaRange="$I$13:$I$23" noThreeD="1" sel="1" val="0"/>
</file>

<file path=xl/ctrlProps/ctrlProp33.xml><?xml version="1.0" encoding="utf-8"?>
<formControlPr xmlns="http://schemas.microsoft.com/office/spreadsheetml/2009/9/main" objectType="CheckBox" checked="Checked" fmlaLink="$D$45" lockText="1" noThreeD="1"/>
</file>

<file path=xl/ctrlProps/ctrlProp34.xml><?xml version="1.0" encoding="utf-8"?>
<formControlPr xmlns="http://schemas.microsoft.com/office/spreadsheetml/2009/9/main" objectType="Drop" dropLines="12" dropStyle="combo" dx="22" fmlaLink="D23" fmlaRange="$I$13:$I$23" noThreeD="1" sel="1" val="0"/>
</file>

<file path=xl/ctrlProps/ctrlProp4.xml><?xml version="1.0" encoding="utf-8"?>
<formControlPr xmlns="http://schemas.microsoft.com/office/spreadsheetml/2009/9/main" objectType="CheckBox" checked="Checked" fmlaLink="$F$44" lockText="1" noThreeD="1"/>
</file>

<file path=xl/ctrlProps/ctrlProp5.xml><?xml version="1.0" encoding="utf-8"?>
<formControlPr xmlns="http://schemas.microsoft.com/office/spreadsheetml/2009/9/main" objectType="CheckBox" checked="Checked" fmlaLink="$D$37" lockText="1" noThreeD="1"/>
</file>

<file path=xl/ctrlProps/ctrlProp6.xml><?xml version="1.0" encoding="utf-8"?>
<formControlPr xmlns="http://schemas.microsoft.com/office/spreadsheetml/2009/9/main" objectType="CheckBox" checked="Checked" fmlaLink="$E$37" lockText="1" noThreeD="1"/>
</file>

<file path=xl/ctrlProps/ctrlProp7.xml><?xml version="1.0" encoding="utf-8"?>
<formControlPr xmlns="http://schemas.microsoft.com/office/spreadsheetml/2009/9/main" objectType="CheckBox" checked="Checked" fmlaLink="$F$37" lockText="1" noThreeD="1"/>
</file>

<file path=xl/ctrlProps/ctrlProp8.xml><?xml version="1.0" encoding="utf-8"?>
<formControlPr xmlns="http://schemas.microsoft.com/office/spreadsheetml/2009/9/main" objectType="CheckBox" checked="Checked" fmlaLink="$E$44" lockText="1" noThreeD="1"/>
</file>

<file path=xl/ctrlProps/ctrlProp9.xml><?xml version="1.0" encoding="utf-8"?>
<formControlPr xmlns="http://schemas.microsoft.com/office/spreadsheetml/2009/9/main" objectType="Drop" dropLines="12" dropStyle="combo" dx="22" fmlaLink="D15" fmlaRange="$I$12:$I$22" noThreeD="1" sel="2" val="0"/>
</file>

<file path=xl/drawings/_rels/drawing1.xml.rels><?xml version="1.0" encoding="UTF-8" standalone="yes"?>
<Relationships xmlns="http://schemas.openxmlformats.org/package/2006/relationships"><Relationship Id="rId3" Type="http://schemas.openxmlformats.org/officeDocument/2006/relationships/hyperlink" Target="http://www.ezwatercalculator.com/donate_redirect.html" TargetMode="External"/><Relationship Id="rId2" Type="http://schemas.openxmlformats.org/officeDocument/2006/relationships/image" Target="../media/image3.png"/><Relationship Id="rId1" Type="http://schemas.openxmlformats.org/officeDocument/2006/relationships/hyperlink" Target="http://www.homebrewsupply.com/?a_aid=toddhuizingh&amp;a_bid=70d8cb08#a_aid=toddhuizingh&amp;a_bid=70d8cb08&amp;chan=code2"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http://www.homebrewsupply.com/?a_aid=toddhuizingh&amp;a_bid=70d8cb08#a_aid=toddhuizingh&amp;a_bid=70d8cb08&amp;chan=code2" TargetMode="External"/><Relationship Id="rId1" Type="http://schemas.openxmlformats.org/officeDocument/2006/relationships/hyperlink" Target="http://www.ezwatercalculator.com/donate_redirect.html"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xdr:colOff>
          <xdr:row>13</xdr:row>
          <xdr:rowOff>7620</xdr:rowOff>
        </xdr:from>
        <xdr:to>
          <xdr:col>3</xdr:col>
          <xdr:colOff>975360</xdr:colOff>
          <xdr:row>13</xdr:row>
          <xdr:rowOff>213360</xdr:rowOff>
        </xdr:to>
        <xdr:sp macro="" textlink="">
          <xdr:nvSpPr>
            <xdr:cNvPr id="1032" name="Drop Down 8" hidden="1">
              <a:extLst>
                <a:ext uri="{63B3BB69-23CF-44E3-9099-C40C66FF867C}">
                  <a14:compatExt spid="_x0000_s1032"/>
                </a:ext>
                <a:ext uri="{FF2B5EF4-FFF2-40B4-BE49-F238E27FC236}">
                  <a16:creationId xmlns:a16="http://schemas.microsoft.com/office/drawing/2014/main" id="{00000000-0008-0000-05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30480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5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5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43</xdr:row>
          <xdr:rowOff>0</xdr:rowOff>
        </xdr:from>
        <xdr:to>
          <xdr:col>5</xdr:col>
          <xdr:colOff>693420</xdr:colOff>
          <xdr:row>44</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36</xdr:row>
          <xdr:rowOff>0</xdr:rowOff>
        </xdr:from>
        <xdr:to>
          <xdr:col>3</xdr:col>
          <xdr:colOff>693420</xdr:colOff>
          <xdr:row>36</xdr:row>
          <xdr:rowOff>220980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5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36</xdr:row>
          <xdr:rowOff>0</xdr:rowOff>
        </xdr:from>
        <xdr:to>
          <xdr:col>4</xdr:col>
          <xdr:colOff>693420</xdr:colOff>
          <xdr:row>36</xdr:row>
          <xdr:rowOff>220980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5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36</xdr:row>
          <xdr:rowOff>0</xdr:rowOff>
        </xdr:from>
        <xdr:to>
          <xdr:col>5</xdr:col>
          <xdr:colOff>693420</xdr:colOff>
          <xdr:row>37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5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43</xdr:row>
          <xdr:rowOff>0</xdr:rowOff>
        </xdr:from>
        <xdr:to>
          <xdr:col>4</xdr:col>
          <xdr:colOff>693420</xdr:colOff>
          <xdr:row>44</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5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5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5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5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5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5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036" name="Drop Down 12" hidden="1">
              <a:extLst>
                <a:ext uri="{63B3BB69-23CF-44E3-9099-C40C66FF867C}">
                  <a14:compatExt spid="_x0000_s1036"/>
                </a:ext>
                <a:ext uri="{FF2B5EF4-FFF2-40B4-BE49-F238E27FC236}">
                  <a16:creationId xmlns:a16="http://schemas.microsoft.com/office/drawing/2014/main" id="{00000000-0008-0000-05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5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038" name="Drop Down 14" hidden="1">
              <a:extLst>
                <a:ext uri="{63B3BB69-23CF-44E3-9099-C40C66FF867C}">
                  <a14:compatExt spid="_x0000_s1038"/>
                </a:ext>
                <a:ext uri="{FF2B5EF4-FFF2-40B4-BE49-F238E27FC236}">
                  <a16:creationId xmlns:a16="http://schemas.microsoft.com/office/drawing/2014/main" id="{00000000-0008-0000-05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5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43</xdr:row>
          <xdr:rowOff>0</xdr:rowOff>
        </xdr:from>
        <xdr:to>
          <xdr:col>3</xdr:col>
          <xdr:colOff>693420</xdr:colOff>
          <xdr:row>44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5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5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39</xdr:row>
      <xdr:rowOff>95250</xdr:rowOff>
    </xdr:from>
    <xdr:to>
      <xdr:col>5</xdr:col>
      <xdr:colOff>495300</xdr:colOff>
      <xdr:row>40</xdr:row>
      <xdr:rowOff>66675</xdr:rowOff>
    </xdr:to>
    <xdr:sp macro="" textlink="">
      <xdr:nvSpPr>
        <xdr:cNvPr id="21" name="Line 45">
          <a:extLst>
            <a:ext uri="{FF2B5EF4-FFF2-40B4-BE49-F238E27FC236}">
              <a16:creationId xmlns:a16="http://schemas.microsoft.com/office/drawing/2014/main" id="{00000000-0008-0000-0500-000015000000}"/>
            </a:ext>
          </a:extLst>
        </xdr:cNvPr>
        <xdr:cNvSpPr>
          <a:spLocks noChangeShapeType="1"/>
        </xdr:cNvSpPr>
      </xdr:nvSpPr>
      <xdr:spPr bwMode="auto">
        <a:xfrm flipH="1">
          <a:off x="4770120" y="83248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39</xdr:row>
      <xdr:rowOff>95250</xdr:rowOff>
    </xdr:from>
    <xdr:to>
      <xdr:col>6</xdr:col>
      <xdr:colOff>9525</xdr:colOff>
      <xdr:row>39</xdr:row>
      <xdr:rowOff>95250</xdr:rowOff>
    </xdr:to>
    <xdr:sp macro="" textlink="">
      <xdr:nvSpPr>
        <xdr:cNvPr id="22" name="Line 46">
          <a:extLst>
            <a:ext uri="{FF2B5EF4-FFF2-40B4-BE49-F238E27FC236}">
              <a16:creationId xmlns:a16="http://schemas.microsoft.com/office/drawing/2014/main" id="{00000000-0008-0000-0500-000016000000}"/>
            </a:ext>
          </a:extLst>
        </xdr:cNvPr>
        <xdr:cNvSpPr>
          <a:spLocks noChangeShapeType="1"/>
        </xdr:cNvSpPr>
      </xdr:nvSpPr>
      <xdr:spPr bwMode="auto">
        <a:xfrm>
          <a:off x="4770120" y="83248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161925</xdr:colOff>
      <xdr:row>36</xdr:row>
      <xdr:rowOff>200025</xdr:rowOff>
    </xdr:from>
    <xdr:to>
      <xdr:col>7</xdr:col>
      <xdr:colOff>161925</xdr:colOff>
      <xdr:row>37</xdr:row>
      <xdr:rowOff>123825</xdr:rowOff>
    </xdr:to>
    <xdr:sp macro="" textlink="">
      <xdr:nvSpPr>
        <xdr:cNvPr id="23" name="Line 47">
          <a:extLst>
            <a:ext uri="{FF2B5EF4-FFF2-40B4-BE49-F238E27FC236}">
              <a16:creationId xmlns:a16="http://schemas.microsoft.com/office/drawing/2014/main" id="{00000000-0008-0000-0500-000017000000}"/>
            </a:ext>
          </a:extLst>
        </xdr:cNvPr>
        <xdr:cNvSpPr>
          <a:spLocks noChangeShapeType="1"/>
        </xdr:cNvSpPr>
      </xdr:nvSpPr>
      <xdr:spPr bwMode="auto">
        <a:xfrm flipH="1" flipV="1">
          <a:off x="6448425" y="7781925"/>
          <a:ext cx="0" cy="152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171450</xdr:colOff>
      <xdr:row>37</xdr:row>
      <xdr:rowOff>123825</xdr:rowOff>
    </xdr:from>
    <xdr:to>
      <xdr:col>7</xdr:col>
      <xdr:colOff>552450</xdr:colOff>
      <xdr:row>37</xdr:row>
      <xdr:rowOff>123825</xdr:rowOff>
    </xdr:to>
    <xdr:sp macro="" textlink="">
      <xdr:nvSpPr>
        <xdr:cNvPr id="24" name="Line 48">
          <a:extLst>
            <a:ext uri="{FF2B5EF4-FFF2-40B4-BE49-F238E27FC236}">
              <a16:creationId xmlns:a16="http://schemas.microsoft.com/office/drawing/2014/main" id="{00000000-0008-0000-0500-000018000000}"/>
            </a:ext>
          </a:extLst>
        </xdr:cNvPr>
        <xdr:cNvSpPr>
          <a:spLocks noChangeShapeType="1"/>
        </xdr:cNvSpPr>
      </xdr:nvSpPr>
      <xdr:spPr bwMode="auto">
        <a:xfrm>
          <a:off x="6457950" y="7934325"/>
          <a:ext cx="381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34</xdr:row>
      <xdr:rowOff>104775</xdr:rowOff>
    </xdr:from>
    <xdr:to>
      <xdr:col>8</xdr:col>
      <xdr:colOff>114300</xdr:colOff>
      <xdr:row>34</xdr:row>
      <xdr:rowOff>104775</xdr:rowOff>
    </xdr:to>
    <xdr:sp macro="" textlink="">
      <xdr:nvSpPr>
        <xdr:cNvPr id="25" name="Line 49">
          <a:extLst>
            <a:ext uri="{FF2B5EF4-FFF2-40B4-BE49-F238E27FC236}">
              <a16:creationId xmlns:a16="http://schemas.microsoft.com/office/drawing/2014/main" id="{00000000-0008-0000-0500-000019000000}"/>
            </a:ext>
          </a:extLst>
        </xdr:cNvPr>
        <xdr:cNvSpPr>
          <a:spLocks noChangeShapeType="1"/>
        </xdr:cNvSpPr>
      </xdr:nvSpPr>
      <xdr:spPr bwMode="auto">
        <a:xfrm flipH="1" flipV="1">
          <a:off x="7258050" y="72675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34</xdr:row>
      <xdr:rowOff>104775</xdr:rowOff>
    </xdr:from>
    <xdr:to>
      <xdr:col>8</xdr:col>
      <xdr:colOff>114300</xdr:colOff>
      <xdr:row>36</xdr:row>
      <xdr:rowOff>133350</xdr:rowOff>
    </xdr:to>
    <xdr:sp macro="" textlink="">
      <xdr:nvSpPr>
        <xdr:cNvPr id="26" name="Line 51">
          <a:extLst>
            <a:ext uri="{FF2B5EF4-FFF2-40B4-BE49-F238E27FC236}">
              <a16:creationId xmlns:a16="http://schemas.microsoft.com/office/drawing/2014/main" id="{00000000-0008-0000-0500-00001A000000}"/>
            </a:ext>
          </a:extLst>
        </xdr:cNvPr>
        <xdr:cNvSpPr>
          <a:spLocks noChangeShapeType="1"/>
        </xdr:cNvSpPr>
      </xdr:nvSpPr>
      <xdr:spPr bwMode="auto">
        <a:xfrm flipH="1" flipV="1">
          <a:off x="7406640" y="72675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30</xdr:row>
      <xdr:rowOff>180975</xdr:rowOff>
    </xdr:from>
    <xdr:to>
      <xdr:col>7</xdr:col>
      <xdr:colOff>333375</xdr:colOff>
      <xdr:row>30</xdr:row>
      <xdr:rowOff>180975</xdr:rowOff>
    </xdr:to>
    <xdr:sp macro="" textlink="">
      <xdr:nvSpPr>
        <xdr:cNvPr id="27" name="Line 52">
          <a:extLst>
            <a:ext uri="{FF2B5EF4-FFF2-40B4-BE49-F238E27FC236}">
              <a16:creationId xmlns:a16="http://schemas.microsoft.com/office/drawing/2014/main" id="{00000000-0008-0000-0500-00001B000000}"/>
            </a:ext>
          </a:extLst>
        </xdr:cNvPr>
        <xdr:cNvSpPr>
          <a:spLocks noChangeShapeType="1"/>
        </xdr:cNvSpPr>
      </xdr:nvSpPr>
      <xdr:spPr bwMode="auto">
        <a:xfrm flipH="1" flipV="1">
          <a:off x="6296025" y="64217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51</xdr:row>
      <xdr:rowOff>190500</xdr:rowOff>
    </xdr:from>
    <xdr:to>
      <xdr:col>2</xdr:col>
      <xdr:colOff>962025</xdr:colOff>
      <xdr:row>52</xdr:row>
      <xdr:rowOff>95250</xdr:rowOff>
    </xdr:to>
    <xdr:sp macro="" textlink="">
      <xdr:nvSpPr>
        <xdr:cNvPr id="28" name="Line 53">
          <a:extLst>
            <a:ext uri="{FF2B5EF4-FFF2-40B4-BE49-F238E27FC236}">
              <a16:creationId xmlns:a16="http://schemas.microsoft.com/office/drawing/2014/main" id="{00000000-0008-0000-0500-00001C000000}"/>
            </a:ext>
          </a:extLst>
        </xdr:cNvPr>
        <xdr:cNvSpPr>
          <a:spLocks noChangeShapeType="1"/>
        </xdr:cNvSpPr>
      </xdr:nvSpPr>
      <xdr:spPr bwMode="auto">
        <a:xfrm flipH="1" flipV="1">
          <a:off x="1190625" y="108966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95250</xdr:rowOff>
    </xdr:from>
    <xdr:to>
      <xdr:col>2</xdr:col>
      <xdr:colOff>1133475</xdr:colOff>
      <xdr:row>52</xdr:row>
      <xdr:rowOff>95250</xdr:rowOff>
    </xdr:to>
    <xdr:sp macro="" textlink="">
      <xdr:nvSpPr>
        <xdr:cNvPr id="29" name="Line 54">
          <a:extLst>
            <a:ext uri="{FF2B5EF4-FFF2-40B4-BE49-F238E27FC236}">
              <a16:creationId xmlns:a16="http://schemas.microsoft.com/office/drawing/2014/main" id="{00000000-0008-0000-0500-00001D000000}"/>
            </a:ext>
          </a:extLst>
        </xdr:cNvPr>
        <xdr:cNvSpPr>
          <a:spLocks noChangeShapeType="1"/>
        </xdr:cNvSpPr>
      </xdr:nvSpPr>
      <xdr:spPr bwMode="auto">
        <a:xfrm>
          <a:off x="1190625" y="110299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26</xdr:row>
      <xdr:rowOff>85725</xdr:rowOff>
    </xdr:from>
    <xdr:to>
      <xdr:col>5</xdr:col>
      <xdr:colOff>971550</xdr:colOff>
      <xdr:row>27</xdr:row>
      <xdr:rowOff>28575</xdr:rowOff>
    </xdr:to>
    <xdr:sp macro="" textlink="">
      <xdr:nvSpPr>
        <xdr:cNvPr id="30" name="Line 56">
          <a:extLst>
            <a:ext uri="{FF2B5EF4-FFF2-40B4-BE49-F238E27FC236}">
              <a16:creationId xmlns:a16="http://schemas.microsoft.com/office/drawing/2014/main" id="{00000000-0008-0000-0500-00001E000000}"/>
            </a:ext>
          </a:extLst>
        </xdr:cNvPr>
        <xdr:cNvSpPr>
          <a:spLocks noChangeShapeType="1"/>
        </xdr:cNvSpPr>
      </xdr:nvSpPr>
      <xdr:spPr bwMode="auto">
        <a:xfrm flipH="1">
          <a:off x="5122545" y="55797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26</xdr:row>
      <xdr:rowOff>85725</xdr:rowOff>
    </xdr:from>
    <xdr:to>
      <xdr:col>7</xdr:col>
      <xdr:colOff>333375</xdr:colOff>
      <xdr:row>26</xdr:row>
      <xdr:rowOff>85725</xdr:rowOff>
    </xdr:to>
    <xdr:sp macro="" textlink="">
      <xdr:nvSpPr>
        <xdr:cNvPr id="31" name="Line 59">
          <a:extLst>
            <a:ext uri="{FF2B5EF4-FFF2-40B4-BE49-F238E27FC236}">
              <a16:creationId xmlns:a16="http://schemas.microsoft.com/office/drawing/2014/main" id="{00000000-0008-0000-0500-00001F000000}"/>
            </a:ext>
          </a:extLst>
        </xdr:cNvPr>
        <xdr:cNvSpPr>
          <a:spLocks noChangeShapeType="1"/>
        </xdr:cNvSpPr>
      </xdr:nvSpPr>
      <xdr:spPr bwMode="auto">
        <a:xfrm>
          <a:off x="5246370" y="55797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114300</xdr:rowOff>
    </xdr:from>
    <xdr:to>
      <xdr:col>2</xdr:col>
      <xdr:colOff>114300</xdr:colOff>
      <xdr:row>38</xdr:row>
      <xdr:rowOff>114300</xdr:rowOff>
    </xdr:to>
    <xdr:sp macro="" textlink="">
      <xdr:nvSpPr>
        <xdr:cNvPr id="32" name="Line 65">
          <a:extLst>
            <a:ext uri="{FF2B5EF4-FFF2-40B4-BE49-F238E27FC236}">
              <a16:creationId xmlns:a16="http://schemas.microsoft.com/office/drawing/2014/main" id="{00000000-0008-0000-0500-000020000000}"/>
            </a:ext>
          </a:extLst>
        </xdr:cNvPr>
        <xdr:cNvSpPr>
          <a:spLocks noChangeShapeType="1"/>
        </xdr:cNvSpPr>
      </xdr:nvSpPr>
      <xdr:spPr bwMode="auto">
        <a:xfrm>
          <a:off x="161925" y="81534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2</xdr:col>
      <xdr:colOff>85725</xdr:colOff>
      <xdr:row>37</xdr:row>
      <xdr:rowOff>123825</xdr:rowOff>
    </xdr:to>
    <xdr:sp macro="" textlink="">
      <xdr:nvSpPr>
        <xdr:cNvPr id="33" name="Line 66">
          <a:extLst>
            <a:ext uri="{FF2B5EF4-FFF2-40B4-BE49-F238E27FC236}">
              <a16:creationId xmlns:a16="http://schemas.microsoft.com/office/drawing/2014/main" id="{00000000-0008-0000-0500-000021000000}"/>
            </a:ext>
          </a:extLst>
        </xdr:cNvPr>
        <xdr:cNvSpPr>
          <a:spLocks noChangeShapeType="1"/>
        </xdr:cNvSpPr>
      </xdr:nvSpPr>
      <xdr:spPr bwMode="auto">
        <a:xfrm>
          <a:off x="161925" y="79343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37</xdr:row>
      <xdr:rowOff>123825</xdr:rowOff>
    </xdr:from>
    <xdr:to>
      <xdr:col>1</xdr:col>
      <xdr:colOff>47625</xdr:colOff>
      <xdr:row>38</xdr:row>
      <xdr:rowOff>114300</xdr:rowOff>
    </xdr:to>
    <xdr:sp macro="" textlink="">
      <xdr:nvSpPr>
        <xdr:cNvPr id="34" name="Line 72">
          <a:extLst>
            <a:ext uri="{FF2B5EF4-FFF2-40B4-BE49-F238E27FC236}">
              <a16:creationId xmlns:a16="http://schemas.microsoft.com/office/drawing/2014/main" id="{00000000-0008-0000-0500-000022000000}"/>
            </a:ext>
          </a:extLst>
        </xdr:cNvPr>
        <xdr:cNvSpPr>
          <a:spLocks noChangeShapeType="1"/>
        </xdr:cNvSpPr>
      </xdr:nvSpPr>
      <xdr:spPr bwMode="auto">
        <a:xfrm flipV="1">
          <a:off x="161925" y="79343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323850</xdr:colOff>
      <xdr:row>34</xdr:row>
      <xdr:rowOff>114300</xdr:rowOff>
    </xdr:to>
    <xdr:sp macro="" textlink="">
      <xdr:nvSpPr>
        <xdr:cNvPr id="35" name="Line 73">
          <a:extLst>
            <a:ext uri="{FF2B5EF4-FFF2-40B4-BE49-F238E27FC236}">
              <a16:creationId xmlns:a16="http://schemas.microsoft.com/office/drawing/2014/main" id="{00000000-0008-0000-0500-000023000000}"/>
            </a:ext>
          </a:extLst>
        </xdr:cNvPr>
        <xdr:cNvSpPr>
          <a:spLocks noChangeShapeType="1"/>
        </xdr:cNvSpPr>
      </xdr:nvSpPr>
      <xdr:spPr bwMode="auto">
        <a:xfrm>
          <a:off x="257175" y="72771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123825</xdr:rowOff>
    </xdr:from>
    <xdr:to>
      <xdr:col>2</xdr:col>
      <xdr:colOff>180975</xdr:colOff>
      <xdr:row>35</xdr:row>
      <xdr:rowOff>123825</xdr:rowOff>
    </xdr:to>
    <xdr:sp macro="" textlink="">
      <xdr:nvSpPr>
        <xdr:cNvPr id="36" name="Line 74">
          <a:extLst>
            <a:ext uri="{FF2B5EF4-FFF2-40B4-BE49-F238E27FC236}">
              <a16:creationId xmlns:a16="http://schemas.microsoft.com/office/drawing/2014/main" id="{00000000-0008-0000-0500-000024000000}"/>
            </a:ext>
          </a:extLst>
        </xdr:cNvPr>
        <xdr:cNvSpPr>
          <a:spLocks noChangeShapeType="1"/>
        </xdr:cNvSpPr>
      </xdr:nvSpPr>
      <xdr:spPr bwMode="auto">
        <a:xfrm>
          <a:off x="257175" y="7477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34</xdr:row>
      <xdr:rowOff>114300</xdr:rowOff>
    </xdr:from>
    <xdr:to>
      <xdr:col>2</xdr:col>
      <xdr:colOff>28575</xdr:colOff>
      <xdr:row>35</xdr:row>
      <xdr:rowOff>123825</xdr:rowOff>
    </xdr:to>
    <xdr:sp macro="" textlink="">
      <xdr:nvSpPr>
        <xdr:cNvPr id="37" name="Line 75">
          <a:extLst>
            <a:ext uri="{FF2B5EF4-FFF2-40B4-BE49-F238E27FC236}">
              <a16:creationId xmlns:a16="http://schemas.microsoft.com/office/drawing/2014/main" id="{00000000-0008-0000-0500-000025000000}"/>
            </a:ext>
          </a:extLst>
        </xdr:cNvPr>
        <xdr:cNvSpPr>
          <a:spLocks noChangeShapeType="1"/>
        </xdr:cNvSpPr>
      </xdr:nvSpPr>
      <xdr:spPr bwMode="auto">
        <a:xfrm>
          <a:off x="257175" y="72771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36</xdr:row>
      <xdr:rowOff>133350</xdr:rowOff>
    </xdr:from>
    <xdr:to>
      <xdr:col>8</xdr:col>
      <xdr:colOff>209550</xdr:colOff>
      <xdr:row>36</xdr:row>
      <xdr:rowOff>133350</xdr:rowOff>
    </xdr:to>
    <xdr:sp macro="" textlink="">
      <xdr:nvSpPr>
        <xdr:cNvPr id="38" name="Line 77">
          <a:extLst>
            <a:ext uri="{FF2B5EF4-FFF2-40B4-BE49-F238E27FC236}">
              <a16:creationId xmlns:a16="http://schemas.microsoft.com/office/drawing/2014/main" id="{00000000-0008-0000-0500-000026000000}"/>
            </a:ext>
          </a:extLst>
        </xdr:cNvPr>
        <xdr:cNvSpPr>
          <a:spLocks noChangeShapeType="1"/>
        </xdr:cNvSpPr>
      </xdr:nvSpPr>
      <xdr:spPr bwMode="auto">
        <a:xfrm>
          <a:off x="7406640" y="7715250"/>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114300</xdr:rowOff>
    </xdr:from>
    <xdr:to>
      <xdr:col>2</xdr:col>
      <xdr:colOff>114300</xdr:colOff>
      <xdr:row>45</xdr:row>
      <xdr:rowOff>114300</xdr:rowOff>
    </xdr:to>
    <xdr:sp macro="" textlink="">
      <xdr:nvSpPr>
        <xdr:cNvPr id="39" name="Line 78">
          <a:extLst>
            <a:ext uri="{FF2B5EF4-FFF2-40B4-BE49-F238E27FC236}">
              <a16:creationId xmlns:a16="http://schemas.microsoft.com/office/drawing/2014/main" id="{00000000-0008-0000-0500-000027000000}"/>
            </a:ext>
          </a:extLst>
        </xdr:cNvPr>
        <xdr:cNvSpPr>
          <a:spLocks noChangeShapeType="1"/>
        </xdr:cNvSpPr>
      </xdr:nvSpPr>
      <xdr:spPr bwMode="auto">
        <a:xfrm>
          <a:off x="161925" y="96012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2</xdr:col>
      <xdr:colOff>85725</xdr:colOff>
      <xdr:row>44</xdr:row>
      <xdr:rowOff>123825</xdr:rowOff>
    </xdr:to>
    <xdr:sp macro="" textlink="">
      <xdr:nvSpPr>
        <xdr:cNvPr id="40" name="Line 79">
          <a:extLst>
            <a:ext uri="{FF2B5EF4-FFF2-40B4-BE49-F238E27FC236}">
              <a16:creationId xmlns:a16="http://schemas.microsoft.com/office/drawing/2014/main" id="{00000000-0008-0000-0500-000028000000}"/>
            </a:ext>
          </a:extLst>
        </xdr:cNvPr>
        <xdr:cNvSpPr>
          <a:spLocks noChangeShapeType="1"/>
        </xdr:cNvSpPr>
      </xdr:nvSpPr>
      <xdr:spPr bwMode="auto">
        <a:xfrm>
          <a:off x="161925" y="93821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44</xdr:row>
      <xdr:rowOff>123825</xdr:rowOff>
    </xdr:from>
    <xdr:to>
      <xdr:col>1</xdr:col>
      <xdr:colOff>47625</xdr:colOff>
      <xdr:row>45</xdr:row>
      <xdr:rowOff>114300</xdr:rowOff>
    </xdr:to>
    <xdr:sp macro="" textlink="">
      <xdr:nvSpPr>
        <xdr:cNvPr id="41" name="Line 80">
          <a:extLst>
            <a:ext uri="{FF2B5EF4-FFF2-40B4-BE49-F238E27FC236}">
              <a16:creationId xmlns:a16="http://schemas.microsoft.com/office/drawing/2014/main" id="{00000000-0008-0000-0500-000029000000}"/>
            </a:ext>
          </a:extLst>
        </xdr:cNvPr>
        <xdr:cNvSpPr>
          <a:spLocks noChangeShapeType="1"/>
        </xdr:cNvSpPr>
      </xdr:nvSpPr>
      <xdr:spPr bwMode="auto">
        <a:xfrm flipV="1">
          <a:off x="161925" y="93821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323850</xdr:colOff>
      <xdr:row>41</xdr:row>
      <xdr:rowOff>114300</xdr:rowOff>
    </xdr:to>
    <xdr:sp macro="" textlink="">
      <xdr:nvSpPr>
        <xdr:cNvPr id="42" name="Line 81">
          <a:extLst>
            <a:ext uri="{FF2B5EF4-FFF2-40B4-BE49-F238E27FC236}">
              <a16:creationId xmlns:a16="http://schemas.microsoft.com/office/drawing/2014/main" id="{00000000-0008-0000-0500-00002A000000}"/>
            </a:ext>
          </a:extLst>
        </xdr:cNvPr>
        <xdr:cNvSpPr>
          <a:spLocks noChangeShapeType="1"/>
        </xdr:cNvSpPr>
      </xdr:nvSpPr>
      <xdr:spPr bwMode="auto">
        <a:xfrm>
          <a:off x="257175" y="87249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123825</xdr:rowOff>
    </xdr:from>
    <xdr:to>
      <xdr:col>2</xdr:col>
      <xdr:colOff>180975</xdr:colOff>
      <xdr:row>42</xdr:row>
      <xdr:rowOff>123825</xdr:rowOff>
    </xdr:to>
    <xdr:sp macro="" textlink="">
      <xdr:nvSpPr>
        <xdr:cNvPr id="43" name="Line 82">
          <a:extLst>
            <a:ext uri="{FF2B5EF4-FFF2-40B4-BE49-F238E27FC236}">
              <a16:creationId xmlns:a16="http://schemas.microsoft.com/office/drawing/2014/main" id="{00000000-0008-0000-0500-00002B000000}"/>
            </a:ext>
          </a:extLst>
        </xdr:cNvPr>
        <xdr:cNvSpPr>
          <a:spLocks noChangeShapeType="1"/>
        </xdr:cNvSpPr>
      </xdr:nvSpPr>
      <xdr:spPr bwMode="auto">
        <a:xfrm>
          <a:off x="257175" y="8924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114300</xdr:rowOff>
    </xdr:from>
    <xdr:to>
      <xdr:col>2</xdr:col>
      <xdr:colOff>28575</xdr:colOff>
      <xdr:row>42</xdr:row>
      <xdr:rowOff>123825</xdr:rowOff>
    </xdr:to>
    <xdr:sp macro="" textlink="">
      <xdr:nvSpPr>
        <xdr:cNvPr id="44" name="Line 83">
          <a:extLst>
            <a:ext uri="{FF2B5EF4-FFF2-40B4-BE49-F238E27FC236}">
              <a16:creationId xmlns:a16="http://schemas.microsoft.com/office/drawing/2014/main" id="{00000000-0008-0000-0500-00002C000000}"/>
            </a:ext>
          </a:extLst>
        </xdr:cNvPr>
        <xdr:cNvSpPr>
          <a:spLocks noChangeShapeType="1"/>
        </xdr:cNvSpPr>
      </xdr:nvSpPr>
      <xdr:spPr bwMode="auto">
        <a:xfrm>
          <a:off x="257175" y="87249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112058</xdr:colOff>
      <xdr:row>61</xdr:row>
      <xdr:rowOff>190499</xdr:rowOff>
    </xdr:from>
    <xdr:to>
      <xdr:col>4</xdr:col>
      <xdr:colOff>633190</xdr:colOff>
      <xdr:row>63</xdr:row>
      <xdr:rowOff>0</xdr:rowOff>
    </xdr:to>
    <xdr:pic>
      <xdr:nvPicPr>
        <xdr:cNvPr id="45" name="Picture 44">
          <a:hlinkClick xmlns:r="http://schemas.openxmlformats.org/officeDocument/2006/relationships" r:id="rId1"/>
          <a:extLst>
            <a:ext uri="{FF2B5EF4-FFF2-40B4-BE49-F238E27FC236}">
              <a16:creationId xmlns:a16="http://schemas.microsoft.com/office/drawing/2014/main" id="{00000000-0008-0000-0500-00002D000000}"/>
            </a:ext>
          </a:extLst>
        </xdr:cNvPr>
        <xdr:cNvPicPr>
          <a:picLocks noChangeAspect="1"/>
        </xdr:cNvPicPr>
      </xdr:nvPicPr>
      <xdr:blipFill>
        <a:blip xmlns:r="http://schemas.openxmlformats.org/officeDocument/2006/relationships" r:embed="rId2"/>
        <a:stretch>
          <a:fillRect/>
        </a:stretch>
      </xdr:blipFill>
      <xdr:spPr>
        <a:xfrm>
          <a:off x="226358" y="12938759"/>
          <a:ext cx="3675812" cy="5181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1798320</xdr:colOff>
          <xdr:row>78</xdr:row>
          <xdr:rowOff>99060</xdr:rowOff>
        </xdr:from>
        <xdr:to>
          <xdr:col>3</xdr:col>
          <xdr:colOff>518160</xdr:colOff>
          <xdr:row>78</xdr:row>
          <xdr:rowOff>106680</xdr:rowOff>
        </xdr:to>
        <xdr:sp macro="" textlink="">
          <xdr:nvSpPr>
            <xdr:cNvPr id="1042" name="Object 18" hidden="1">
              <a:hlinkClick xmlns:r="http://schemas.openxmlformats.org/officeDocument/2006/relationships" r:id="rId3"/>
              <a:extLst>
                <a:ext uri="{63B3BB69-23CF-44E3-9099-C40C66FF867C}">
                  <a14:compatExt spid="_x0000_s1042"/>
                </a:ext>
                <a:ext uri="{FF2B5EF4-FFF2-40B4-BE49-F238E27FC236}">
                  <a16:creationId xmlns:a16="http://schemas.microsoft.com/office/drawing/2014/main" id="{00000000-0008-0000-05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342900</xdr:colOff>
          <xdr:row>56</xdr:row>
          <xdr:rowOff>175260</xdr:rowOff>
        </xdr:from>
        <xdr:to>
          <xdr:col>2</xdr:col>
          <xdr:colOff>1584960</xdr:colOff>
          <xdr:row>60</xdr:row>
          <xdr:rowOff>38100</xdr:rowOff>
        </xdr:to>
        <xdr:sp macro="" textlink="">
          <xdr:nvSpPr>
            <xdr:cNvPr id="1043" name="Object 19" hidden="1">
              <a:hlinkClick xmlns:r="http://schemas.openxmlformats.org/officeDocument/2006/relationships" r:id="rId3"/>
              <a:extLst>
                <a:ext uri="{63B3BB69-23CF-44E3-9099-C40C66FF867C}">
                  <a14:compatExt spid="_x0000_s1043"/>
                </a:ext>
                <a:ext uri="{FF2B5EF4-FFF2-40B4-BE49-F238E27FC236}">
                  <a16:creationId xmlns:a16="http://schemas.microsoft.com/office/drawing/2014/main" id="{00000000-0008-0000-05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960120</xdr:colOff>
          <xdr:row>2</xdr:row>
          <xdr:rowOff>0</xdr:rowOff>
        </xdr:from>
        <xdr:to>
          <xdr:col>8</xdr:col>
          <xdr:colOff>297180</xdr:colOff>
          <xdr:row>3</xdr:row>
          <xdr:rowOff>38100</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960120</xdr:colOff>
          <xdr:row>2</xdr:row>
          <xdr:rowOff>160020</xdr:rowOff>
        </xdr:from>
        <xdr:to>
          <xdr:col>8</xdr:col>
          <xdr:colOff>297180</xdr:colOff>
          <xdr:row>4</xdr:row>
          <xdr:rowOff>0</xdr:rowOff>
        </xdr:to>
        <xdr:sp macro="" textlink="">
          <xdr:nvSpPr>
            <xdr:cNvPr id="16386" name="Option Button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44</xdr:row>
          <xdr:rowOff>0</xdr:rowOff>
        </xdr:from>
        <xdr:to>
          <xdr:col>5</xdr:col>
          <xdr:colOff>693420</xdr:colOff>
          <xdr:row>45</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37</xdr:row>
          <xdr:rowOff>0</xdr:rowOff>
        </xdr:from>
        <xdr:to>
          <xdr:col>3</xdr:col>
          <xdr:colOff>693420</xdr:colOff>
          <xdr:row>38</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37</xdr:row>
          <xdr:rowOff>0</xdr:rowOff>
        </xdr:from>
        <xdr:to>
          <xdr:col>4</xdr:col>
          <xdr:colOff>693420</xdr:colOff>
          <xdr:row>38</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37</xdr:row>
          <xdr:rowOff>0</xdr:rowOff>
        </xdr:from>
        <xdr:to>
          <xdr:col>5</xdr:col>
          <xdr:colOff>693420</xdr:colOff>
          <xdr:row>38</xdr:row>
          <xdr:rowOff>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44</xdr:row>
          <xdr:rowOff>0</xdr:rowOff>
        </xdr:from>
        <xdr:to>
          <xdr:col>4</xdr:col>
          <xdr:colOff>693420</xdr:colOff>
          <xdr:row>45</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495300</xdr:colOff>
      <xdr:row>5</xdr:row>
      <xdr:rowOff>0</xdr:rowOff>
    </xdr:from>
    <xdr:to>
      <xdr:col>7</xdr:col>
      <xdr:colOff>495300</xdr:colOff>
      <xdr:row>6</xdr:row>
      <xdr:rowOff>85725</xdr:rowOff>
    </xdr:to>
    <xdr:sp macro="" textlink="">
      <xdr:nvSpPr>
        <xdr:cNvPr id="9" name="Line 17">
          <a:extLst>
            <a:ext uri="{FF2B5EF4-FFF2-40B4-BE49-F238E27FC236}">
              <a16:creationId xmlns:a16="http://schemas.microsoft.com/office/drawing/2014/main" id="{00000000-0008-0000-0600-000009000000}"/>
            </a:ext>
          </a:extLst>
        </xdr:cNvPr>
        <xdr:cNvSpPr>
          <a:spLocks noChangeShapeType="1"/>
        </xdr:cNvSpPr>
      </xdr:nvSpPr>
      <xdr:spPr bwMode="auto">
        <a:xfrm flipH="1" flipV="1">
          <a:off x="6781800" y="1074420"/>
          <a:ext cx="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495300</xdr:colOff>
      <xdr:row>6</xdr:row>
      <xdr:rowOff>85725</xdr:rowOff>
    </xdr:from>
    <xdr:to>
      <xdr:col>7</xdr:col>
      <xdr:colOff>952500</xdr:colOff>
      <xdr:row>6</xdr:row>
      <xdr:rowOff>85725</xdr:rowOff>
    </xdr:to>
    <xdr:sp macro="" textlink="">
      <xdr:nvSpPr>
        <xdr:cNvPr id="10" name="Line 18">
          <a:extLst>
            <a:ext uri="{FF2B5EF4-FFF2-40B4-BE49-F238E27FC236}">
              <a16:creationId xmlns:a16="http://schemas.microsoft.com/office/drawing/2014/main" id="{00000000-0008-0000-0600-00000A000000}"/>
            </a:ext>
          </a:extLst>
        </xdr:cNvPr>
        <xdr:cNvSpPr>
          <a:spLocks noChangeShapeType="1"/>
        </xdr:cNvSpPr>
      </xdr:nvSpPr>
      <xdr:spPr bwMode="auto">
        <a:xfrm>
          <a:off x="6781800" y="1350645"/>
          <a:ext cx="4572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3</xdr:col>
          <xdr:colOff>7620</xdr:colOff>
          <xdr:row>14</xdr:row>
          <xdr:rowOff>7620</xdr:rowOff>
        </xdr:from>
        <xdr:to>
          <xdr:col>3</xdr:col>
          <xdr:colOff>975360</xdr:colOff>
          <xdr:row>14</xdr:row>
          <xdr:rowOff>213360</xdr:rowOff>
        </xdr:to>
        <xdr:sp macro="" textlink="">
          <xdr:nvSpPr>
            <xdr:cNvPr id="16392" name="Drop Down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15</xdr:row>
          <xdr:rowOff>7620</xdr:rowOff>
        </xdr:from>
        <xdr:to>
          <xdr:col>3</xdr:col>
          <xdr:colOff>975360</xdr:colOff>
          <xdr:row>15</xdr:row>
          <xdr:rowOff>213360</xdr:rowOff>
        </xdr:to>
        <xdr:sp macro="" textlink="">
          <xdr:nvSpPr>
            <xdr:cNvPr id="16393" name="Drop Down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16</xdr:row>
          <xdr:rowOff>7620</xdr:rowOff>
        </xdr:from>
        <xdr:to>
          <xdr:col>3</xdr:col>
          <xdr:colOff>975360</xdr:colOff>
          <xdr:row>16</xdr:row>
          <xdr:rowOff>213360</xdr:rowOff>
        </xdr:to>
        <xdr:sp macro="" textlink="">
          <xdr:nvSpPr>
            <xdr:cNvPr id="16394" name="Drop Down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17</xdr:row>
          <xdr:rowOff>7620</xdr:rowOff>
        </xdr:from>
        <xdr:to>
          <xdr:col>3</xdr:col>
          <xdr:colOff>975360</xdr:colOff>
          <xdr:row>17</xdr:row>
          <xdr:rowOff>213360</xdr:rowOff>
        </xdr:to>
        <xdr:sp macro="" textlink="">
          <xdr:nvSpPr>
            <xdr:cNvPr id="16395" name="Drop Down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21</xdr:row>
          <xdr:rowOff>7620</xdr:rowOff>
        </xdr:from>
        <xdr:to>
          <xdr:col>3</xdr:col>
          <xdr:colOff>975360</xdr:colOff>
          <xdr:row>21</xdr:row>
          <xdr:rowOff>213360</xdr:rowOff>
        </xdr:to>
        <xdr:sp macro="" textlink="">
          <xdr:nvSpPr>
            <xdr:cNvPr id="16396" name="Drop Down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18</xdr:row>
          <xdr:rowOff>7620</xdr:rowOff>
        </xdr:from>
        <xdr:to>
          <xdr:col>3</xdr:col>
          <xdr:colOff>975360</xdr:colOff>
          <xdr:row>18</xdr:row>
          <xdr:rowOff>213360</xdr:rowOff>
        </xdr:to>
        <xdr:sp macro="" textlink="">
          <xdr:nvSpPr>
            <xdr:cNvPr id="16397" name="Drop Down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19</xdr:row>
          <xdr:rowOff>7620</xdr:rowOff>
        </xdr:from>
        <xdr:to>
          <xdr:col>3</xdr:col>
          <xdr:colOff>975360</xdr:colOff>
          <xdr:row>19</xdr:row>
          <xdr:rowOff>213360</xdr:rowOff>
        </xdr:to>
        <xdr:sp macro="" textlink="">
          <xdr:nvSpPr>
            <xdr:cNvPr id="16398" name="Drop Down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20</xdr:row>
          <xdr:rowOff>7620</xdr:rowOff>
        </xdr:from>
        <xdr:to>
          <xdr:col>3</xdr:col>
          <xdr:colOff>975360</xdr:colOff>
          <xdr:row>20</xdr:row>
          <xdr:rowOff>213360</xdr:rowOff>
        </xdr:to>
        <xdr:sp macro="" textlink="">
          <xdr:nvSpPr>
            <xdr:cNvPr id="16399" name="Drop Down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44</xdr:row>
          <xdr:rowOff>0</xdr:rowOff>
        </xdr:from>
        <xdr:to>
          <xdr:col>3</xdr:col>
          <xdr:colOff>693420</xdr:colOff>
          <xdr:row>45</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22</xdr:row>
          <xdr:rowOff>7620</xdr:rowOff>
        </xdr:from>
        <xdr:to>
          <xdr:col>3</xdr:col>
          <xdr:colOff>975360</xdr:colOff>
          <xdr:row>22</xdr:row>
          <xdr:rowOff>213360</xdr:rowOff>
        </xdr:to>
        <xdr:sp macro="" textlink="">
          <xdr:nvSpPr>
            <xdr:cNvPr id="16401" name="Drop Down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495300</xdr:colOff>
      <xdr:row>40</xdr:row>
      <xdr:rowOff>95250</xdr:rowOff>
    </xdr:from>
    <xdr:to>
      <xdr:col>5</xdr:col>
      <xdr:colOff>495300</xdr:colOff>
      <xdr:row>41</xdr:row>
      <xdr:rowOff>66675</xdr:rowOff>
    </xdr:to>
    <xdr:sp macro="" textlink="">
      <xdr:nvSpPr>
        <xdr:cNvPr id="21" name="Line 45">
          <a:extLst>
            <a:ext uri="{FF2B5EF4-FFF2-40B4-BE49-F238E27FC236}">
              <a16:creationId xmlns:a16="http://schemas.microsoft.com/office/drawing/2014/main" id="{00000000-0008-0000-0600-000015000000}"/>
            </a:ext>
          </a:extLst>
        </xdr:cNvPr>
        <xdr:cNvSpPr>
          <a:spLocks noChangeShapeType="1"/>
        </xdr:cNvSpPr>
      </xdr:nvSpPr>
      <xdr:spPr bwMode="auto">
        <a:xfrm flipH="1">
          <a:off x="4770120" y="8553450"/>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495300</xdr:colOff>
      <xdr:row>40</xdr:row>
      <xdr:rowOff>95250</xdr:rowOff>
    </xdr:from>
    <xdr:to>
      <xdr:col>6</xdr:col>
      <xdr:colOff>9525</xdr:colOff>
      <xdr:row>40</xdr:row>
      <xdr:rowOff>95250</xdr:rowOff>
    </xdr:to>
    <xdr:sp macro="" textlink="">
      <xdr:nvSpPr>
        <xdr:cNvPr id="22" name="Line 46">
          <a:extLst>
            <a:ext uri="{FF2B5EF4-FFF2-40B4-BE49-F238E27FC236}">
              <a16:creationId xmlns:a16="http://schemas.microsoft.com/office/drawing/2014/main" id="{00000000-0008-0000-0600-000016000000}"/>
            </a:ext>
          </a:extLst>
        </xdr:cNvPr>
        <xdr:cNvSpPr>
          <a:spLocks noChangeShapeType="1"/>
        </xdr:cNvSpPr>
      </xdr:nvSpPr>
      <xdr:spPr bwMode="auto">
        <a:xfrm>
          <a:off x="4770120" y="8553450"/>
          <a:ext cx="520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35</xdr:row>
      <xdr:rowOff>104775</xdr:rowOff>
    </xdr:from>
    <xdr:to>
      <xdr:col>8</xdr:col>
      <xdr:colOff>114300</xdr:colOff>
      <xdr:row>35</xdr:row>
      <xdr:rowOff>104775</xdr:rowOff>
    </xdr:to>
    <xdr:sp macro="" textlink="">
      <xdr:nvSpPr>
        <xdr:cNvPr id="23" name="Line 49">
          <a:extLst>
            <a:ext uri="{FF2B5EF4-FFF2-40B4-BE49-F238E27FC236}">
              <a16:creationId xmlns:a16="http://schemas.microsoft.com/office/drawing/2014/main" id="{00000000-0008-0000-0600-000017000000}"/>
            </a:ext>
          </a:extLst>
        </xdr:cNvPr>
        <xdr:cNvSpPr>
          <a:spLocks noChangeShapeType="1"/>
        </xdr:cNvSpPr>
      </xdr:nvSpPr>
      <xdr:spPr bwMode="auto">
        <a:xfrm flipH="1" flipV="1">
          <a:off x="7258050" y="7496175"/>
          <a:ext cx="14859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114300</xdr:colOff>
      <xdr:row>35</xdr:row>
      <xdr:rowOff>104775</xdr:rowOff>
    </xdr:from>
    <xdr:to>
      <xdr:col>8</xdr:col>
      <xdr:colOff>114300</xdr:colOff>
      <xdr:row>37</xdr:row>
      <xdr:rowOff>123825</xdr:rowOff>
    </xdr:to>
    <xdr:sp macro="" textlink="">
      <xdr:nvSpPr>
        <xdr:cNvPr id="24" name="Line 51">
          <a:extLst>
            <a:ext uri="{FF2B5EF4-FFF2-40B4-BE49-F238E27FC236}">
              <a16:creationId xmlns:a16="http://schemas.microsoft.com/office/drawing/2014/main" id="{00000000-0008-0000-0600-000018000000}"/>
            </a:ext>
          </a:extLst>
        </xdr:cNvPr>
        <xdr:cNvSpPr>
          <a:spLocks noChangeShapeType="1"/>
        </xdr:cNvSpPr>
      </xdr:nvSpPr>
      <xdr:spPr bwMode="auto">
        <a:xfrm flipH="1" flipV="1">
          <a:off x="7406640" y="7496175"/>
          <a:ext cx="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9525</xdr:colOff>
      <xdr:row>31</xdr:row>
      <xdr:rowOff>180975</xdr:rowOff>
    </xdr:from>
    <xdr:to>
      <xdr:col>7</xdr:col>
      <xdr:colOff>333375</xdr:colOff>
      <xdr:row>31</xdr:row>
      <xdr:rowOff>180975</xdr:rowOff>
    </xdr:to>
    <xdr:sp macro="" textlink="">
      <xdr:nvSpPr>
        <xdr:cNvPr id="25" name="Line 52">
          <a:extLst>
            <a:ext uri="{FF2B5EF4-FFF2-40B4-BE49-F238E27FC236}">
              <a16:creationId xmlns:a16="http://schemas.microsoft.com/office/drawing/2014/main" id="{00000000-0008-0000-0600-000019000000}"/>
            </a:ext>
          </a:extLst>
        </xdr:cNvPr>
        <xdr:cNvSpPr>
          <a:spLocks noChangeShapeType="1"/>
        </xdr:cNvSpPr>
      </xdr:nvSpPr>
      <xdr:spPr bwMode="auto">
        <a:xfrm flipH="1" flipV="1">
          <a:off x="6296025" y="665035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52</xdr:row>
      <xdr:rowOff>190500</xdr:rowOff>
    </xdr:from>
    <xdr:to>
      <xdr:col>2</xdr:col>
      <xdr:colOff>962025</xdr:colOff>
      <xdr:row>53</xdr:row>
      <xdr:rowOff>95250</xdr:rowOff>
    </xdr:to>
    <xdr:sp macro="" textlink="">
      <xdr:nvSpPr>
        <xdr:cNvPr id="26" name="Line 53">
          <a:extLst>
            <a:ext uri="{FF2B5EF4-FFF2-40B4-BE49-F238E27FC236}">
              <a16:creationId xmlns:a16="http://schemas.microsoft.com/office/drawing/2014/main" id="{00000000-0008-0000-0600-00001A000000}"/>
            </a:ext>
          </a:extLst>
        </xdr:cNvPr>
        <xdr:cNvSpPr>
          <a:spLocks noChangeShapeType="1"/>
        </xdr:cNvSpPr>
      </xdr:nvSpPr>
      <xdr:spPr bwMode="auto">
        <a:xfrm flipH="1" flipV="1">
          <a:off x="1190625" y="11125200"/>
          <a:ext cx="0"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962025</xdr:colOff>
      <xdr:row>53</xdr:row>
      <xdr:rowOff>95250</xdr:rowOff>
    </xdr:from>
    <xdr:to>
      <xdr:col>2</xdr:col>
      <xdr:colOff>1133475</xdr:colOff>
      <xdr:row>53</xdr:row>
      <xdr:rowOff>95250</xdr:rowOff>
    </xdr:to>
    <xdr:sp macro="" textlink="">
      <xdr:nvSpPr>
        <xdr:cNvPr id="27" name="Line 54">
          <a:extLst>
            <a:ext uri="{FF2B5EF4-FFF2-40B4-BE49-F238E27FC236}">
              <a16:creationId xmlns:a16="http://schemas.microsoft.com/office/drawing/2014/main" id="{00000000-0008-0000-0600-00001B000000}"/>
            </a:ext>
          </a:extLst>
        </xdr:cNvPr>
        <xdr:cNvSpPr>
          <a:spLocks noChangeShapeType="1"/>
        </xdr:cNvSpPr>
      </xdr:nvSpPr>
      <xdr:spPr bwMode="auto">
        <a:xfrm>
          <a:off x="1190625" y="11258550"/>
          <a:ext cx="1714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847725</xdr:colOff>
      <xdr:row>27</xdr:row>
      <xdr:rowOff>85725</xdr:rowOff>
    </xdr:from>
    <xdr:to>
      <xdr:col>5</xdr:col>
      <xdr:colOff>971550</xdr:colOff>
      <xdr:row>28</xdr:row>
      <xdr:rowOff>28575</xdr:rowOff>
    </xdr:to>
    <xdr:sp macro="" textlink="">
      <xdr:nvSpPr>
        <xdr:cNvPr id="28" name="Line 56">
          <a:extLst>
            <a:ext uri="{FF2B5EF4-FFF2-40B4-BE49-F238E27FC236}">
              <a16:creationId xmlns:a16="http://schemas.microsoft.com/office/drawing/2014/main" id="{00000000-0008-0000-0600-00001C000000}"/>
            </a:ext>
          </a:extLst>
        </xdr:cNvPr>
        <xdr:cNvSpPr>
          <a:spLocks noChangeShapeType="1"/>
        </xdr:cNvSpPr>
      </xdr:nvSpPr>
      <xdr:spPr bwMode="auto">
        <a:xfrm flipH="1">
          <a:off x="5122545" y="5808345"/>
          <a:ext cx="123825" cy="11811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971550</xdr:colOff>
      <xdr:row>27</xdr:row>
      <xdr:rowOff>85725</xdr:rowOff>
    </xdr:from>
    <xdr:to>
      <xdr:col>7</xdr:col>
      <xdr:colOff>333375</xdr:colOff>
      <xdr:row>27</xdr:row>
      <xdr:rowOff>85725</xdr:rowOff>
    </xdr:to>
    <xdr:sp macro="" textlink="">
      <xdr:nvSpPr>
        <xdr:cNvPr id="29" name="Line 59">
          <a:extLst>
            <a:ext uri="{FF2B5EF4-FFF2-40B4-BE49-F238E27FC236}">
              <a16:creationId xmlns:a16="http://schemas.microsoft.com/office/drawing/2014/main" id="{00000000-0008-0000-0600-00001D000000}"/>
            </a:ext>
          </a:extLst>
        </xdr:cNvPr>
        <xdr:cNvSpPr>
          <a:spLocks noChangeShapeType="1"/>
        </xdr:cNvSpPr>
      </xdr:nvSpPr>
      <xdr:spPr bwMode="auto">
        <a:xfrm>
          <a:off x="5246370" y="5808345"/>
          <a:ext cx="137350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39</xdr:row>
      <xdr:rowOff>114300</xdr:rowOff>
    </xdr:from>
    <xdr:to>
      <xdr:col>2</xdr:col>
      <xdr:colOff>114300</xdr:colOff>
      <xdr:row>39</xdr:row>
      <xdr:rowOff>114300</xdr:rowOff>
    </xdr:to>
    <xdr:sp macro="" textlink="">
      <xdr:nvSpPr>
        <xdr:cNvPr id="30" name="Line 60">
          <a:extLst>
            <a:ext uri="{FF2B5EF4-FFF2-40B4-BE49-F238E27FC236}">
              <a16:creationId xmlns:a16="http://schemas.microsoft.com/office/drawing/2014/main" id="{00000000-0008-0000-0600-00001E000000}"/>
            </a:ext>
          </a:extLst>
        </xdr:cNvPr>
        <xdr:cNvSpPr>
          <a:spLocks noChangeShapeType="1"/>
        </xdr:cNvSpPr>
      </xdr:nvSpPr>
      <xdr:spPr bwMode="auto">
        <a:xfrm>
          <a:off x="161925" y="83820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2</xdr:col>
      <xdr:colOff>85725</xdr:colOff>
      <xdr:row>38</xdr:row>
      <xdr:rowOff>123825</xdr:rowOff>
    </xdr:to>
    <xdr:sp macro="" textlink="">
      <xdr:nvSpPr>
        <xdr:cNvPr id="31" name="Line 61">
          <a:extLst>
            <a:ext uri="{FF2B5EF4-FFF2-40B4-BE49-F238E27FC236}">
              <a16:creationId xmlns:a16="http://schemas.microsoft.com/office/drawing/2014/main" id="{00000000-0008-0000-0600-00001F000000}"/>
            </a:ext>
          </a:extLst>
        </xdr:cNvPr>
        <xdr:cNvSpPr>
          <a:spLocks noChangeShapeType="1"/>
        </xdr:cNvSpPr>
      </xdr:nvSpPr>
      <xdr:spPr bwMode="auto">
        <a:xfrm>
          <a:off x="161925" y="81629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38</xdr:row>
      <xdr:rowOff>123825</xdr:rowOff>
    </xdr:from>
    <xdr:to>
      <xdr:col>1</xdr:col>
      <xdr:colOff>47625</xdr:colOff>
      <xdr:row>39</xdr:row>
      <xdr:rowOff>114300</xdr:rowOff>
    </xdr:to>
    <xdr:sp macro="" textlink="">
      <xdr:nvSpPr>
        <xdr:cNvPr id="32" name="Line 62">
          <a:extLst>
            <a:ext uri="{FF2B5EF4-FFF2-40B4-BE49-F238E27FC236}">
              <a16:creationId xmlns:a16="http://schemas.microsoft.com/office/drawing/2014/main" id="{00000000-0008-0000-0600-000020000000}"/>
            </a:ext>
          </a:extLst>
        </xdr:cNvPr>
        <xdr:cNvSpPr>
          <a:spLocks noChangeShapeType="1"/>
        </xdr:cNvSpPr>
      </xdr:nvSpPr>
      <xdr:spPr bwMode="auto">
        <a:xfrm flipV="1">
          <a:off x="161925" y="81629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323850</xdr:colOff>
      <xdr:row>35</xdr:row>
      <xdr:rowOff>114300</xdr:rowOff>
    </xdr:to>
    <xdr:sp macro="" textlink="">
      <xdr:nvSpPr>
        <xdr:cNvPr id="33" name="Line 63">
          <a:extLst>
            <a:ext uri="{FF2B5EF4-FFF2-40B4-BE49-F238E27FC236}">
              <a16:creationId xmlns:a16="http://schemas.microsoft.com/office/drawing/2014/main" id="{00000000-0008-0000-0600-000021000000}"/>
            </a:ext>
          </a:extLst>
        </xdr:cNvPr>
        <xdr:cNvSpPr>
          <a:spLocks noChangeShapeType="1"/>
        </xdr:cNvSpPr>
      </xdr:nvSpPr>
      <xdr:spPr bwMode="auto">
        <a:xfrm>
          <a:off x="257175" y="75057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36</xdr:row>
      <xdr:rowOff>123825</xdr:rowOff>
    </xdr:from>
    <xdr:to>
      <xdr:col>2</xdr:col>
      <xdr:colOff>180975</xdr:colOff>
      <xdr:row>36</xdr:row>
      <xdr:rowOff>123825</xdr:rowOff>
    </xdr:to>
    <xdr:sp macro="" textlink="">
      <xdr:nvSpPr>
        <xdr:cNvPr id="34" name="Line 64">
          <a:extLst>
            <a:ext uri="{FF2B5EF4-FFF2-40B4-BE49-F238E27FC236}">
              <a16:creationId xmlns:a16="http://schemas.microsoft.com/office/drawing/2014/main" id="{00000000-0008-0000-0600-000022000000}"/>
            </a:ext>
          </a:extLst>
        </xdr:cNvPr>
        <xdr:cNvSpPr>
          <a:spLocks noChangeShapeType="1"/>
        </xdr:cNvSpPr>
      </xdr:nvSpPr>
      <xdr:spPr bwMode="auto">
        <a:xfrm>
          <a:off x="257175" y="7705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35</xdr:row>
      <xdr:rowOff>114300</xdr:rowOff>
    </xdr:from>
    <xdr:to>
      <xdr:col>2</xdr:col>
      <xdr:colOff>28575</xdr:colOff>
      <xdr:row>36</xdr:row>
      <xdr:rowOff>123825</xdr:rowOff>
    </xdr:to>
    <xdr:sp macro="" textlink="">
      <xdr:nvSpPr>
        <xdr:cNvPr id="35" name="Line 65">
          <a:extLst>
            <a:ext uri="{FF2B5EF4-FFF2-40B4-BE49-F238E27FC236}">
              <a16:creationId xmlns:a16="http://schemas.microsoft.com/office/drawing/2014/main" id="{00000000-0008-0000-0600-000023000000}"/>
            </a:ext>
          </a:extLst>
        </xdr:cNvPr>
        <xdr:cNvSpPr>
          <a:spLocks noChangeShapeType="1"/>
        </xdr:cNvSpPr>
      </xdr:nvSpPr>
      <xdr:spPr bwMode="auto">
        <a:xfrm>
          <a:off x="257175" y="75057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46</xdr:row>
      <xdr:rowOff>114300</xdr:rowOff>
    </xdr:from>
    <xdr:to>
      <xdr:col>2</xdr:col>
      <xdr:colOff>114300</xdr:colOff>
      <xdr:row>46</xdr:row>
      <xdr:rowOff>114300</xdr:rowOff>
    </xdr:to>
    <xdr:sp macro="" textlink="">
      <xdr:nvSpPr>
        <xdr:cNvPr id="36" name="Line 66">
          <a:extLst>
            <a:ext uri="{FF2B5EF4-FFF2-40B4-BE49-F238E27FC236}">
              <a16:creationId xmlns:a16="http://schemas.microsoft.com/office/drawing/2014/main" id="{00000000-0008-0000-0600-000024000000}"/>
            </a:ext>
          </a:extLst>
        </xdr:cNvPr>
        <xdr:cNvSpPr>
          <a:spLocks noChangeShapeType="1"/>
        </xdr:cNvSpPr>
      </xdr:nvSpPr>
      <xdr:spPr bwMode="auto">
        <a:xfrm>
          <a:off x="161925" y="9829800"/>
          <a:ext cx="1809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2</xdr:col>
      <xdr:colOff>85725</xdr:colOff>
      <xdr:row>45</xdr:row>
      <xdr:rowOff>123825</xdr:rowOff>
    </xdr:to>
    <xdr:sp macro="" textlink="">
      <xdr:nvSpPr>
        <xdr:cNvPr id="37" name="Line 67">
          <a:extLst>
            <a:ext uri="{FF2B5EF4-FFF2-40B4-BE49-F238E27FC236}">
              <a16:creationId xmlns:a16="http://schemas.microsoft.com/office/drawing/2014/main" id="{00000000-0008-0000-0600-000025000000}"/>
            </a:ext>
          </a:extLst>
        </xdr:cNvPr>
        <xdr:cNvSpPr>
          <a:spLocks noChangeShapeType="1"/>
        </xdr:cNvSpPr>
      </xdr:nvSpPr>
      <xdr:spPr bwMode="auto">
        <a:xfrm>
          <a:off x="161925" y="96107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45</xdr:row>
      <xdr:rowOff>123825</xdr:rowOff>
    </xdr:from>
    <xdr:to>
      <xdr:col>1</xdr:col>
      <xdr:colOff>47625</xdr:colOff>
      <xdr:row>46</xdr:row>
      <xdr:rowOff>114300</xdr:rowOff>
    </xdr:to>
    <xdr:sp macro="" textlink="">
      <xdr:nvSpPr>
        <xdr:cNvPr id="38" name="Line 68">
          <a:extLst>
            <a:ext uri="{FF2B5EF4-FFF2-40B4-BE49-F238E27FC236}">
              <a16:creationId xmlns:a16="http://schemas.microsoft.com/office/drawing/2014/main" id="{00000000-0008-0000-0600-000026000000}"/>
            </a:ext>
          </a:extLst>
        </xdr:cNvPr>
        <xdr:cNvSpPr>
          <a:spLocks noChangeShapeType="1"/>
        </xdr:cNvSpPr>
      </xdr:nvSpPr>
      <xdr:spPr bwMode="auto">
        <a:xfrm flipV="1">
          <a:off x="161925" y="961072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323850</xdr:colOff>
      <xdr:row>42</xdr:row>
      <xdr:rowOff>114300</xdr:rowOff>
    </xdr:to>
    <xdr:sp macro="" textlink="">
      <xdr:nvSpPr>
        <xdr:cNvPr id="39" name="Line 69">
          <a:extLst>
            <a:ext uri="{FF2B5EF4-FFF2-40B4-BE49-F238E27FC236}">
              <a16:creationId xmlns:a16="http://schemas.microsoft.com/office/drawing/2014/main" id="{00000000-0008-0000-0600-000027000000}"/>
            </a:ext>
          </a:extLst>
        </xdr:cNvPr>
        <xdr:cNvSpPr>
          <a:spLocks noChangeShapeType="1"/>
        </xdr:cNvSpPr>
      </xdr:nvSpPr>
      <xdr:spPr bwMode="auto">
        <a:xfrm>
          <a:off x="257175" y="8953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43</xdr:row>
      <xdr:rowOff>123825</xdr:rowOff>
    </xdr:from>
    <xdr:to>
      <xdr:col>2</xdr:col>
      <xdr:colOff>180975</xdr:colOff>
      <xdr:row>43</xdr:row>
      <xdr:rowOff>123825</xdr:rowOff>
    </xdr:to>
    <xdr:sp macro="" textlink="">
      <xdr:nvSpPr>
        <xdr:cNvPr id="40" name="Line 70">
          <a:extLst>
            <a:ext uri="{FF2B5EF4-FFF2-40B4-BE49-F238E27FC236}">
              <a16:creationId xmlns:a16="http://schemas.microsoft.com/office/drawing/2014/main" id="{00000000-0008-0000-0600-000028000000}"/>
            </a:ext>
          </a:extLst>
        </xdr:cNvPr>
        <xdr:cNvSpPr>
          <a:spLocks noChangeShapeType="1"/>
        </xdr:cNvSpPr>
      </xdr:nvSpPr>
      <xdr:spPr bwMode="auto">
        <a:xfrm>
          <a:off x="257175" y="9153525"/>
          <a:ext cx="152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42</xdr:row>
      <xdr:rowOff>114300</xdr:rowOff>
    </xdr:from>
    <xdr:to>
      <xdr:col>2</xdr:col>
      <xdr:colOff>28575</xdr:colOff>
      <xdr:row>43</xdr:row>
      <xdr:rowOff>123825</xdr:rowOff>
    </xdr:to>
    <xdr:sp macro="" textlink="">
      <xdr:nvSpPr>
        <xdr:cNvPr id="41" name="Line 71">
          <a:extLst>
            <a:ext uri="{FF2B5EF4-FFF2-40B4-BE49-F238E27FC236}">
              <a16:creationId xmlns:a16="http://schemas.microsoft.com/office/drawing/2014/main" id="{00000000-0008-0000-0600-000029000000}"/>
            </a:ext>
          </a:extLst>
        </xdr:cNvPr>
        <xdr:cNvSpPr>
          <a:spLocks noChangeShapeType="1"/>
        </xdr:cNvSpPr>
      </xdr:nvSpPr>
      <xdr:spPr bwMode="auto">
        <a:xfrm>
          <a:off x="257175" y="8953500"/>
          <a:ext cx="0" cy="200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114300</xdr:colOff>
      <xdr:row>37</xdr:row>
      <xdr:rowOff>123825</xdr:rowOff>
    </xdr:from>
    <xdr:to>
      <xdr:col>8</xdr:col>
      <xdr:colOff>209550</xdr:colOff>
      <xdr:row>37</xdr:row>
      <xdr:rowOff>123825</xdr:rowOff>
    </xdr:to>
    <xdr:sp macro="" textlink="">
      <xdr:nvSpPr>
        <xdr:cNvPr id="42" name="Line 75">
          <a:extLst>
            <a:ext uri="{FF2B5EF4-FFF2-40B4-BE49-F238E27FC236}">
              <a16:creationId xmlns:a16="http://schemas.microsoft.com/office/drawing/2014/main" id="{00000000-0008-0000-0600-00002A000000}"/>
            </a:ext>
          </a:extLst>
        </xdr:cNvPr>
        <xdr:cNvSpPr>
          <a:spLocks noChangeShapeType="1"/>
        </xdr:cNvSpPr>
      </xdr:nvSpPr>
      <xdr:spPr bwMode="auto">
        <a:xfrm>
          <a:off x="7406640" y="7934325"/>
          <a:ext cx="952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365760</xdr:colOff>
          <xdr:row>57</xdr:row>
          <xdr:rowOff>182880</xdr:rowOff>
        </xdr:from>
        <xdr:to>
          <xdr:col>2</xdr:col>
          <xdr:colOff>1607820</xdr:colOff>
          <xdr:row>61</xdr:row>
          <xdr:rowOff>45720</xdr:rowOff>
        </xdr:to>
        <xdr:sp macro="" textlink="">
          <xdr:nvSpPr>
            <xdr:cNvPr id="16402" name="Object 18" hidden="1">
              <a:hlinkClick xmlns:r="http://schemas.openxmlformats.org/officeDocument/2006/relationships" r:id="rId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0</xdr:colOff>
      <xdr:row>63</xdr:row>
      <xdr:rowOff>0</xdr:rowOff>
    </xdr:from>
    <xdr:to>
      <xdr:col>4</xdr:col>
      <xdr:colOff>628650</xdr:colOff>
      <xdr:row>64</xdr:row>
      <xdr:rowOff>0</xdr:rowOff>
    </xdr:to>
    <xdr:pic>
      <xdr:nvPicPr>
        <xdr:cNvPr id="44" name="Picture 45">
          <a:hlinkClick xmlns:r="http://schemas.openxmlformats.org/officeDocument/2006/relationships" r:id="rId2"/>
          <a:extLst>
            <a:ext uri="{FF2B5EF4-FFF2-40B4-BE49-F238E27FC236}">
              <a16:creationId xmlns:a16="http://schemas.microsoft.com/office/drawing/2014/main" id="{00000000-0008-0000-0600-00002C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8600" y="13167360"/>
          <a:ext cx="3669030" cy="518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464821</xdr:colOff>
      <xdr:row>18</xdr:row>
      <xdr:rowOff>167640</xdr:rowOff>
    </xdr:from>
    <xdr:to>
      <xdr:col>10</xdr:col>
      <xdr:colOff>83821</xdr:colOff>
      <xdr:row>24</xdr:row>
      <xdr:rowOff>34696</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5105401" y="3649980"/>
          <a:ext cx="2773680" cy="994816"/>
        </a:xfrm>
        <a:prstGeom prst="rect">
          <a:avLst/>
        </a:prstGeom>
      </xdr:spPr>
    </xdr:pic>
    <xdr:clientData/>
  </xdr:twoCellAnchor>
  <xdr:twoCellAnchor editAs="oneCell">
    <xdr:from>
      <xdr:col>5</xdr:col>
      <xdr:colOff>114300</xdr:colOff>
      <xdr:row>10</xdr:row>
      <xdr:rowOff>99060</xdr:rowOff>
    </xdr:from>
    <xdr:to>
      <xdr:col>10</xdr:col>
      <xdr:colOff>465224</xdr:colOff>
      <xdr:row>18</xdr:row>
      <xdr:rowOff>80433</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2" cstate="print"/>
        <a:stretch>
          <a:fillRect/>
        </a:stretch>
      </xdr:blipFill>
      <xdr:spPr>
        <a:xfrm>
          <a:off x="4754880" y="1996440"/>
          <a:ext cx="3505604" cy="1566333"/>
        </a:xfrm>
        <a:prstGeom prst="rect">
          <a:avLst/>
        </a:prstGeom>
      </xdr:spPr>
    </xdr:pic>
    <xdr:clientData/>
  </xdr:twoCellAnchor>
  <xdr:twoCellAnchor editAs="oneCell">
    <xdr:from>
      <xdr:col>6</xdr:col>
      <xdr:colOff>50465</xdr:colOff>
      <xdr:row>0</xdr:row>
      <xdr:rowOff>175261</xdr:rowOff>
    </xdr:from>
    <xdr:to>
      <xdr:col>10</xdr:col>
      <xdr:colOff>350520</xdr:colOff>
      <xdr:row>9</xdr:row>
      <xdr:rowOff>78589</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3" cstate="print"/>
        <a:stretch>
          <a:fillRect/>
        </a:stretch>
      </xdr:blipFill>
      <xdr:spPr>
        <a:xfrm>
          <a:off x="5193965" y="175261"/>
          <a:ext cx="2951815" cy="15873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grains_table" displayName="grains_table" ref="A1:H236" totalsRowShown="0" headerRowDxfId="15">
  <autoFilter ref="A1:H236" xr:uid="{00000000-0009-0000-0100-000002000000}">
    <filterColumn colId="2">
      <filters>
        <filter val="Sugar"/>
      </filters>
    </filterColumn>
  </autoFilter>
  <sortState ref="A2:H236">
    <sortCondition ref="A2:A236"/>
  </sortState>
  <tableColumns count="8">
    <tableColumn id="1" xr3:uid="{00000000-0010-0000-0000-000001000000}" name="Ingredient Name"/>
    <tableColumn id="6" xr3:uid="{00000000-0010-0000-0000-000006000000}" name="Company" dataDxfId="14"/>
    <tableColumn id="2" xr3:uid="{00000000-0010-0000-0000-000002000000}" name="Grain or Sugar" dataDxfId="13" totalsRowDxfId="12"/>
    <tableColumn id="8" xr3:uid="{00000000-0010-0000-0000-000008000000}" name="Extract %" dataDxfId="11" totalsRowDxfId="10"/>
    <tableColumn id="5" xr3:uid="{00000000-0010-0000-0000-000005000000}" name="Moisture Content %" dataDxfId="9" totalsRowDxfId="8"/>
    <tableColumn id="3" xr3:uid="{00000000-0010-0000-0000-000003000000}" name="Max PPG" dataDxfId="7" totalsRowDxfId="6"/>
    <tableColumn id="4" xr3:uid="{00000000-0010-0000-0000-000004000000}" name="° L" dataDxfId="5"/>
    <tableColumn id="7" xr3:uid="{00000000-0010-0000-0000-000007000000}" name="Source"/>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yeast_table" displayName="yeast_table" ref="A1:I265" totalsRowShown="0" headerRowDxfId="4">
  <autoFilter ref="A1:I265" xr:uid="{00000000-0009-0000-0100-000003000000}"/>
  <sortState ref="A2:I265">
    <sortCondition ref="A1:A265"/>
  </sortState>
  <tableColumns count="9">
    <tableColumn id="1" xr3:uid="{00000000-0010-0000-0100-000001000000}" name="Name &amp; Number"/>
    <tableColumn id="2" xr3:uid="{00000000-0010-0000-0100-000002000000}" name="Type"/>
    <tableColumn id="3" xr3:uid="{00000000-0010-0000-0100-000003000000}" name="Lab"/>
    <tableColumn id="4" xr3:uid="{00000000-0010-0000-0100-000004000000}" name="Floc."/>
    <tableColumn id="5" xr3:uid="{00000000-0010-0000-0100-000005000000}" name="Atten."/>
    <tableColumn id="6" xr3:uid="{00000000-0010-0000-0100-000006000000}" name="Avg Atten" dataDxfId="3" dataCellStyle="Percent"/>
    <tableColumn id="7" xr3:uid="{00000000-0010-0000-0100-000007000000}" name="Temp. Low F" dataDxfId="2"/>
    <tableColumn id="9" xr3:uid="{00000000-0010-0000-0100-000009000000}" name="Temp. High F" dataDxfId="1"/>
    <tableColumn id="8" xr3:uid="{00000000-0010-0000-0100-000008000000}" name="Description"/>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BeerList_Table" displayName="BeerList_Table" ref="B1:AI14" totalsRowShown="0" headerRowDxfId="0">
  <autoFilter ref="B1:AI14" xr:uid="{00000000-0009-0000-0100-000001000000}"/>
  <tableColumns count="34">
    <tableColumn id="1" xr3:uid="{00000000-0010-0000-0200-000001000000}" name="1. Standard American Beer"/>
    <tableColumn id="2" xr3:uid="{00000000-0010-0000-0200-000002000000}" name="2. International Lager"/>
    <tableColumn id="3" xr3:uid="{00000000-0010-0000-0200-000003000000}" name="3. Czech Lager"/>
    <tableColumn id="4" xr3:uid="{00000000-0010-0000-0200-000004000000}" name="4. Pale Malty European Lager"/>
    <tableColumn id="5" xr3:uid="{00000000-0010-0000-0200-000005000000}" name="5. Pale Bitter European Beer"/>
    <tableColumn id="6" xr3:uid="{00000000-0010-0000-0200-000006000000}" name="6. Amber Malty European Lager"/>
    <tableColumn id="7" xr3:uid="{00000000-0010-0000-0200-000007000000}" name="7. Amber Bitter European Beer"/>
    <tableColumn id="8" xr3:uid="{00000000-0010-0000-0200-000008000000}" name="8. Dark European Lager"/>
    <tableColumn id="11" xr3:uid="{00000000-0010-0000-0200-00000B000000}" name="9. Strong European Beer"/>
    <tableColumn id="12" xr3:uid="{00000000-0010-0000-0200-00000C000000}" name="10. German Wheat Beer"/>
    <tableColumn id="13" xr3:uid="{00000000-0010-0000-0200-00000D000000}" name="11. British Bitter"/>
    <tableColumn id="14" xr3:uid="{00000000-0010-0000-0200-00000E000000}" name="12. Pale Commonwealth Beer"/>
    <tableColumn id="17" xr3:uid="{00000000-0010-0000-0200-000011000000}" name="13. Brown British Beer"/>
    <tableColumn id="18" xr3:uid="{00000000-0010-0000-0200-000012000000}" name="14. Scottish Ale"/>
    <tableColumn id="15" xr3:uid="{00000000-0010-0000-0200-00000F000000}" name="15. Irish Beer"/>
    <tableColumn id="16" xr3:uid="{00000000-0010-0000-0200-000010000000}" name="16. Dark British Beer"/>
    <tableColumn id="23" xr3:uid="{00000000-0010-0000-0200-000017000000}" name="17. Strong British Ale"/>
    <tableColumn id="24" xr3:uid="{00000000-0010-0000-0200-000018000000}" name="18. Pale American Ale"/>
    <tableColumn id="21" xr3:uid="{00000000-0010-0000-0200-000015000000}" name="19. Amber and Brown American Beer"/>
    <tableColumn id="22" xr3:uid="{00000000-0010-0000-0200-000016000000}" name="20. American Porter and Stout"/>
    <tableColumn id="19" xr3:uid="{00000000-0010-0000-0200-000013000000}" name="21. IPA"/>
    <tableColumn id="20" xr3:uid="{00000000-0010-0000-0200-000014000000}" name="22. Strong American Ale"/>
    <tableColumn id="27" xr3:uid="{00000000-0010-0000-0200-00001B000000}" name="23. European Sour Ale"/>
    <tableColumn id="28" xr3:uid="{00000000-0010-0000-0200-00001C000000}" name="24. Belgian Ale"/>
    <tableColumn id="25" xr3:uid="{00000000-0010-0000-0200-000019000000}" name="25. Strong Belgian Ale"/>
    <tableColumn id="26" xr3:uid="{00000000-0010-0000-0200-00001A000000}" name="26. Trappist Ale"/>
    <tableColumn id="30" xr3:uid="{00000000-0010-0000-0200-00001E000000}" name="27. Historical Beer"/>
    <tableColumn id="32" xr3:uid="{00000000-0010-0000-0200-000020000000}" name="28. American Wild Ale"/>
    <tableColumn id="33" xr3:uid="{00000000-0010-0000-0200-000021000000}" name="29. Fruit Beer"/>
    <tableColumn id="31" xr3:uid="{00000000-0010-0000-0200-00001F000000}" name="30. Spiced Beer"/>
    <tableColumn id="29" xr3:uid="{00000000-0010-0000-0200-00001D000000}" name="31. Alternative Fermentables Beer"/>
    <tableColumn id="35" xr3:uid="{00000000-0010-0000-0200-000023000000}" name="32. Smoked Beer"/>
    <tableColumn id="34" xr3:uid="{00000000-0010-0000-0200-000022000000}" name="33. Wood Beer"/>
    <tableColumn id="9" xr3:uid="{00000000-0010-0000-0200-000009000000}" name="34. Specialty Beer"/>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www.paypal.com/cgi-bin/webscr?cmd=_s-xclick&amp;hosted_button_id=4YTSMV7HTDBKW"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1.bin"/><Relationship Id="rId1" Type="http://schemas.openxmlformats.org/officeDocument/2006/relationships/hyperlink" Target="http://www.mikesoltys.com/2012/09/17/determining-proper-hose-length-for-your-kegerator/" TargetMode="External"/><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brainlubeonline.com/GasLawsBeer.html" TargetMode="External"/></Relationships>
</file>

<file path=xl/worksheets/_rels/sheet1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5.xml.rels><?xml version="1.0" encoding="UTF-8" standalone="yes"?>
<Relationships xmlns="http://schemas.openxmlformats.org/package/2006/relationships"><Relationship Id="rId3" Type="http://schemas.openxmlformats.org/officeDocument/2006/relationships/hyperlink" Target="http://beertech.blogspot.com/2010/05/malt-analysis-and-potential-calculation.html?_sm_au_=iVVDVjrFV0WfSVHj" TargetMode="External"/><Relationship Id="rId2" Type="http://schemas.openxmlformats.org/officeDocument/2006/relationships/hyperlink" Target="http://www.morebeer.com/brewingtechniques/bmg/noonan.html" TargetMode="External"/><Relationship Id="rId1" Type="http://schemas.openxmlformats.org/officeDocument/2006/relationships/hyperlink" Target="http://immaculatebrewery.com/how-to-read-a-malt-analysis-report/" TargetMode="External"/><Relationship Id="rId4"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aypal.com/cgi-bin/webscr?cmd=_s-xclick&amp;hosted_button_id=4YTSMV7HTDBKW"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youtube.com/playlist?list=PLJGQZwp3xofuzvpRsP2eA7hngR3IRqaoU" TargetMode="External"/><Relationship Id="rId1" Type="http://schemas.openxmlformats.org/officeDocument/2006/relationships/hyperlink" Target="https://youtu.be/W7sEOu2Iz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vml"/><Relationship Id="rId13" Type="http://schemas.openxmlformats.org/officeDocument/2006/relationships/ctrlProp" Target="../ctrlProps/ctrlProp1.xml"/><Relationship Id="rId18" Type="http://schemas.openxmlformats.org/officeDocument/2006/relationships/ctrlProp" Target="../ctrlProps/ctrlProp6.xml"/><Relationship Id="rId26" Type="http://schemas.openxmlformats.org/officeDocument/2006/relationships/ctrlProp" Target="../ctrlProps/ctrlProp14.xml"/><Relationship Id="rId3" Type="http://schemas.openxmlformats.org/officeDocument/2006/relationships/hyperlink" Target="http://www.howtobrew.com/section3/chapter15-1.html" TargetMode="External"/><Relationship Id="rId21" Type="http://schemas.openxmlformats.org/officeDocument/2006/relationships/ctrlProp" Target="../ctrlProps/ctrlProp9.xml"/><Relationship Id="rId7" Type="http://schemas.openxmlformats.org/officeDocument/2006/relationships/drawing" Target="../drawings/drawing1.xml"/><Relationship Id="rId12" Type="http://schemas.openxmlformats.org/officeDocument/2006/relationships/image" Target="../media/image2.emf"/><Relationship Id="rId17" Type="http://schemas.openxmlformats.org/officeDocument/2006/relationships/ctrlProp" Target="../ctrlProps/ctrlProp5.xml"/><Relationship Id="rId25" Type="http://schemas.openxmlformats.org/officeDocument/2006/relationships/ctrlProp" Target="../ctrlProps/ctrlProp13.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4.xml"/><Relationship Id="rId20" Type="http://schemas.openxmlformats.org/officeDocument/2006/relationships/ctrlProp" Target="../ctrlProps/ctrlProp8.xml"/><Relationship Id="rId29" Type="http://schemas.openxmlformats.org/officeDocument/2006/relationships/ctrlProp" Target="../ctrlProps/ctrlProp1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6.bin"/><Relationship Id="rId11" Type="http://schemas.openxmlformats.org/officeDocument/2006/relationships/oleObject" Target="../embeddings/oleObject2.bin"/><Relationship Id="rId24" Type="http://schemas.openxmlformats.org/officeDocument/2006/relationships/ctrlProp" Target="../ctrlProps/ctrlProp12.xml"/><Relationship Id="rId5" Type="http://schemas.openxmlformats.org/officeDocument/2006/relationships/hyperlink" Target="http://www.ezwatercalculator.com/" TargetMode="External"/><Relationship Id="rId15" Type="http://schemas.openxmlformats.org/officeDocument/2006/relationships/ctrlProp" Target="../ctrlProps/ctrlProp3.xml"/><Relationship Id="rId23" Type="http://schemas.openxmlformats.org/officeDocument/2006/relationships/ctrlProp" Target="../ctrlProps/ctrlProp11.xml"/><Relationship Id="rId28" Type="http://schemas.openxmlformats.org/officeDocument/2006/relationships/ctrlProp" Target="../ctrlProps/ctrlProp16.xml"/><Relationship Id="rId10" Type="http://schemas.openxmlformats.org/officeDocument/2006/relationships/image" Target="../media/image1.emf"/><Relationship Id="rId19" Type="http://schemas.openxmlformats.org/officeDocument/2006/relationships/ctrlProp" Target="../ctrlProps/ctrlProp7.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1.bin"/><Relationship Id="rId14" Type="http://schemas.openxmlformats.org/officeDocument/2006/relationships/ctrlProp" Target="../ctrlProps/ctrlProp2.xml"/><Relationship Id="rId22" Type="http://schemas.openxmlformats.org/officeDocument/2006/relationships/ctrlProp" Target="../ctrlProps/ctrlProp10.xml"/><Relationship Id="rId27" Type="http://schemas.openxmlformats.org/officeDocument/2006/relationships/ctrlProp" Target="../ctrlProps/ctrlProp1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2.vml"/><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hyperlink" Target="http://www.howtobrew.com/section3/chapter15-1.html" TargetMode="External"/><Relationship Id="rId21" Type="http://schemas.openxmlformats.org/officeDocument/2006/relationships/ctrlProp" Target="../ctrlProps/ctrlProp28.xml"/><Relationship Id="rId7" Type="http://schemas.openxmlformats.org/officeDocument/2006/relationships/drawing" Target="../drawings/drawing2.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2" Type="http://schemas.openxmlformats.org/officeDocument/2006/relationships/hyperlink" Target="http://braukaiser.com/documents/effect_of_water_and_grist_on_mash_pH.pdf" TargetMode="Externa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hyperlink" Target="http://iam.homebrewtalk.com/-TH-" TargetMode="External"/><Relationship Id="rId6" Type="http://schemas.openxmlformats.org/officeDocument/2006/relationships/printerSettings" Target="../printerSettings/printerSettings7.bin"/><Relationship Id="rId11" Type="http://schemas.openxmlformats.org/officeDocument/2006/relationships/ctrlProp" Target="../ctrlProps/ctrlProp18.xml"/><Relationship Id="rId24" Type="http://schemas.openxmlformats.org/officeDocument/2006/relationships/ctrlProp" Target="../ctrlProps/ctrlProp31.xml"/><Relationship Id="rId5" Type="http://schemas.openxmlformats.org/officeDocument/2006/relationships/hyperlink" Target="http://www.ezwatercalculator.com/" TargetMode="Externa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image" Target="../media/image2.emf"/><Relationship Id="rId19" Type="http://schemas.openxmlformats.org/officeDocument/2006/relationships/ctrlProp" Target="../ctrlProps/ctrlProp26.xml"/><Relationship Id="rId4" Type="http://schemas.openxmlformats.org/officeDocument/2006/relationships/hyperlink" Target="http://howtobrew.com/section3/Palmers_Mash_RA_ver2e.xls" TargetMode="External"/><Relationship Id="rId9" Type="http://schemas.openxmlformats.org/officeDocument/2006/relationships/oleObject" Target="../embeddings/oleObject3.bin"/><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s>
</file>

<file path=xl/worksheets/_rels/sheet8.xml.rels><?xml version="1.0" encoding="UTF-8" standalone="yes"?>
<Relationships xmlns="http://schemas.openxmlformats.org/package/2006/relationships"><Relationship Id="rId117" Type="http://schemas.openxmlformats.org/officeDocument/2006/relationships/hyperlink" Target="http://www.bestmalz.de/en/malts/best-black-malt" TargetMode="External"/><Relationship Id="rId21" Type="http://schemas.openxmlformats.org/officeDocument/2006/relationships/hyperlink" Target="https://www.simpsonsmalt.co.uk/our-malts/brown-malt/" TargetMode="External"/><Relationship Id="rId42" Type="http://schemas.openxmlformats.org/officeDocument/2006/relationships/hyperlink" Target="http://www.dingemansmout.be/products/roasted-malts" TargetMode="External"/><Relationship Id="rId63" Type="http://schemas.openxmlformats.org/officeDocument/2006/relationships/hyperlink" Target="https://www.weyermann.de/usa/gelbe_seiten_usa.asp?go=brewery&amp;umenue=yes&amp;idmenue=269&amp;sprache=10" TargetMode="External"/><Relationship Id="rId84" Type="http://schemas.openxmlformats.org/officeDocument/2006/relationships/hyperlink" Target="http://www.brewingwithbriess.com/Products/Roasted.htm" TargetMode="External"/><Relationship Id="rId138" Type="http://schemas.openxmlformats.org/officeDocument/2006/relationships/hyperlink" Target="http://www.fawcett-maltsters.co.uk/uploads/2/0/2/6/20260333/spec_table_asbc.pdf" TargetMode="External"/><Relationship Id="rId159" Type="http://schemas.openxmlformats.org/officeDocument/2006/relationships/hyperlink" Target="http://www.beersmith.com/Grains/Grains/GrainList.htm" TargetMode="External"/><Relationship Id="rId170" Type="http://schemas.openxmlformats.org/officeDocument/2006/relationships/hyperlink" Target="https://bsgcraftbrewing.com/rahr-standard-2row" TargetMode="External"/><Relationship Id="rId107" Type="http://schemas.openxmlformats.org/officeDocument/2006/relationships/hyperlink" Target="http://www.bestmalz.de/en/malts/best-heidelberg-wheat-malt" TargetMode="External"/><Relationship Id="rId11" Type="http://schemas.openxmlformats.org/officeDocument/2006/relationships/hyperlink" Target="https://www.simpsonsmalt.co.uk/our-malts/cornish-gold/" TargetMode="External"/><Relationship Id="rId32" Type="http://schemas.openxmlformats.org/officeDocument/2006/relationships/hyperlink" Target="http://www.dingemansmout.be/products/kilned-malts" TargetMode="External"/><Relationship Id="rId53" Type="http://schemas.openxmlformats.org/officeDocument/2006/relationships/hyperlink" Target="https://www.weyermann.de/usa/gelbe_seiten_usa.asp?go=brewery&amp;umenue=yes&amp;idmenue=269&amp;sprache=10" TargetMode="External"/><Relationship Id="rId74" Type="http://schemas.openxmlformats.org/officeDocument/2006/relationships/hyperlink" Target="http://www.brewingwithbriess.com/Products/Caramel.htm" TargetMode="External"/><Relationship Id="rId128" Type="http://schemas.openxmlformats.org/officeDocument/2006/relationships/hyperlink" Target="http://www.muntonsmicrobrewing.com/product-range/" TargetMode="External"/><Relationship Id="rId149" Type="http://schemas.openxmlformats.org/officeDocument/2006/relationships/hyperlink" Target="http://www.beersmith.com/Grains/Grains/GrainList.htm" TargetMode="External"/><Relationship Id="rId5" Type="http://schemas.openxmlformats.org/officeDocument/2006/relationships/hyperlink" Target="https://www.simpsonsmalt.co.uk/our-malts/extra-pale-ale-malt/" TargetMode="External"/><Relationship Id="rId95" Type="http://schemas.openxmlformats.org/officeDocument/2006/relationships/hyperlink" Target="http://www.bestmalz.de/en/malts/best-pilsen-malt" TargetMode="External"/><Relationship Id="rId160" Type="http://schemas.openxmlformats.org/officeDocument/2006/relationships/hyperlink" Target="http://www.brewingwithbriess.com/Products/Adjuncts.htm" TargetMode="External"/><Relationship Id="rId181" Type="http://schemas.openxmlformats.org/officeDocument/2006/relationships/hyperlink" Target="https://www.gladfieldmalt.co.nz/our-malts/" TargetMode="External"/><Relationship Id="rId22" Type="http://schemas.openxmlformats.org/officeDocument/2006/relationships/hyperlink" Target="https://www.simpsonsmalt.co.uk/our-malts/chocolate-malt/" TargetMode="External"/><Relationship Id="rId43" Type="http://schemas.openxmlformats.org/officeDocument/2006/relationships/hyperlink" Target="http://www.dingemansmout.be/products/roasted-malts" TargetMode="External"/><Relationship Id="rId64" Type="http://schemas.openxmlformats.org/officeDocument/2006/relationships/hyperlink" Target="https://www.weyermann.de/usa/gelbe_seiten_usa.asp?go=brewery&amp;umenue=yes&amp;idmenue=269&amp;sprache=10" TargetMode="External"/><Relationship Id="rId118" Type="http://schemas.openxmlformats.org/officeDocument/2006/relationships/hyperlink" Target="http://www.bestmalz.de/en/malts/best-black-malt-extra" TargetMode="External"/><Relationship Id="rId139" Type="http://schemas.openxmlformats.org/officeDocument/2006/relationships/hyperlink" Target="http://brewingwithbriess.com/Products/Roasted_Barley.htm" TargetMode="External"/><Relationship Id="rId85" Type="http://schemas.openxmlformats.org/officeDocument/2006/relationships/hyperlink" Target="http://www.brewingwithbriess.com/Products/Munich.htm" TargetMode="External"/><Relationship Id="rId150" Type="http://schemas.openxmlformats.org/officeDocument/2006/relationships/hyperlink" Target="http://www.beersmith.com/Grains/Grains/GrainList.htm" TargetMode="External"/><Relationship Id="rId171" Type="http://schemas.openxmlformats.org/officeDocument/2006/relationships/hyperlink" Target="http://bsgdistilling.com/rahr-standard-6-row" TargetMode="External"/><Relationship Id="rId12" Type="http://schemas.openxmlformats.org/officeDocument/2006/relationships/hyperlink" Target="https://www.simpsonsmalt.co.uk/our-malts/caramalt/" TargetMode="External"/><Relationship Id="rId33" Type="http://schemas.openxmlformats.org/officeDocument/2006/relationships/hyperlink" Target="http://www.dingemansmout.be/products/kilned-malts" TargetMode="External"/><Relationship Id="rId108" Type="http://schemas.openxmlformats.org/officeDocument/2006/relationships/hyperlink" Target="http://www.bestmalz.de/en/malts/best-red-x/?" TargetMode="External"/><Relationship Id="rId129" Type="http://schemas.openxmlformats.org/officeDocument/2006/relationships/hyperlink" Target="http://www.muntonsmicrobrewing.com/product-range/" TargetMode="External"/><Relationship Id="rId54" Type="http://schemas.openxmlformats.org/officeDocument/2006/relationships/hyperlink" Target="https://www.weyermann.de/usa/gelbe_seiten_usa.asp?go=brewery&amp;umenue=yes&amp;idmenue=269&amp;sprache=10" TargetMode="External"/><Relationship Id="rId75" Type="http://schemas.openxmlformats.org/officeDocument/2006/relationships/hyperlink" Target="http://www.brewingwithbriess.com/Products/Caramel.htm" TargetMode="External"/><Relationship Id="rId96" Type="http://schemas.openxmlformats.org/officeDocument/2006/relationships/hyperlink" Target="http://www.bestmalz.de/en/malts/best-pale-ale" TargetMode="External"/><Relationship Id="rId140" Type="http://schemas.openxmlformats.org/officeDocument/2006/relationships/hyperlink" Target="http://brewingwithbriess.com/Products/Dark_Roasted.htm" TargetMode="External"/><Relationship Id="rId161" Type="http://schemas.openxmlformats.org/officeDocument/2006/relationships/hyperlink" Target="http://www.brewingwithbriess.com/Products/Dark_Roasted.htm" TargetMode="External"/><Relationship Id="rId182" Type="http://schemas.openxmlformats.org/officeDocument/2006/relationships/hyperlink" Target="https://www.gladfieldmalt.co.nz/our-malts/" TargetMode="External"/><Relationship Id="rId6" Type="http://schemas.openxmlformats.org/officeDocument/2006/relationships/hyperlink" Target="https://www.simpsonsmalt.co.uk/our-malts/finest-lager-malt/" TargetMode="External"/><Relationship Id="rId23" Type="http://schemas.openxmlformats.org/officeDocument/2006/relationships/hyperlink" Target="https://www.simpsonsmalt.co.uk/our-malts/black-malt/" TargetMode="External"/><Relationship Id="rId119" Type="http://schemas.openxmlformats.org/officeDocument/2006/relationships/hyperlink" Target="http://www.bestmalz.de/en/malts/best-chit-malt" TargetMode="External"/><Relationship Id="rId44" Type="http://schemas.openxmlformats.org/officeDocument/2006/relationships/hyperlink" Target="http://www.dingemansmout.be/products/roasted-malts" TargetMode="External"/><Relationship Id="rId65" Type="http://schemas.openxmlformats.org/officeDocument/2006/relationships/hyperlink" Target="https://www.weyermann.de/usa/gelbe_seiten_usa.asp?go=brewery&amp;umenue=yes&amp;idmenue=269&amp;sprache=10" TargetMode="External"/><Relationship Id="rId86" Type="http://schemas.openxmlformats.org/officeDocument/2006/relationships/hyperlink" Target="http://www.brewingwithbriess.com/Products/Base.htm" TargetMode="External"/><Relationship Id="rId130" Type="http://schemas.openxmlformats.org/officeDocument/2006/relationships/hyperlink" Target="http://www.muntonsmicrobrewing.com/product-range/" TargetMode="External"/><Relationship Id="rId151" Type="http://schemas.openxmlformats.org/officeDocument/2006/relationships/hyperlink" Target="http://www.beersmith.com/Grains/Grains/GrainList.htm" TargetMode="External"/><Relationship Id="rId172" Type="http://schemas.openxmlformats.org/officeDocument/2006/relationships/hyperlink" Target="https://www.avangard-malz.de/upload/iblock/1cb/1cbb170b18740b3d58e8786cf14b3e8c.pdf" TargetMode="External"/><Relationship Id="rId13" Type="http://schemas.openxmlformats.org/officeDocument/2006/relationships/hyperlink" Target="https://www.simpsonsmalt.co.uk/our-malts/premium-english-caramalt/" TargetMode="External"/><Relationship Id="rId18" Type="http://schemas.openxmlformats.org/officeDocument/2006/relationships/hyperlink" Target="https://www.simpsonsmalt.co.uk/our-malts/simpsons-drc/" TargetMode="External"/><Relationship Id="rId39" Type="http://schemas.openxmlformats.org/officeDocument/2006/relationships/hyperlink" Target="http://www.dingemansmout.be/products/caramalized-malts" TargetMode="External"/><Relationship Id="rId109" Type="http://schemas.openxmlformats.org/officeDocument/2006/relationships/hyperlink" Target="http://www.bestmalz.de/en/malts/best-special-x" TargetMode="External"/><Relationship Id="rId34" Type="http://schemas.openxmlformats.org/officeDocument/2006/relationships/hyperlink" Target="http://www.dingemansmout.be/products/kilned-malts" TargetMode="External"/><Relationship Id="rId50" Type="http://schemas.openxmlformats.org/officeDocument/2006/relationships/hyperlink" Target="https://www.weyermann.de/usa/gelbe_seiten_usa.asp?go=brewery&amp;umenue=yes&amp;idmenue=269&amp;sprache=10" TargetMode="External"/><Relationship Id="rId55" Type="http://schemas.openxmlformats.org/officeDocument/2006/relationships/hyperlink" Target="https://www.weyermann.de/usa/gelbe_seiten_usa.asp?go=brewery&amp;umenue=yes&amp;idmenue=269&amp;sprache=10" TargetMode="External"/><Relationship Id="rId76" Type="http://schemas.openxmlformats.org/officeDocument/2006/relationships/hyperlink" Target="http://www.brewingwithbriess.com/Products/Caramel.htm" TargetMode="External"/><Relationship Id="rId97" Type="http://schemas.openxmlformats.org/officeDocument/2006/relationships/hyperlink" Target="http://www.bestmalz.de/en/malts/best-vienna" TargetMode="External"/><Relationship Id="rId104" Type="http://schemas.openxmlformats.org/officeDocument/2006/relationships/hyperlink" Target="http://www.bestmalz.de/en/malts/best-wheat-malt" TargetMode="External"/><Relationship Id="rId120" Type="http://schemas.openxmlformats.org/officeDocument/2006/relationships/hyperlink" Target="http://www.bestmalz.de/en/malts/best-acidulated-malt" TargetMode="External"/><Relationship Id="rId125" Type="http://schemas.openxmlformats.org/officeDocument/2006/relationships/hyperlink" Target="http://www.muntonsmicrobrewing.com/product-range/" TargetMode="External"/><Relationship Id="rId141" Type="http://schemas.openxmlformats.org/officeDocument/2006/relationships/hyperlink" Target="http://brewingwithbriess.com/Products/Dark_Roasted.htm" TargetMode="External"/><Relationship Id="rId146" Type="http://schemas.openxmlformats.org/officeDocument/2006/relationships/hyperlink" Target="http://brewingwithbriess.com/Products/Kilned.htm" TargetMode="External"/><Relationship Id="rId167" Type="http://schemas.openxmlformats.org/officeDocument/2006/relationships/hyperlink" Target="http://www.brewingwithbriess.com/Products/Extracts.htm" TargetMode="External"/><Relationship Id="rId7" Type="http://schemas.openxmlformats.org/officeDocument/2006/relationships/hyperlink" Target="https://www.simpsonsmalt.co.uk/our-malts/vienna-malt/" TargetMode="External"/><Relationship Id="rId71" Type="http://schemas.openxmlformats.org/officeDocument/2006/relationships/hyperlink" Target="http://www.brewingwithbriess.com/Products/Caramel.htm" TargetMode="External"/><Relationship Id="rId92" Type="http://schemas.openxmlformats.org/officeDocument/2006/relationships/hyperlink" Target="http://www.brewingwithbriess.com/Products/Wheat.htm" TargetMode="External"/><Relationship Id="rId162" Type="http://schemas.openxmlformats.org/officeDocument/2006/relationships/hyperlink" Target="http://www.brewingwithbriess.com/Products/Dark_Roasted.htm" TargetMode="External"/><Relationship Id="rId183" Type="http://schemas.openxmlformats.org/officeDocument/2006/relationships/hyperlink" Target="http://brewingwithbriess.com/Products/Roasted_Barley.htm" TargetMode="External"/><Relationship Id="rId2" Type="http://schemas.openxmlformats.org/officeDocument/2006/relationships/hyperlink" Target="https://www.simpsonsmalt.co.uk/our-malts/finest-pale-ale-maris-otter/" TargetMode="External"/><Relationship Id="rId29" Type="http://schemas.openxmlformats.org/officeDocument/2006/relationships/hyperlink" Target="https://www.simpsonsmalt.co.uk/our-malts/malted-rye/" TargetMode="External"/><Relationship Id="rId24" Type="http://schemas.openxmlformats.org/officeDocument/2006/relationships/hyperlink" Target="https://www.simpsonsmalt.co.uk/our-malts/roasted-barley/" TargetMode="External"/><Relationship Id="rId40" Type="http://schemas.openxmlformats.org/officeDocument/2006/relationships/hyperlink" Target="http://www.dingemansmout.be/products/caramalized-malts" TargetMode="External"/><Relationship Id="rId45" Type="http://schemas.openxmlformats.org/officeDocument/2006/relationships/hyperlink" Target="http://www.dingemansmout.be/products/roasted-malts" TargetMode="External"/><Relationship Id="rId66" Type="http://schemas.openxmlformats.org/officeDocument/2006/relationships/hyperlink" Target="https://www.weyermann.de/usa/gelbe_seiten_usa.asp?go=brewery&amp;umenue=yes&amp;idmenue=269&amp;sprache=10" TargetMode="External"/><Relationship Id="rId87" Type="http://schemas.openxmlformats.org/officeDocument/2006/relationships/hyperlink" Target="http://www.brewingwithbriess.com/Products/Base.htm" TargetMode="External"/><Relationship Id="rId110" Type="http://schemas.openxmlformats.org/officeDocument/2006/relationships/hyperlink" Target="http://www.bestmalz.de/en/malts/best-caramel-hell" TargetMode="External"/><Relationship Id="rId115" Type="http://schemas.openxmlformats.org/officeDocument/2006/relationships/hyperlink" Target="http://www.bestmalz.de/en/malts/best-caramel-munich-ii" TargetMode="External"/><Relationship Id="rId131" Type="http://schemas.openxmlformats.org/officeDocument/2006/relationships/hyperlink" Target="http://www.muntonsmicrobrewing.com/product-range/" TargetMode="External"/><Relationship Id="rId136" Type="http://schemas.openxmlformats.org/officeDocument/2006/relationships/hyperlink" Target="http://www.brewingwithbriess.com/Products/Adjuncts.htm" TargetMode="External"/><Relationship Id="rId157" Type="http://schemas.openxmlformats.org/officeDocument/2006/relationships/hyperlink" Target="http://www.beersmith.com/Grains/Grains/GrainList.htm" TargetMode="External"/><Relationship Id="rId178" Type="http://schemas.openxmlformats.org/officeDocument/2006/relationships/hyperlink" Target="https://www.gladfieldmalt.co.nz/our-malts/" TargetMode="External"/><Relationship Id="rId61" Type="http://schemas.openxmlformats.org/officeDocument/2006/relationships/hyperlink" Target="https://www.weyermann.de/usa/gelbe_seiten_usa.asp?go=brewery&amp;umenue=yes&amp;idmenue=269&amp;sprache=10" TargetMode="External"/><Relationship Id="rId82" Type="http://schemas.openxmlformats.org/officeDocument/2006/relationships/hyperlink" Target="http://www.brewingwithbriess.com/Products/Carapils.htm" TargetMode="External"/><Relationship Id="rId152" Type="http://schemas.openxmlformats.org/officeDocument/2006/relationships/hyperlink" Target="http://www.beersmith.com/Grains/Grains/GrainList.htm" TargetMode="External"/><Relationship Id="rId173" Type="http://schemas.openxmlformats.org/officeDocument/2006/relationships/hyperlink" Target="https://www.mydigitalpublication.com/publication/?m=53118&amp;l=1&amp;p=&amp;pn=" TargetMode="External"/><Relationship Id="rId19" Type="http://schemas.openxmlformats.org/officeDocument/2006/relationships/hyperlink" Target="https://www.simpsonsmalt.co.uk/our-malts/heritage-crystal-malt/" TargetMode="External"/><Relationship Id="rId14" Type="http://schemas.openxmlformats.org/officeDocument/2006/relationships/hyperlink" Target="https://www.simpsonsmalt.co.uk/our-malts/crystal-light/" TargetMode="External"/><Relationship Id="rId30" Type="http://schemas.openxmlformats.org/officeDocument/2006/relationships/hyperlink" Target="https://www.simpsonsmalt.co.uk/our-malts/dextrin-malt/" TargetMode="External"/><Relationship Id="rId35" Type="http://schemas.openxmlformats.org/officeDocument/2006/relationships/hyperlink" Target="http://www.dingemansmout.be/products/kilned-malts" TargetMode="External"/><Relationship Id="rId56" Type="http://schemas.openxmlformats.org/officeDocument/2006/relationships/hyperlink" Target="https://www.weyermann.de/usa/gelbe_seiten_usa.asp?go=brewery&amp;umenue=yes&amp;idmenue=269&amp;sprache=10" TargetMode="External"/><Relationship Id="rId77" Type="http://schemas.openxmlformats.org/officeDocument/2006/relationships/hyperlink" Target="http://www.brewingwithbriess.com/Products/Caramel.htm" TargetMode="External"/><Relationship Id="rId100" Type="http://schemas.openxmlformats.org/officeDocument/2006/relationships/hyperlink" Target="http://www.bestmalz.de/en/malts/best-melanoidin-light" TargetMode="External"/><Relationship Id="rId105" Type="http://schemas.openxmlformats.org/officeDocument/2006/relationships/hyperlink" Target="http://www.bestmalz.de/en/malts/best-wheat-malt-dark" TargetMode="External"/><Relationship Id="rId126" Type="http://schemas.openxmlformats.org/officeDocument/2006/relationships/hyperlink" Target="http://www.muntonsmicrobrewing.com/product-range/" TargetMode="External"/><Relationship Id="rId147" Type="http://schemas.openxmlformats.org/officeDocument/2006/relationships/hyperlink" Target="http://www.beersmith.com/Grains/Grains/GrainList.htm" TargetMode="External"/><Relationship Id="rId168" Type="http://schemas.openxmlformats.org/officeDocument/2006/relationships/hyperlink" Target="http://www.brewingwithbriess.com/Products/Extracts.htm" TargetMode="External"/><Relationship Id="rId8" Type="http://schemas.openxmlformats.org/officeDocument/2006/relationships/hyperlink" Target="https://www.simpsonsmalt.co.uk/our-malts/munich-malt/" TargetMode="External"/><Relationship Id="rId51" Type="http://schemas.openxmlformats.org/officeDocument/2006/relationships/hyperlink" Target="https://www.weyermann.de/usa/gelbe_seiten_usa.asp?go=brewery&amp;umenue=yes&amp;idmenue=269&amp;sprache=10" TargetMode="External"/><Relationship Id="rId72" Type="http://schemas.openxmlformats.org/officeDocument/2006/relationships/hyperlink" Target="http://www.brewingwithbriess.com/Products/Caramel.htm" TargetMode="External"/><Relationship Id="rId93" Type="http://schemas.openxmlformats.org/officeDocument/2006/relationships/hyperlink" Target="http://www.brewingwithbriess.com/Products/Roasted.htm" TargetMode="External"/><Relationship Id="rId98" Type="http://schemas.openxmlformats.org/officeDocument/2006/relationships/hyperlink" Target="http://www.bestmalz.de/en/malts/best-munich-dark/" TargetMode="External"/><Relationship Id="rId121" Type="http://schemas.openxmlformats.org/officeDocument/2006/relationships/hyperlink" Target="http://www.bestmalz.de/en/malts/best-smoked" TargetMode="External"/><Relationship Id="rId142" Type="http://schemas.openxmlformats.org/officeDocument/2006/relationships/hyperlink" Target="http://brewingwithbriess.com/Products/Roasted.htm" TargetMode="External"/><Relationship Id="rId163" Type="http://schemas.openxmlformats.org/officeDocument/2006/relationships/hyperlink" Target="http://www.brewingwithbriess.com/Products/Dark_Roasted.htm" TargetMode="External"/><Relationship Id="rId184" Type="http://schemas.openxmlformats.org/officeDocument/2006/relationships/hyperlink" Target="https://www.gladfieldmalt.co.nz/our-malts/" TargetMode="External"/><Relationship Id="rId3" Type="http://schemas.openxmlformats.org/officeDocument/2006/relationships/hyperlink" Target="https://www.simpsonsmalt.co.uk/our-malts/low-colour-maris-otter/" TargetMode="External"/><Relationship Id="rId25" Type="http://schemas.openxmlformats.org/officeDocument/2006/relationships/hyperlink" Target="https://www.simpsonsmalt.co.uk/our-malts/malted-oats/" TargetMode="External"/><Relationship Id="rId46" Type="http://schemas.openxmlformats.org/officeDocument/2006/relationships/hyperlink" Target="http://www.dingemansmout.be/products/kilned-malts" TargetMode="External"/><Relationship Id="rId67" Type="http://schemas.openxmlformats.org/officeDocument/2006/relationships/hyperlink" Target="http://www.brewingwithbriess.com/Products/Munich.htm" TargetMode="External"/><Relationship Id="rId116" Type="http://schemas.openxmlformats.org/officeDocument/2006/relationships/hyperlink" Target="http://www.bestmalz.de/en/malts/best-caramel-munich-iii" TargetMode="External"/><Relationship Id="rId137" Type="http://schemas.openxmlformats.org/officeDocument/2006/relationships/hyperlink" Target="http://www.brewingwithbriess.com/Products/Adjuncts.htm" TargetMode="External"/><Relationship Id="rId158" Type="http://schemas.openxmlformats.org/officeDocument/2006/relationships/hyperlink" Target="http://www.beersmith.com/Grains/Grains/GrainList.htm" TargetMode="External"/><Relationship Id="rId20" Type="http://schemas.openxmlformats.org/officeDocument/2006/relationships/hyperlink" Target="https://www.simpsonsmalt.co.uk/our-malts/amber-malt/" TargetMode="External"/><Relationship Id="rId41" Type="http://schemas.openxmlformats.org/officeDocument/2006/relationships/hyperlink" Target="http://www.dingemansmout.be/products/roasted-malts" TargetMode="External"/><Relationship Id="rId62" Type="http://schemas.openxmlformats.org/officeDocument/2006/relationships/hyperlink" Target="https://www.weyermann.de/usa/gelbe_seiten_usa.asp?go=brewery&amp;umenue=yes&amp;idmenue=269&amp;sprache=10" TargetMode="External"/><Relationship Id="rId83" Type="http://schemas.openxmlformats.org/officeDocument/2006/relationships/hyperlink" Target="http://www.brewingwithbriess.com/Products/Dark_Roasted.htm" TargetMode="External"/><Relationship Id="rId88" Type="http://schemas.openxmlformats.org/officeDocument/2006/relationships/hyperlink" Target="http://www.brewingwithbriess.com/Products/Base.htm" TargetMode="External"/><Relationship Id="rId111" Type="http://schemas.openxmlformats.org/officeDocument/2006/relationships/hyperlink" Target="http://www.bestmalz.de/en/malts/best-caramel-aromatic" TargetMode="External"/><Relationship Id="rId132" Type="http://schemas.openxmlformats.org/officeDocument/2006/relationships/hyperlink" Target="http://www.muntonsmicrobrewing.com/product-range/" TargetMode="External"/><Relationship Id="rId153" Type="http://schemas.openxmlformats.org/officeDocument/2006/relationships/hyperlink" Target="http://www.beersmith.com/Grains/Grains/GrainList.htm" TargetMode="External"/><Relationship Id="rId174" Type="http://schemas.openxmlformats.org/officeDocument/2006/relationships/hyperlink" Target="https://www.gladfieldmalt.co.nz/our-malts/" TargetMode="External"/><Relationship Id="rId179" Type="http://schemas.openxmlformats.org/officeDocument/2006/relationships/hyperlink" Target="https://www.gladfieldmalt.co.nz/our-malts/" TargetMode="External"/><Relationship Id="rId15" Type="http://schemas.openxmlformats.org/officeDocument/2006/relationships/hyperlink" Target="https://www.simpsonsmalt.co.uk/our-malts/crystal-t50/" TargetMode="External"/><Relationship Id="rId36" Type="http://schemas.openxmlformats.org/officeDocument/2006/relationships/hyperlink" Target="http://www.dingemansmout.be/products/kilned-malts" TargetMode="External"/><Relationship Id="rId57" Type="http://schemas.openxmlformats.org/officeDocument/2006/relationships/hyperlink" Target="https://www.weyermann.de/usa/gelbe_seiten_usa.asp?go=brewery&amp;umenue=yes&amp;idmenue=269&amp;sprache=10" TargetMode="External"/><Relationship Id="rId106" Type="http://schemas.openxmlformats.org/officeDocument/2006/relationships/hyperlink" Target="http://www.bestmalz.de/en/malts/best-spelt-malt" TargetMode="External"/><Relationship Id="rId127" Type="http://schemas.openxmlformats.org/officeDocument/2006/relationships/hyperlink" Target="http://www.muntonsmicrobrewing.com/product-range/" TargetMode="External"/><Relationship Id="rId10" Type="http://schemas.openxmlformats.org/officeDocument/2006/relationships/hyperlink" Target="https://www.simpsonsmalt.co.uk/our-malts/aromatic-malt/" TargetMode="External"/><Relationship Id="rId31" Type="http://schemas.openxmlformats.org/officeDocument/2006/relationships/hyperlink" Target="http://www.dingemansmout.be/products/kilned-malts" TargetMode="External"/><Relationship Id="rId52" Type="http://schemas.openxmlformats.org/officeDocument/2006/relationships/hyperlink" Target="https://www.weyermann.de/usa/gelbe_seiten_usa.asp?go=brewery&amp;umenue=yes&amp;idmenue=269&amp;sprache=10" TargetMode="External"/><Relationship Id="rId73" Type="http://schemas.openxmlformats.org/officeDocument/2006/relationships/hyperlink" Target="http://www.brewingwithbriess.com/Products/Caramel.htm" TargetMode="External"/><Relationship Id="rId78" Type="http://schemas.openxmlformats.org/officeDocument/2006/relationships/hyperlink" Target="http://www.brewingwithbriess.com/Products/Caramel.htm" TargetMode="External"/><Relationship Id="rId94" Type="http://schemas.openxmlformats.org/officeDocument/2006/relationships/hyperlink" Target="http://www.bestmalz.de/en/malts/best-heidelberg/?portfolioCats=28" TargetMode="External"/><Relationship Id="rId99" Type="http://schemas.openxmlformats.org/officeDocument/2006/relationships/hyperlink" Target="http://www.bestmalz.de/en/malts/best-melanoidin" TargetMode="External"/><Relationship Id="rId101" Type="http://schemas.openxmlformats.org/officeDocument/2006/relationships/hyperlink" Target="http://www.bestmalz.de/en/malts/best-munich" TargetMode="External"/><Relationship Id="rId122" Type="http://schemas.openxmlformats.org/officeDocument/2006/relationships/hyperlink" Target="http://www.bestmalz.de/en/malts/best-peated" TargetMode="External"/><Relationship Id="rId143" Type="http://schemas.openxmlformats.org/officeDocument/2006/relationships/hyperlink" Target="http://brewingwithbriess.com/Products/Kilned.htm" TargetMode="External"/><Relationship Id="rId148" Type="http://schemas.openxmlformats.org/officeDocument/2006/relationships/hyperlink" Target="http://www.beersmith.com/Grains/Grains/GrainList.htm" TargetMode="External"/><Relationship Id="rId164" Type="http://schemas.openxmlformats.org/officeDocument/2006/relationships/hyperlink" Target="http://www.bestmalz.de/en/malts/best-chocolate" TargetMode="External"/><Relationship Id="rId169" Type="http://schemas.openxmlformats.org/officeDocument/2006/relationships/hyperlink" Target="http://www.brewingwithbriess.com/Products/Extracts.htm" TargetMode="External"/><Relationship Id="rId185" Type="http://schemas.openxmlformats.org/officeDocument/2006/relationships/printerSettings" Target="../printerSettings/printerSettings8.bin"/><Relationship Id="rId4" Type="http://schemas.openxmlformats.org/officeDocument/2006/relationships/hyperlink" Target="http://www.fawcett-maltsters.co.uk/uploads/2/0/2/6/20260333/spec_table_asbc.pdf" TargetMode="External"/><Relationship Id="rId9" Type="http://schemas.openxmlformats.org/officeDocument/2006/relationships/hyperlink" Target="https://www.simpsonsmalt.co.uk/our-malts/imperial-malt/" TargetMode="External"/><Relationship Id="rId180" Type="http://schemas.openxmlformats.org/officeDocument/2006/relationships/hyperlink" Target="https://www.gladfieldmalt.co.nz/our-malts/" TargetMode="External"/><Relationship Id="rId26" Type="http://schemas.openxmlformats.org/officeDocument/2006/relationships/hyperlink" Target="https://www.simpsonsmalt.co.uk/our-malts/wheat-malt/" TargetMode="External"/><Relationship Id="rId47" Type="http://schemas.openxmlformats.org/officeDocument/2006/relationships/hyperlink" Target="https://www.weyermann.de/usa/gelbe_seiten_usa.asp?go=brewery&amp;umenue=yes&amp;idmenue=269&amp;sprache=10" TargetMode="External"/><Relationship Id="rId68" Type="http://schemas.openxmlformats.org/officeDocument/2006/relationships/hyperlink" Target="http://www.brewingwithbriess.com/Products/Roasted.htm" TargetMode="External"/><Relationship Id="rId89" Type="http://schemas.openxmlformats.org/officeDocument/2006/relationships/hyperlink" Target="http://www.brewingwithbriess.com/Products/Base.htm" TargetMode="External"/><Relationship Id="rId112" Type="http://schemas.openxmlformats.org/officeDocument/2006/relationships/hyperlink" Target="http://www.bestmalz.de/en/malts/best-caramel-amber" TargetMode="External"/><Relationship Id="rId133" Type="http://schemas.openxmlformats.org/officeDocument/2006/relationships/hyperlink" Target="http://www.muntonsmicrobrewing.com/product-range/" TargetMode="External"/><Relationship Id="rId154" Type="http://schemas.openxmlformats.org/officeDocument/2006/relationships/hyperlink" Target="http://www.beersmith.com/Grains/Grains/GrainList.htm" TargetMode="External"/><Relationship Id="rId175" Type="http://schemas.openxmlformats.org/officeDocument/2006/relationships/hyperlink" Target="https://www.gladfieldmalt.co.nz/our-malts/" TargetMode="External"/><Relationship Id="rId16" Type="http://schemas.openxmlformats.org/officeDocument/2006/relationships/hyperlink" Target="https://www.simpsonsmalt.co.uk/our-malts/crystal-medium/" TargetMode="External"/><Relationship Id="rId37" Type="http://schemas.openxmlformats.org/officeDocument/2006/relationships/hyperlink" Target="http://www.dingemansmout.be/products/caramalized-malts" TargetMode="External"/><Relationship Id="rId58" Type="http://schemas.openxmlformats.org/officeDocument/2006/relationships/hyperlink" Target="https://www.weyermann.de/usa/gelbe_seiten_usa.asp?go=brewery&amp;umenue=yes&amp;idmenue=269&amp;sprache=10" TargetMode="External"/><Relationship Id="rId79" Type="http://schemas.openxmlformats.org/officeDocument/2006/relationships/hyperlink" Target="http://www.brewingwithbriess.com/Products/Caramel.htm" TargetMode="External"/><Relationship Id="rId102" Type="http://schemas.openxmlformats.org/officeDocument/2006/relationships/hyperlink" Target="https://www.simpsonsmalt.co.uk/our-malts/best-pale-ale-malt/" TargetMode="External"/><Relationship Id="rId123" Type="http://schemas.openxmlformats.org/officeDocument/2006/relationships/hyperlink" Target="http://www.bestmalz.de/en/malts/best-roasted-barley" TargetMode="External"/><Relationship Id="rId144" Type="http://schemas.openxmlformats.org/officeDocument/2006/relationships/hyperlink" Target="http://brewingwithbriess.com/Products/Kilned.htm" TargetMode="External"/><Relationship Id="rId90" Type="http://schemas.openxmlformats.org/officeDocument/2006/relationships/hyperlink" Target="http://www.brewingwithbriess.com/Products/Base.htm" TargetMode="External"/><Relationship Id="rId165" Type="http://schemas.openxmlformats.org/officeDocument/2006/relationships/hyperlink" Target="http://www.brewingwithbriess.com/Products/Base.htm" TargetMode="External"/><Relationship Id="rId186" Type="http://schemas.openxmlformats.org/officeDocument/2006/relationships/table" Target="../tables/table1.xml"/><Relationship Id="rId27" Type="http://schemas.openxmlformats.org/officeDocument/2006/relationships/hyperlink" Target="https://www.simpsonsmalt.co.uk/our-malts/golden-naked-oats-gno/" TargetMode="External"/><Relationship Id="rId48" Type="http://schemas.openxmlformats.org/officeDocument/2006/relationships/hyperlink" Target="https://www.weyermann.de/usa/gelbe_seiten_usa.asp?go=brewery&amp;umenue=yes&amp;idmenue=269&amp;sprache=10" TargetMode="External"/><Relationship Id="rId69" Type="http://schemas.openxmlformats.org/officeDocument/2006/relationships/hyperlink" Target="http://www.brewingwithbriess.com/Products/Caramel.htm" TargetMode="External"/><Relationship Id="rId113" Type="http://schemas.openxmlformats.org/officeDocument/2006/relationships/hyperlink" Target="http://www.bestmalz.de/en/malts/best-caramel-pils" TargetMode="External"/><Relationship Id="rId134" Type="http://schemas.openxmlformats.org/officeDocument/2006/relationships/hyperlink" Target="http://www.muntonsmicrobrewing.com/product-range/" TargetMode="External"/><Relationship Id="rId80" Type="http://schemas.openxmlformats.org/officeDocument/2006/relationships/hyperlink" Target="http://www.brewingwithbriess.com/Products/Caramel.htm" TargetMode="External"/><Relationship Id="rId155" Type="http://schemas.openxmlformats.org/officeDocument/2006/relationships/hyperlink" Target="http://www.beersmith.com/Grains/Grains/GrainList.htm" TargetMode="External"/><Relationship Id="rId176" Type="http://schemas.openxmlformats.org/officeDocument/2006/relationships/hyperlink" Target="https://www.gladfieldmalt.co.nz/our-malts/" TargetMode="External"/><Relationship Id="rId17" Type="http://schemas.openxmlformats.org/officeDocument/2006/relationships/hyperlink" Target="https://www.simpsonsmalt.co.uk/our-malts/crystal-extra-dark/" TargetMode="External"/><Relationship Id="rId38" Type="http://schemas.openxmlformats.org/officeDocument/2006/relationships/hyperlink" Target="http://www.dingemansmout.be/products/caramalized-malts" TargetMode="External"/><Relationship Id="rId59" Type="http://schemas.openxmlformats.org/officeDocument/2006/relationships/hyperlink" Target="https://www.weyermann.de/usa/gelbe_seiten_usa.asp?go=brewery&amp;umenue=yes&amp;idmenue=269&amp;sprache=10" TargetMode="External"/><Relationship Id="rId103" Type="http://schemas.openxmlformats.org/officeDocument/2006/relationships/hyperlink" Target="https://www.simpsonsmalt.co.uk/our-malts/crystal-dark/" TargetMode="External"/><Relationship Id="rId124" Type="http://schemas.openxmlformats.org/officeDocument/2006/relationships/hyperlink" Target="http://www.muntonsmicrobrewing.com/product-range/" TargetMode="External"/><Relationship Id="rId70" Type="http://schemas.openxmlformats.org/officeDocument/2006/relationships/hyperlink" Target="http://www.brewingwithbriess.com/Products/Caramel.htm" TargetMode="External"/><Relationship Id="rId91" Type="http://schemas.openxmlformats.org/officeDocument/2006/relationships/hyperlink" Target="http://www.brewingwithbriess.com/Products/Wheat.htm" TargetMode="External"/><Relationship Id="rId145" Type="http://schemas.openxmlformats.org/officeDocument/2006/relationships/hyperlink" Target="http://brewingwithbriess.com/Products/Kilned.htm" TargetMode="External"/><Relationship Id="rId166" Type="http://schemas.openxmlformats.org/officeDocument/2006/relationships/hyperlink" Target="https://www.weyermann.de/usa/gelbe_seiten_usa.asp?go=brewery&amp;umenue=yes&amp;idmenue=269&amp;sprache=10" TargetMode="External"/><Relationship Id="rId1" Type="http://schemas.openxmlformats.org/officeDocument/2006/relationships/hyperlink" Target="https://www.simpsonsmalt.co.uk/our-malts/finest-pale-ale-golden-promise/" TargetMode="External"/><Relationship Id="rId28" Type="http://schemas.openxmlformats.org/officeDocument/2006/relationships/hyperlink" Target="https://www.simpsonsmalt.co.uk/our-malts/red-rye-crystal/" TargetMode="External"/><Relationship Id="rId49" Type="http://schemas.openxmlformats.org/officeDocument/2006/relationships/hyperlink" Target="https://www.weyermann.de/usa/gelbe_seiten_usa.asp?go=brewery&amp;umenue=yes&amp;idmenue=269&amp;sprache=10" TargetMode="External"/><Relationship Id="rId114" Type="http://schemas.openxmlformats.org/officeDocument/2006/relationships/hyperlink" Target="http://www.bestmalz.de/en/malts/best-caramel-munich-i" TargetMode="External"/><Relationship Id="rId60" Type="http://schemas.openxmlformats.org/officeDocument/2006/relationships/hyperlink" Target="http://www.brewingwithbriess.com/Products/Base.htm" TargetMode="External"/><Relationship Id="rId81" Type="http://schemas.openxmlformats.org/officeDocument/2006/relationships/hyperlink" Target="http://www.brewingwithbriess.com/Products/Carapils.htm" TargetMode="External"/><Relationship Id="rId135" Type="http://schemas.openxmlformats.org/officeDocument/2006/relationships/hyperlink" Target="http://www.brewingwithbriess.com/Products/Extracts.htm" TargetMode="External"/><Relationship Id="rId156" Type="http://schemas.openxmlformats.org/officeDocument/2006/relationships/hyperlink" Target="http://www.beersmith.com/Grains/Grains/GrainList.htm" TargetMode="External"/><Relationship Id="rId177" Type="http://schemas.openxmlformats.org/officeDocument/2006/relationships/hyperlink" Target="https://www.gladfieldmalt.co.nz/our-mal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B39"/>
  <sheetViews>
    <sheetView zoomScaleNormal="100" workbookViewId="0">
      <selection activeCell="B39" sqref="B39"/>
    </sheetView>
  </sheetViews>
  <sheetFormatPr defaultRowHeight="13.2" x14ac:dyDescent="0.25"/>
  <cols>
    <col min="1" max="1" width="10.109375" bestFit="1" customWidth="1"/>
    <col min="2" max="2" width="111.21875" customWidth="1"/>
  </cols>
  <sheetData>
    <row r="2" spans="2:2" x14ac:dyDescent="0.25">
      <c r="B2" s="43" t="s">
        <v>1209</v>
      </c>
    </row>
    <row r="3" spans="2:2" x14ac:dyDescent="0.25">
      <c r="B3" s="20" t="s">
        <v>1202</v>
      </c>
    </row>
    <row r="4" spans="2:2" x14ac:dyDescent="0.25">
      <c r="B4" s="64" t="s">
        <v>1345</v>
      </c>
    </row>
    <row r="5" spans="2:2" x14ac:dyDescent="0.25">
      <c r="B5" s="20" t="s">
        <v>2076</v>
      </c>
    </row>
    <row r="6" spans="2:2" x14ac:dyDescent="0.25">
      <c r="B6" s="20" t="s">
        <v>2077</v>
      </c>
    </row>
    <row r="7" spans="2:2" x14ac:dyDescent="0.25">
      <c r="B7" s="20" t="s">
        <v>2078</v>
      </c>
    </row>
    <row r="8" spans="2:2" x14ac:dyDescent="0.25">
      <c r="B8" s="20" t="s">
        <v>1203</v>
      </c>
    </row>
    <row r="9" spans="2:2" x14ac:dyDescent="0.25">
      <c r="B9" s="20" t="s">
        <v>1204</v>
      </c>
    </row>
    <row r="10" spans="2:2" x14ac:dyDescent="0.25">
      <c r="B10" s="20" t="s">
        <v>1205</v>
      </c>
    </row>
    <row r="11" spans="2:2" x14ac:dyDescent="0.25">
      <c r="B11" s="20" t="s">
        <v>1206</v>
      </c>
    </row>
    <row r="12" spans="2:2" x14ac:dyDescent="0.25">
      <c r="B12" s="20" t="s">
        <v>2073</v>
      </c>
    </row>
    <row r="13" spans="2:2" x14ac:dyDescent="0.25">
      <c r="B13" s="20" t="s">
        <v>2074</v>
      </c>
    </row>
    <row r="14" spans="2:2" x14ac:dyDescent="0.25">
      <c r="B14" s="20" t="s">
        <v>2075</v>
      </c>
    </row>
    <row r="15" spans="2:2" x14ac:dyDescent="0.25">
      <c r="B15" s="20" t="s">
        <v>1210</v>
      </c>
    </row>
    <row r="16" spans="2:2" x14ac:dyDescent="0.25">
      <c r="B16" s="64" t="s">
        <v>142</v>
      </c>
    </row>
    <row r="19" spans="1:2" x14ac:dyDescent="0.25">
      <c r="B19" s="43" t="s">
        <v>1207</v>
      </c>
    </row>
    <row r="20" spans="1:2" x14ac:dyDescent="0.25">
      <c r="B20" s="20" t="s">
        <v>1208</v>
      </c>
    </row>
    <row r="21" spans="1:2" ht="66" x14ac:dyDescent="0.25">
      <c r="A21" s="63">
        <v>42838</v>
      </c>
      <c r="B21" s="62" t="s">
        <v>1225</v>
      </c>
    </row>
    <row r="22" spans="1:2" x14ac:dyDescent="0.25">
      <c r="A22" s="77">
        <v>42840</v>
      </c>
      <c r="B22" s="20" t="s">
        <v>1226</v>
      </c>
    </row>
    <row r="23" spans="1:2" x14ac:dyDescent="0.25">
      <c r="A23" s="77">
        <v>42845</v>
      </c>
      <c r="B23" s="20" t="s">
        <v>1227</v>
      </c>
    </row>
    <row r="24" spans="1:2" x14ac:dyDescent="0.25">
      <c r="A24" s="77">
        <v>42850</v>
      </c>
      <c r="B24" s="20" t="s">
        <v>1301</v>
      </c>
    </row>
    <row r="25" spans="1:2" x14ac:dyDescent="0.25">
      <c r="A25" s="77">
        <v>42854</v>
      </c>
      <c r="B25" s="20" t="s">
        <v>1312</v>
      </c>
    </row>
    <row r="26" spans="1:2" ht="52.8" x14ac:dyDescent="0.25">
      <c r="A26" s="79">
        <v>42931</v>
      </c>
      <c r="B26" s="62" t="s">
        <v>1344</v>
      </c>
    </row>
    <row r="27" spans="1:2" ht="132" x14ac:dyDescent="0.25">
      <c r="A27" s="79">
        <v>42983</v>
      </c>
      <c r="B27" s="62" t="s">
        <v>1664</v>
      </c>
    </row>
    <row r="28" spans="1:2" ht="145.19999999999999" x14ac:dyDescent="0.25">
      <c r="A28" s="79">
        <v>43048</v>
      </c>
      <c r="B28" s="62" t="s">
        <v>1744</v>
      </c>
    </row>
    <row r="29" spans="1:2" ht="26.4" x14ac:dyDescent="0.25">
      <c r="A29" s="79">
        <v>43189</v>
      </c>
      <c r="B29" s="62" t="s">
        <v>1745</v>
      </c>
    </row>
    <row r="30" spans="1:2" ht="26.4" x14ac:dyDescent="0.25">
      <c r="A30" s="79">
        <v>43267</v>
      </c>
      <c r="B30" s="62" t="s">
        <v>1750</v>
      </c>
    </row>
    <row r="31" spans="1:2" x14ac:dyDescent="0.25">
      <c r="A31" s="77">
        <v>43386</v>
      </c>
      <c r="B31" s="62" t="s">
        <v>1759</v>
      </c>
    </row>
    <row r="32" spans="1:2" ht="52.8" x14ac:dyDescent="0.25">
      <c r="A32" s="79">
        <v>43435</v>
      </c>
      <c r="B32" s="62" t="s">
        <v>1760</v>
      </c>
    </row>
    <row r="33" spans="1:2" ht="316.8" x14ac:dyDescent="0.25">
      <c r="A33" s="79">
        <v>43478</v>
      </c>
      <c r="B33" s="457" t="s">
        <v>2071</v>
      </c>
    </row>
    <row r="34" spans="1:2" x14ac:dyDescent="0.25">
      <c r="A34" s="77">
        <v>43480</v>
      </c>
      <c r="B34" s="529" t="s">
        <v>2072</v>
      </c>
    </row>
    <row r="35" spans="1:2" x14ac:dyDescent="0.25">
      <c r="A35" s="77">
        <v>43481</v>
      </c>
      <c r="B35" s="62" t="s">
        <v>2079</v>
      </c>
    </row>
    <row r="36" spans="1:2" x14ac:dyDescent="0.25">
      <c r="A36" s="77">
        <v>43482</v>
      </c>
      <c r="B36" s="62" t="s">
        <v>2080</v>
      </c>
    </row>
    <row r="37" spans="1:2" x14ac:dyDescent="0.25">
      <c r="A37" s="77">
        <v>43494</v>
      </c>
      <c r="B37" s="62" t="s">
        <v>2082</v>
      </c>
    </row>
    <row r="38" spans="1:2" x14ac:dyDescent="0.25">
      <c r="A38" s="77">
        <v>43502</v>
      </c>
      <c r="B38" s="62" t="s">
        <v>2127</v>
      </c>
    </row>
    <row r="39" spans="1:2" x14ac:dyDescent="0.25">
      <c r="A39" s="77">
        <v>43522</v>
      </c>
      <c r="B39" s="62" t="s">
        <v>2146</v>
      </c>
    </row>
  </sheetData>
  <sheetProtection sheet="1" objects="1" scenarios="1"/>
  <hyperlinks>
    <hyperlink ref="B16" r:id="rId1" xr:uid="{00000000-0004-0000-0000-000000000000}"/>
    <hyperlink ref="B4" r:id="rId2" xr:uid="{00000000-0004-0000-0000-000001000000}"/>
  </hyperlinks>
  <pageMargins left="0.7" right="0.7" top="0.75" bottom="0.75" header="0.3" footer="0.3"/>
  <pageSetup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dimension ref="A1:I265"/>
  <sheetViews>
    <sheetView workbookViewId="0">
      <pane ySplit="1" topLeftCell="A143" activePane="bottomLeft" state="frozen"/>
      <selection pane="bottomLeft" activeCell="C163" sqref="C163"/>
    </sheetView>
  </sheetViews>
  <sheetFormatPr defaultRowHeight="13.2" x14ac:dyDescent="0.25"/>
  <cols>
    <col min="1" max="1" width="36.109375" bestFit="1" customWidth="1"/>
    <col min="2" max="2" width="7.44140625" bestFit="1" customWidth="1"/>
    <col min="3" max="3" width="17" bestFit="1" customWidth="1"/>
    <col min="4" max="4" width="9.109375" bestFit="1" customWidth="1"/>
    <col min="5" max="5" width="11.109375" customWidth="1"/>
    <col min="6" max="6" width="11.77734375" bestFit="1" customWidth="1"/>
    <col min="7" max="7" width="7.21875" style="4" customWidth="1"/>
    <col min="8" max="8" width="7.88671875" style="4" customWidth="1"/>
    <col min="9" max="9" width="136.21875" bestFit="1" customWidth="1"/>
  </cols>
  <sheetData>
    <row r="1" spans="1:9" ht="34.200000000000003" customHeight="1" x14ac:dyDescent="0.25">
      <c r="A1" s="43" t="s">
        <v>1168</v>
      </c>
      <c r="B1" s="43" t="s">
        <v>66</v>
      </c>
      <c r="C1" s="43" t="s">
        <v>434</v>
      </c>
      <c r="D1" s="43" t="s">
        <v>435</v>
      </c>
      <c r="E1" s="43" t="s">
        <v>1169</v>
      </c>
      <c r="F1" s="43" t="s">
        <v>1195</v>
      </c>
      <c r="G1" s="80" t="s">
        <v>1313</v>
      </c>
      <c r="H1" s="80" t="s">
        <v>1314</v>
      </c>
      <c r="I1" s="43" t="s">
        <v>67</v>
      </c>
    </row>
    <row r="2" spans="1:9" x14ac:dyDescent="0.25">
      <c r="A2" s="20" t="s">
        <v>1679</v>
      </c>
      <c r="B2" s="20" t="s">
        <v>436</v>
      </c>
      <c r="C2" s="20" t="s">
        <v>1680</v>
      </c>
      <c r="D2" s="20" t="s">
        <v>445</v>
      </c>
      <c r="E2" s="20" t="s">
        <v>1681</v>
      </c>
      <c r="F2" s="114">
        <v>0.74</v>
      </c>
      <c r="G2" s="4">
        <v>62</v>
      </c>
      <c r="H2" s="81">
        <v>70</v>
      </c>
      <c r="I2" s="20" t="s">
        <v>1682</v>
      </c>
    </row>
    <row r="3" spans="1:9" x14ac:dyDescent="0.25">
      <c r="A3" s="20" t="s">
        <v>1683</v>
      </c>
      <c r="B3" s="20" t="s">
        <v>436</v>
      </c>
      <c r="C3" s="20" t="s">
        <v>1680</v>
      </c>
      <c r="D3" s="20" t="s">
        <v>438</v>
      </c>
      <c r="E3" s="20" t="s">
        <v>1684</v>
      </c>
      <c r="F3" s="114">
        <v>0.73499999999999999</v>
      </c>
      <c r="G3" s="4">
        <v>62</v>
      </c>
      <c r="H3" s="81">
        <v>70</v>
      </c>
      <c r="I3" s="20" t="s">
        <v>1685</v>
      </c>
    </row>
    <row r="4" spans="1:9" x14ac:dyDescent="0.25">
      <c r="A4" s="20" t="s">
        <v>1686</v>
      </c>
      <c r="B4" s="20" t="s">
        <v>436</v>
      </c>
      <c r="C4" s="20" t="s">
        <v>1680</v>
      </c>
      <c r="D4" t="s">
        <v>452</v>
      </c>
      <c r="E4" s="20" t="s">
        <v>1252</v>
      </c>
      <c r="F4" s="114">
        <v>0.75</v>
      </c>
      <c r="G4" s="4">
        <v>60</v>
      </c>
      <c r="H4" s="81">
        <v>72</v>
      </c>
      <c r="I4" s="20" t="s">
        <v>1687</v>
      </c>
    </row>
    <row r="5" spans="1:9" x14ac:dyDescent="0.25">
      <c r="A5" s="20" t="s">
        <v>1688</v>
      </c>
      <c r="B5" s="20" t="s">
        <v>436</v>
      </c>
      <c r="C5" s="20" t="s">
        <v>1680</v>
      </c>
      <c r="D5" s="20" t="s">
        <v>560</v>
      </c>
      <c r="E5" s="20" t="s">
        <v>1689</v>
      </c>
      <c r="F5" s="114">
        <v>0.71499999999999997</v>
      </c>
      <c r="G5" s="4">
        <v>64</v>
      </c>
      <c r="H5" s="81">
        <v>70</v>
      </c>
      <c r="I5" s="20" t="s">
        <v>1690</v>
      </c>
    </row>
    <row r="6" spans="1:9" x14ac:dyDescent="0.25">
      <c r="A6" s="20" t="s">
        <v>1691</v>
      </c>
      <c r="B6" s="20" t="s">
        <v>436</v>
      </c>
      <c r="C6" s="20" t="s">
        <v>1680</v>
      </c>
      <c r="D6" s="20" t="s">
        <v>438</v>
      </c>
      <c r="E6" s="20" t="s">
        <v>579</v>
      </c>
      <c r="F6" s="114">
        <v>0.73</v>
      </c>
      <c r="G6" s="4">
        <v>62</v>
      </c>
      <c r="H6" s="81">
        <v>72</v>
      </c>
      <c r="I6" s="20" t="s">
        <v>1692</v>
      </c>
    </row>
    <row r="7" spans="1:9" x14ac:dyDescent="0.25">
      <c r="A7" s="20" t="s">
        <v>1693</v>
      </c>
      <c r="B7" s="20" t="s">
        <v>436</v>
      </c>
      <c r="C7" s="20" t="s">
        <v>1680</v>
      </c>
      <c r="D7" s="20" t="s">
        <v>438</v>
      </c>
      <c r="E7" s="20" t="s">
        <v>458</v>
      </c>
      <c r="F7" s="114">
        <v>0.74</v>
      </c>
      <c r="G7" s="4">
        <v>60</v>
      </c>
      <c r="H7" s="81">
        <v>72</v>
      </c>
      <c r="I7" s="20" t="s">
        <v>1694</v>
      </c>
    </row>
    <row r="8" spans="1:9" x14ac:dyDescent="0.25">
      <c r="A8" s="20" t="s">
        <v>1695</v>
      </c>
      <c r="B8" s="20" t="s">
        <v>436</v>
      </c>
      <c r="C8" s="20" t="s">
        <v>1680</v>
      </c>
      <c r="D8" s="20" t="s">
        <v>441</v>
      </c>
      <c r="E8" s="20" t="s">
        <v>453</v>
      </c>
      <c r="F8" s="114">
        <v>0.75</v>
      </c>
      <c r="G8" s="4">
        <v>60</v>
      </c>
      <c r="H8" s="81">
        <v>70</v>
      </c>
      <c r="I8" s="20" t="s">
        <v>1696</v>
      </c>
    </row>
    <row r="9" spans="1:9" x14ac:dyDescent="0.25">
      <c r="A9" s="20" t="s">
        <v>1697</v>
      </c>
      <c r="B9" s="20" t="s">
        <v>436</v>
      </c>
      <c r="C9" s="20" t="s">
        <v>1680</v>
      </c>
      <c r="D9" s="20" t="s">
        <v>447</v>
      </c>
      <c r="E9" s="20" t="s">
        <v>464</v>
      </c>
      <c r="F9" s="114">
        <v>0.76</v>
      </c>
      <c r="G9" s="4">
        <v>67</v>
      </c>
      <c r="H9" s="81">
        <v>80</v>
      </c>
      <c r="I9" s="20" t="s">
        <v>1698</v>
      </c>
    </row>
    <row r="10" spans="1:9" x14ac:dyDescent="0.25">
      <c r="A10" s="20" t="s">
        <v>1699</v>
      </c>
      <c r="B10" s="20" t="s">
        <v>436</v>
      </c>
      <c r="C10" s="20" t="s">
        <v>1680</v>
      </c>
      <c r="D10" s="20" t="s">
        <v>438</v>
      </c>
      <c r="E10" s="20" t="s">
        <v>464</v>
      </c>
      <c r="F10" s="114">
        <v>0.76</v>
      </c>
      <c r="G10" s="4">
        <v>64</v>
      </c>
      <c r="H10" s="81">
        <v>74</v>
      </c>
      <c r="I10" s="20" t="s">
        <v>1700</v>
      </c>
    </row>
    <row r="11" spans="1:9" x14ac:dyDescent="0.25">
      <c r="A11" s="20" t="s">
        <v>1701</v>
      </c>
      <c r="B11" s="20" t="s">
        <v>436</v>
      </c>
      <c r="C11" s="20" t="s">
        <v>1680</v>
      </c>
      <c r="D11" s="20" t="s">
        <v>438</v>
      </c>
      <c r="E11" s="20" t="s">
        <v>448</v>
      </c>
      <c r="F11" s="114">
        <v>0.72499999999999998</v>
      </c>
      <c r="G11" s="4">
        <v>65</v>
      </c>
      <c r="H11" s="81">
        <v>70</v>
      </c>
      <c r="I11" s="20" t="s">
        <v>1702</v>
      </c>
    </row>
    <row r="12" spans="1:9" x14ac:dyDescent="0.25">
      <c r="A12" s="20" t="s">
        <v>1703</v>
      </c>
      <c r="B12" s="20" t="s">
        <v>436</v>
      </c>
      <c r="C12" s="20" t="s">
        <v>1680</v>
      </c>
      <c r="D12" s="20" t="s">
        <v>438</v>
      </c>
      <c r="E12" s="20" t="s">
        <v>1704</v>
      </c>
      <c r="F12" s="114">
        <v>0.74</v>
      </c>
      <c r="G12" s="4">
        <v>64</v>
      </c>
      <c r="H12" s="81">
        <v>74</v>
      </c>
      <c r="I12" s="20" t="s">
        <v>1705</v>
      </c>
    </row>
    <row r="13" spans="1:9" x14ac:dyDescent="0.25">
      <c r="A13" t="s">
        <v>997</v>
      </c>
      <c r="B13" t="s">
        <v>511</v>
      </c>
      <c r="C13" t="s">
        <v>934</v>
      </c>
      <c r="D13" t="s">
        <v>447</v>
      </c>
      <c r="E13" t="s">
        <v>445</v>
      </c>
      <c r="F13" s="54"/>
      <c r="G13" s="41">
        <v>63</v>
      </c>
      <c r="H13" s="81">
        <v>77</v>
      </c>
      <c r="I13" t="s">
        <v>998</v>
      </c>
    </row>
    <row r="14" spans="1:9" x14ac:dyDescent="0.25">
      <c r="A14" t="s">
        <v>440</v>
      </c>
      <c r="B14" t="s">
        <v>436</v>
      </c>
      <c r="C14" t="s">
        <v>437</v>
      </c>
      <c r="D14" t="s">
        <v>441</v>
      </c>
      <c r="E14" t="s">
        <v>439</v>
      </c>
      <c r="F14" s="54">
        <v>0.77500000000000002</v>
      </c>
      <c r="G14" s="4">
        <v>66</v>
      </c>
      <c r="H14" s="81">
        <v>72</v>
      </c>
      <c r="I14" t="s">
        <v>442</v>
      </c>
    </row>
    <row r="15" spans="1:9" x14ac:dyDescent="0.25">
      <c r="A15" t="s">
        <v>999</v>
      </c>
      <c r="B15" t="s">
        <v>436</v>
      </c>
      <c r="C15" t="s">
        <v>437</v>
      </c>
      <c r="D15" t="s">
        <v>438</v>
      </c>
      <c r="E15" t="s">
        <v>438</v>
      </c>
      <c r="F15" s="54">
        <v>0.78</v>
      </c>
      <c r="G15" s="4">
        <v>66</v>
      </c>
      <c r="H15" s="81">
        <v>72</v>
      </c>
      <c r="I15" t="s">
        <v>1000</v>
      </c>
    </row>
    <row r="16" spans="1:9" x14ac:dyDescent="0.25">
      <c r="A16" t="s">
        <v>443</v>
      </c>
      <c r="B16" t="s">
        <v>436</v>
      </c>
      <c r="C16" t="s">
        <v>444</v>
      </c>
      <c r="D16" t="s">
        <v>438</v>
      </c>
      <c r="E16" t="s">
        <v>445</v>
      </c>
      <c r="F16" s="54"/>
      <c r="G16" s="4">
        <v>59</v>
      </c>
      <c r="H16" s="81">
        <v>68</v>
      </c>
      <c r="I16" t="s">
        <v>1157</v>
      </c>
    </row>
    <row r="17" spans="1:9" x14ac:dyDescent="0.25">
      <c r="A17" t="s">
        <v>446</v>
      </c>
      <c r="B17" t="s">
        <v>436</v>
      </c>
      <c r="C17" t="s">
        <v>437</v>
      </c>
      <c r="D17" t="s">
        <v>447</v>
      </c>
      <c r="E17" t="s">
        <v>448</v>
      </c>
      <c r="F17" s="54">
        <v>0.72499999999999998</v>
      </c>
      <c r="G17" s="4">
        <v>65</v>
      </c>
      <c r="H17" s="81">
        <v>69</v>
      </c>
      <c r="I17" t="s">
        <v>449</v>
      </c>
    </row>
    <row r="18" spans="1:9" x14ac:dyDescent="0.25">
      <c r="A18" t="s">
        <v>450</v>
      </c>
      <c r="B18" t="s">
        <v>436</v>
      </c>
      <c r="C18" t="s">
        <v>451</v>
      </c>
      <c r="D18" t="s">
        <v>452</v>
      </c>
      <c r="E18" t="s">
        <v>453</v>
      </c>
      <c r="F18" s="54">
        <v>0.75</v>
      </c>
      <c r="G18" s="4">
        <v>60</v>
      </c>
      <c r="H18" s="81">
        <v>72</v>
      </c>
      <c r="I18" t="s">
        <v>454</v>
      </c>
    </row>
    <row r="19" spans="1:9" x14ac:dyDescent="0.25">
      <c r="A19" t="s">
        <v>455</v>
      </c>
      <c r="B19" t="s">
        <v>436</v>
      </c>
      <c r="C19" t="s">
        <v>444</v>
      </c>
      <c r="D19" t="s">
        <v>438</v>
      </c>
      <c r="E19" t="s">
        <v>445</v>
      </c>
      <c r="F19" s="54"/>
      <c r="G19" s="4">
        <v>64</v>
      </c>
      <c r="H19" s="81">
        <v>72</v>
      </c>
      <c r="I19" t="s">
        <v>932</v>
      </c>
    </row>
    <row r="20" spans="1:9" x14ac:dyDescent="0.25">
      <c r="A20" t="s">
        <v>457</v>
      </c>
      <c r="B20" t="s">
        <v>436</v>
      </c>
      <c r="C20" t="s">
        <v>451</v>
      </c>
      <c r="D20" t="s">
        <v>438</v>
      </c>
      <c r="E20" t="s">
        <v>458</v>
      </c>
      <c r="F20" s="54">
        <v>0.74</v>
      </c>
      <c r="G20" s="4">
        <v>60</v>
      </c>
      <c r="H20" s="81">
        <v>72</v>
      </c>
      <c r="I20" t="s">
        <v>459</v>
      </c>
    </row>
    <row r="21" spans="1:9" x14ac:dyDescent="0.25">
      <c r="A21" t="s">
        <v>460</v>
      </c>
      <c r="B21" t="s">
        <v>436</v>
      </c>
      <c r="C21" t="s">
        <v>437</v>
      </c>
      <c r="D21" t="s">
        <v>438</v>
      </c>
      <c r="E21" t="s">
        <v>461</v>
      </c>
      <c r="F21" s="54">
        <v>0.75</v>
      </c>
      <c r="G21" s="4">
        <v>68</v>
      </c>
      <c r="H21" s="81">
        <v>72</v>
      </c>
      <c r="I21" t="s">
        <v>462</v>
      </c>
    </row>
    <row r="22" spans="1:9" x14ac:dyDescent="0.25">
      <c r="A22" t="s">
        <v>1001</v>
      </c>
      <c r="B22" t="s">
        <v>436</v>
      </c>
      <c r="C22" t="s">
        <v>437</v>
      </c>
      <c r="D22" t="s">
        <v>438</v>
      </c>
      <c r="E22" t="s">
        <v>438</v>
      </c>
      <c r="F22" s="54">
        <v>0.78500000000000003</v>
      </c>
      <c r="G22" s="4">
        <v>68</v>
      </c>
      <c r="H22" s="81">
        <v>72</v>
      </c>
      <c r="I22" t="s">
        <v>1002</v>
      </c>
    </row>
    <row r="23" spans="1:9" x14ac:dyDescent="0.25">
      <c r="A23" t="s">
        <v>965</v>
      </c>
      <c r="B23" t="s">
        <v>436</v>
      </c>
      <c r="C23" t="s">
        <v>444</v>
      </c>
      <c r="D23" t="s">
        <v>445</v>
      </c>
      <c r="E23" t="s">
        <v>438</v>
      </c>
      <c r="F23" s="54"/>
      <c r="G23" s="4">
        <v>68</v>
      </c>
      <c r="H23" s="81">
        <v>72</v>
      </c>
      <c r="I23" t="s">
        <v>966</v>
      </c>
    </row>
    <row r="24" spans="1:9" x14ac:dyDescent="0.25">
      <c r="A24" t="s">
        <v>967</v>
      </c>
      <c r="B24" t="s">
        <v>436</v>
      </c>
      <c r="C24" t="s">
        <v>451</v>
      </c>
      <c r="D24" t="s">
        <v>438</v>
      </c>
      <c r="E24" t="s">
        <v>439</v>
      </c>
      <c r="F24" s="54">
        <v>0.77500000000000002</v>
      </c>
      <c r="G24" s="4">
        <v>48</v>
      </c>
      <c r="H24" s="81">
        <v>58</v>
      </c>
      <c r="I24" t="s">
        <v>968</v>
      </c>
    </row>
    <row r="25" spans="1:9" x14ac:dyDescent="0.25">
      <c r="A25" t="s">
        <v>969</v>
      </c>
      <c r="B25" t="s">
        <v>436</v>
      </c>
      <c r="C25" t="s">
        <v>437</v>
      </c>
      <c r="D25" t="s">
        <v>438</v>
      </c>
      <c r="E25" t="s">
        <v>439</v>
      </c>
      <c r="F25" s="54">
        <v>0.77500000000000002</v>
      </c>
      <c r="G25" s="4">
        <v>50</v>
      </c>
      <c r="H25" s="81">
        <v>55</v>
      </c>
      <c r="I25" t="s">
        <v>970</v>
      </c>
    </row>
    <row r="26" spans="1:9" x14ac:dyDescent="0.25">
      <c r="A26" t="s">
        <v>933</v>
      </c>
      <c r="B26" t="s">
        <v>511</v>
      </c>
      <c r="C26" t="s">
        <v>934</v>
      </c>
      <c r="D26" t="s">
        <v>438</v>
      </c>
      <c r="E26" t="s">
        <v>438</v>
      </c>
      <c r="F26" s="54"/>
      <c r="G26" s="4">
        <v>59</v>
      </c>
      <c r="H26" s="81">
        <v>72</v>
      </c>
      <c r="I26" t="s">
        <v>456</v>
      </c>
    </row>
    <row r="27" spans="1:9" x14ac:dyDescent="0.25">
      <c r="A27" t="s">
        <v>463</v>
      </c>
      <c r="B27" t="s">
        <v>436</v>
      </c>
      <c r="C27" t="s">
        <v>451</v>
      </c>
      <c r="D27" t="s">
        <v>447</v>
      </c>
      <c r="E27" t="s">
        <v>464</v>
      </c>
      <c r="F27" s="54">
        <v>0.76</v>
      </c>
      <c r="G27" s="4">
        <v>58</v>
      </c>
      <c r="H27" s="81">
        <v>74</v>
      </c>
      <c r="I27" t="s">
        <v>465</v>
      </c>
    </row>
    <row r="28" spans="1:9" x14ac:dyDescent="0.25">
      <c r="A28" t="s">
        <v>1110</v>
      </c>
      <c r="B28" t="s">
        <v>436</v>
      </c>
      <c r="C28" t="s">
        <v>437</v>
      </c>
      <c r="D28" t="s">
        <v>438</v>
      </c>
      <c r="E28" t="s">
        <v>1111</v>
      </c>
      <c r="F28" s="54">
        <v>0.79</v>
      </c>
      <c r="G28" s="4">
        <v>75</v>
      </c>
      <c r="H28" s="81">
        <v>82</v>
      </c>
      <c r="I28" t="s">
        <v>1112</v>
      </c>
    </row>
    <row r="29" spans="1:9" x14ac:dyDescent="0.25">
      <c r="A29" t="s">
        <v>1003</v>
      </c>
      <c r="B29" t="s">
        <v>436</v>
      </c>
      <c r="C29" t="s">
        <v>437</v>
      </c>
      <c r="D29" t="s">
        <v>438</v>
      </c>
      <c r="E29" t="s">
        <v>438</v>
      </c>
      <c r="F29" s="54">
        <v>0.76500000000000001</v>
      </c>
      <c r="G29" s="4">
        <v>67</v>
      </c>
      <c r="H29" s="81">
        <v>70</v>
      </c>
      <c r="I29" t="s">
        <v>1004</v>
      </c>
    </row>
    <row r="30" spans="1:9" x14ac:dyDescent="0.25">
      <c r="A30" t="s">
        <v>466</v>
      </c>
      <c r="B30" t="s">
        <v>436</v>
      </c>
      <c r="C30" t="s">
        <v>437</v>
      </c>
      <c r="D30" t="s">
        <v>445</v>
      </c>
      <c r="E30" t="s">
        <v>448</v>
      </c>
      <c r="F30" s="54">
        <v>0.72499999999999998</v>
      </c>
      <c r="G30" s="4">
        <v>65</v>
      </c>
      <c r="H30" s="81">
        <v>70</v>
      </c>
      <c r="I30" t="s">
        <v>467</v>
      </c>
    </row>
    <row r="31" spans="1:9" x14ac:dyDescent="0.25">
      <c r="A31" s="20" t="s">
        <v>1712</v>
      </c>
      <c r="B31" s="20" t="s">
        <v>436</v>
      </c>
      <c r="C31" s="20" t="s">
        <v>1680</v>
      </c>
      <c r="D31" s="20" t="s">
        <v>452</v>
      </c>
      <c r="E31" s="20" t="s">
        <v>1704</v>
      </c>
      <c r="F31" s="114">
        <v>0.74</v>
      </c>
      <c r="G31" s="4">
        <v>62</v>
      </c>
      <c r="H31" s="81">
        <v>72</v>
      </c>
      <c r="I31" s="20" t="s">
        <v>1713</v>
      </c>
    </row>
    <row r="32" spans="1:9" x14ac:dyDescent="0.25">
      <c r="A32" s="20" t="s">
        <v>1714</v>
      </c>
      <c r="B32" s="20" t="s">
        <v>436</v>
      </c>
      <c r="C32" s="20" t="s">
        <v>1680</v>
      </c>
      <c r="D32" s="20" t="s">
        <v>441</v>
      </c>
      <c r="E32" s="20" t="s">
        <v>1704</v>
      </c>
      <c r="F32" s="114">
        <v>0.74</v>
      </c>
      <c r="G32" s="4">
        <v>65</v>
      </c>
      <c r="H32" s="81">
        <v>75</v>
      </c>
      <c r="I32" s="20" t="s">
        <v>1715</v>
      </c>
    </row>
    <row r="33" spans="1:9" x14ac:dyDescent="0.25">
      <c r="A33" s="20" t="s">
        <v>1716</v>
      </c>
      <c r="B33" s="20" t="s">
        <v>436</v>
      </c>
      <c r="C33" s="20" t="s">
        <v>1680</v>
      </c>
      <c r="D33" s="20" t="s">
        <v>438</v>
      </c>
      <c r="E33" s="20" t="s">
        <v>1267</v>
      </c>
      <c r="F33" s="114">
        <v>0.76</v>
      </c>
      <c r="G33" s="4">
        <v>65</v>
      </c>
      <c r="H33" s="81">
        <v>77</v>
      </c>
      <c r="I33" s="20" t="s">
        <v>1717</v>
      </c>
    </row>
    <row r="34" spans="1:9" x14ac:dyDescent="0.25">
      <c r="A34" s="20" t="s">
        <v>1718</v>
      </c>
      <c r="B34" s="20" t="s">
        <v>436</v>
      </c>
      <c r="C34" s="20" t="s">
        <v>1680</v>
      </c>
      <c r="D34" s="20" t="s">
        <v>438</v>
      </c>
      <c r="E34" s="20" t="s">
        <v>1719</v>
      </c>
      <c r="F34" s="114">
        <v>0.745</v>
      </c>
      <c r="G34" s="4">
        <v>65</v>
      </c>
      <c r="H34" s="81">
        <v>75</v>
      </c>
      <c r="I34" s="20" t="s">
        <v>1720</v>
      </c>
    </row>
    <row r="35" spans="1:9" x14ac:dyDescent="0.25">
      <c r="A35" s="20" t="s">
        <v>1721</v>
      </c>
      <c r="B35" s="20" t="s">
        <v>436</v>
      </c>
      <c r="C35" s="20" t="s">
        <v>1680</v>
      </c>
      <c r="D35" s="20" t="s">
        <v>438</v>
      </c>
      <c r="E35" s="20" t="s">
        <v>1704</v>
      </c>
      <c r="F35" s="114">
        <v>0.74</v>
      </c>
      <c r="G35" s="4">
        <v>68</v>
      </c>
      <c r="H35" s="81">
        <v>80</v>
      </c>
      <c r="I35" s="20" t="s">
        <v>1722</v>
      </c>
    </row>
    <row r="36" spans="1:9" x14ac:dyDescent="0.25">
      <c r="A36" s="20" t="s">
        <v>1723</v>
      </c>
      <c r="B36" s="20" t="s">
        <v>436</v>
      </c>
      <c r="C36" s="20" t="s">
        <v>1680</v>
      </c>
      <c r="D36" s="20" t="s">
        <v>438</v>
      </c>
      <c r="E36" s="20" t="s">
        <v>1267</v>
      </c>
      <c r="F36" s="114">
        <v>0.76</v>
      </c>
      <c r="G36" s="4">
        <v>68</v>
      </c>
      <c r="H36" s="81">
        <v>78</v>
      </c>
      <c r="I36" s="20" t="s">
        <v>1724</v>
      </c>
    </row>
    <row r="37" spans="1:9" x14ac:dyDescent="0.25">
      <c r="A37" s="20" t="s">
        <v>1725</v>
      </c>
      <c r="B37" s="20" t="s">
        <v>436</v>
      </c>
      <c r="C37" s="20" t="s">
        <v>1680</v>
      </c>
      <c r="D37" s="20" t="s">
        <v>447</v>
      </c>
      <c r="E37" s="20" t="s">
        <v>1269</v>
      </c>
      <c r="F37" s="114">
        <v>0.8</v>
      </c>
      <c r="G37" s="4">
        <v>65</v>
      </c>
      <c r="H37" s="81">
        <v>78</v>
      </c>
      <c r="I37" s="20" t="s">
        <v>1726</v>
      </c>
    </row>
    <row r="38" spans="1:9" x14ac:dyDescent="0.25">
      <c r="A38" t="s">
        <v>1150</v>
      </c>
      <c r="B38" t="s">
        <v>436</v>
      </c>
      <c r="C38" t="s">
        <v>949</v>
      </c>
      <c r="D38" t="s">
        <v>438</v>
      </c>
      <c r="E38" t="s">
        <v>438</v>
      </c>
      <c r="F38" s="54"/>
      <c r="G38" s="4">
        <v>75</v>
      </c>
      <c r="H38" s="81">
        <v>78</v>
      </c>
      <c r="I38" t="s">
        <v>1151</v>
      </c>
    </row>
    <row r="39" spans="1:9" x14ac:dyDescent="0.25">
      <c r="A39" t="s">
        <v>468</v>
      </c>
      <c r="B39" t="s">
        <v>436</v>
      </c>
      <c r="C39" t="s">
        <v>437</v>
      </c>
      <c r="D39" t="s">
        <v>438</v>
      </c>
      <c r="E39" t="s">
        <v>469</v>
      </c>
      <c r="F39" s="54">
        <v>0.77</v>
      </c>
      <c r="G39" s="4">
        <v>66</v>
      </c>
      <c r="H39" s="81">
        <v>72</v>
      </c>
      <c r="I39" t="s">
        <v>470</v>
      </c>
    </row>
    <row r="40" spans="1:9" x14ac:dyDescent="0.25">
      <c r="A40" t="s">
        <v>1078</v>
      </c>
      <c r="B40" t="s">
        <v>436</v>
      </c>
      <c r="C40" t="s">
        <v>451</v>
      </c>
      <c r="D40" t="s">
        <v>438</v>
      </c>
      <c r="E40" t="s">
        <v>453</v>
      </c>
      <c r="F40" s="54">
        <v>0.75</v>
      </c>
      <c r="G40" s="4">
        <v>46</v>
      </c>
      <c r="H40" s="81">
        <v>58</v>
      </c>
      <c r="I40" t="s">
        <v>1079</v>
      </c>
    </row>
    <row r="41" spans="1:9" x14ac:dyDescent="0.25">
      <c r="A41" t="s">
        <v>471</v>
      </c>
      <c r="B41" t="s">
        <v>436</v>
      </c>
      <c r="C41" t="s">
        <v>437</v>
      </c>
      <c r="D41" t="s">
        <v>447</v>
      </c>
      <c r="E41" t="s">
        <v>453</v>
      </c>
      <c r="F41" s="54">
        <v>0.75</v>
      </c>
      <c r="G41" s="4">
        <v>66</v>
      </c>
      <c r="H41" s="81">
        <v>70</v>
      </c>
      <c r="I41" t="s">
        <v>472</v>
      </c>
    </row>
    <row r="42" spans="1:9" x14ac:dyDescent="0.25">
      <c r="A42" t="s">
        <v>473</v>
      </c>
      <c r="B42" t="s">
        <v>436</v>
      </c>
      <c r="C42" t="s">
        <v>444</v>
      </c>
      <c r="D42" t="s">
        <v>445</v>
      </c>
      <c r="E42" t="s">
        <v>438</v>
      </c>
      <c r="F42" s="54"/>
      <c r="G42" s="4">
        <v>50</v>
      </c>
      <c r="H42" s="81">
        <v>57</v>
      </c>
      <c r="I42" t="s">
        <v>474</v>
      </c>
    </row>
    <row r="43" spans="1:9" x14ac:dyDescent="0.25">
      <c r="A43" t="s">
        <v>476</v>
      </c>
      <c r="B43" t="s">
        <v>436</v>
      </c>
      <c r="C43" t="s">
        <v>451</v>
      </c>
      <c r="D43" t="s">
        <v>447</v>
      </c>
      <c r="E43" t="s">
        <v>477</v>
      </c>
      <c r="F43" s="54">
        <v>0.73</v>
      </c>
      <c r="G43" s="4">
        <v>64</v>
      </c>
      <c r="H43" s="81">
        <v>75</v>
      </c>
      <c r="I43" t="s">
        <v>478</v>
      </c>
    </row>
    <row r="44" spans="1:9" x14ac:dyDescent="0.25">
      <c r="A44" t="s">
        <v>1161</v>
      </c>
      <c r="B44" t="s">
        <v>436</v>
      </c>
      <c r="C44" t="s">
        <v>451</v>
      </c>
      <c r="D44" t="s">
        <v>438</v>
      </c>
      <c r="E44" t="s">
        <v>453</v>
      </c>
      <c r="F44" s="54">
        <v>0.75</v>
      </c>
      <c r="G44" s="4">
        <v>64</v>
      </c>
      <c r="H44" s="81">
        <v>74</v>
      </c>
      <c r="I44" t="s">
        <v>475</v>
      </c>
    </row>
    <row r="45" spans="1:9" x14ac:dyDescent="0.25">
      <c r="A45" t="s">
        <v>1162</v>
      </c>
      <c r="B45" t="s">
        <v>511</v>
      </c>
      <c r="C45" t="s">
        <v>961</v>
      </c>
      <c r="D45" t="s">
        <v>447</v>
      </c>
      <c r="E45" t="s">
        <v>438</v>
      </c>
      <c r="F45" s="54"/>
      <c r="G45" s="4">
        <v>59</v>
      </c>
      <c r="H45" s="81">
        <v>86</v>
      </c>
      <c r="I45" t="s">
        <v>1163</v>
      </c>
    </row>
    <row r="46" spans="1:9" x14ac:dyDescent="0.25">
      <c r="A46" t="s">
        <v>479</v>
      </c>
      <c r="B46" t="s">
        <v>436</v>
      </c>
      <c r="C46" t="s">
        <v>437</v>
      </c>
      <c r="D46" t="s">
        <v>445</v>
      </c>
      <c r="E46" t="s">
        <v>461</v>
      </c>
      <c r="F46" s="54">
        <v>0.75</v>
      </c>
      <c r="G46" s="4">
        <v>65</v>
      </c>
      <c r="H46" s="81">
        <v>70</v>
      </c>
      <c r="I46" t="s">
        <v>480</v>
      </c>
    </row>
    <row r="47" spans="1:9" x14ac:dyDescent="0.25">
      <c r="A47" t="s">
        <v>1230</v>
      </c>
      <c r="B47" t="s">
        <v>436</v>
      </c>
      <c r="C47" t="s">
        <v>949</v>
      </c>
      <c r="D47" t="s">
        <v>438</v>
      </c>
      <c r="E47" t="s">
        <v>438</v>
      </c>
      <c r="F47" s="54">
        <v>0.75</v>
      </c>
      <c r="G47" s="4">
        <v>66</v>
      </c>
      <c r="H47" s="81">
        <v>72</v>
      </c>
      <c r="I47" t="s">
        <v>1238</v>
      </c>
    </row>
    <row r="48" spans="1:9" x14ac:dyDescent="0.25">
      <c r="A48" t="s">
        <v>1005</v>
      </c>
      <c r="B48" t="s">
        <v>436</v>
      </c>
      <c r="C48" t="s">
        <v>949</v>
      </c>
      <c r="D48" t="s">
        <v>438</v>
      </c>
      <c r="E48" t="s">
        <v>1229</v>
      </c>
      <c r="F48" s="54">
        <v>0.75</v>
      </c>
      <c r="G48" s="4">
        <v>66</v>
      </c>
      <c r="H48" s="81">
        <v>72</v>
      </c>
      <c r="I48" t="s">
        <v>1235</v>
      </c>
    </row>
    <row r="49" spans="1:9" x14ac:dyDescent="0.25">
      <c r="A49" t="s">
        <v>1075</v>
      </c>
      <c r="B49" t="s">
        <v>436</v>
      </c>
      <c r="C49" t="s">
        <v>451</v>
      </c>
      <c r="D49" t="s">
        <v>452</v>
      </c>
      <c r="E49" t="s">
        <v>464</v>
      </c>
      <c r="F49" s="54">
        <v>0.76</v>
      </c>
      <c r="G49" s="4">
        <v>68</v>
      </c>
      <c r="H49" s="81">
        <v>78</v>
      </c>
      <c r="I49" t="s">
        <v>483</v>
      </c>
    </row>
    <row r="50" spans="1:9" x14ac:dyDescent="0.25">
      <c r="A50" t="s">
        <v>481</v>
      </c>
      <c r="B50" t="s">
        <v>436</v>
      </c>
      <c r="C50" t="s">
        <v>451</v>
      </c>
      <c r="D50" t="s">
        <v>438</v>
      </c>
      <c r="E50" t="s">
        <v>453</v>
      </c>
      <c r="F50" s="54">
        <v>0.75</v>
      </c>
      <c r="G50" s="4">
        <v>65</v>
      </c>
      <c r="H50" s="81">
        <v>75</v>
      </c>
      <c r="I50" t="s">
        <v>482</v>
      </c>
    </row>
    <row r="51" spans="1:9" x14ac:dyDescent="0.25">
      <c r="A51" t="s">
        <v>484</v>
      </c>
      <c r="B51" t="s">
        <v>436</v>
      </c>
      <c r="C51" t="s">
        <v>437</v>
      </c>
      <c r="D51" t="s">
        <v>438</v>
      </c>
      <c r="E51" t="s">
        <v>485</v>
      </c>
      <c r="F51" s="54">
        <v>0.81499999999999995</v>
      </c>
      <c r="G51" s="4">
        <v>68</v>
      </c>
      <c r="H51" s="81">
        <v>78</v>
      </c>
      <c r="I51" t="s">
        <v>486</v>
      </c>
    </row>
    <row r="52" spans="1:9" x14ac:dyDescent="0.25">
      <c r="A52" t="s">
        <v>1006</v>
      </c>
      <c r="B52" t="s">
        <v>511</v>
      </c>
      <c r="C52" t="s">
        <v>961</v>
      </c>
      <c r="D52" t="s">
        <v>438</v>
      </c>
      <c r="E52" t="s">
        <v>445</v>
      </c>
      <c r="F52" s="54"/>
      <c r="G52" s="4">
        <v>79</v>
      </c>
      <c r="H52" s="81">
        <v>90</v>
      </c>
      <c r="I52" t="s">
        <v>1007</v>
      </c>
    </row>
    <row r="53" spans="1:9" x14ac:dyDescent="0.25">
      <c r="A53" t="s">
        <v>487</v>
      </c>
      <c r="B53" t="s">
        <v>436</v>
      </c>
      <c r="C53" t="s">
        <v>451</v>
      </c>
      <c r="D53" t="s">
        <v>445</v>
      </c>
      <c r="E53" t="s">
        <v>458</v>
      </c>
      <c r="F53" s="54">
        <v>0.74</v>
      </c>
      <c r="G53" s="4">
        <v>65</v>
      </c>
      <c r="H53" s="81">
        <v>85</v>
      </c>
      <c r="I53" t="s">
        <v>488</v>
      </c>
    </row>
    <row r="54" spans="1:9" x14ac:dyDescent="0.25">
      <c r="A54" t="s">
        <v>1008</v>
      </c>
      <c r="B54" t="s">
        <v>436</v>
      </c>
      <c r="C54" t="s">
        <v>451</v>
      </c>
      <c r="D54" t="s">
        <v>438</v>
      </c>
      <c r="E54" t="s">
        <v>1246</v>
      </c>
      <c r="F54" s="54">
        <v>0.76500000000000001</v>
      </c>
      <c r="G54" s="4">
        <v>65</v>
      </c>
      <c r="H54" s="81">
        <v>80</v>
      </c>
      <c r="I54" t="s">
        <v>1247</v>
      </c>
    </row>
    <row r="55" spans="1:9" x14ac:dyDescent="0.25">
      <c r="A55" t="s">
        <v>489</v>
      </c>
      <c r="B55" t="s">
        <v>436</v>
      </c>
      <c r="C55" t="s">
        <v>437</v>
      </c>
      <c r="D55" t="s">
        <v>447</v>
      </c>
      <c r="E55" t="s">
        <v>490</v>
      </c>
      <c r="F55" s="54">
        <v>0.755</v>
      </c>
      <c r="G55" s="4">
        <v>68</v>
      </c>
      <c r="H55" s="81">
        <v>75</v>
      </c>
      <c r="I55" t="s">
        <v>491</v>
      </c>
    </row>
    <row r="56" spans="1:9" x14ac:dyDescent="0.25">
      <c r="A56" t="s">
        <v>971</v>
      </c>
      <c r="B56" t="s">
        <v>436</v>
      </c>
      <c r="C56" t="s">
        <v>437</v>
      </c>
      <c r="D56" t="s">
        <v>438</v>
      </c>
      <c r="E56" t="s">
        <v>438</v>
      </c>
      <c r="F56" s="54">
        <v>0.75</v>
      </c>
      <c r="G56" s="4">
        <v>50</v>
      </c>
      <c r="H56" s="81">
        <v>55</v>
      </c>
      <c r="I56" t="s">
        <v>972</v>
      </c>
    </row>
    <row r="57" spans="1:9" x14ac:dyDescent="0.25">
      <c r="A57" t="s">
        <v>1034</v>
      </c>
      <c r="B57" t="s">
        <v>436</v>
      </c>
      <c r="C57" t="s">
        <v>451</v>
      </c>
      <c r="D57" t="s">
        <v>452</v>
      </c>
      <c r="E57" t="s">
        <v>496</v>
      </c>
      <c r="F57" s="54">
        <v>0.7</v>
      </c>
      <c r="G57" s="4">
        <v>63</v>
      </c>
      <c r="H57" s="81">
        <v>75</v>
      </c>
      <c r="I57" t="s">
        <v>1035</v>
      </c>
    </row>
    <row r="58" spans="1:9" x14ac:dyDescent="0.25">
      <c r="A58" t="s">
        <v>492</v>
      </c>
      <c r="B58" t="s">
        <v>436</v>
      </c>
      <c r="C58" t="s">
        <v>451</v>
      </c>
      <c r="D58" t="s">
        <v>447</v>
      </c>
      <c r="E58" t="s">
        <v>493</v>
      </c>
      <c r="F58" s="54">
        <v>0.78</v>
      </c>
      <c r="G58" s="4">
        <v>70</v>
      </c>
      <c r="H58" s="81">
        <v>95</v>
      </c>
      <c r="I58" t="s">
        <v>494</v>
      </c>
    </row>
    <row r="59" spans="1:9" x14ac:dyDescent="0.25">
      <c r="A59" t="s">
        <v>495</v>
      </c>
      <c r="B59" t="s">
        <v>436</v>
      </c>
      <c r="C59" t="s">
        <v>437</v>
      </c>
      <c r="D59" t="s">
        <v>438</v>
      </c>
      <c r="E59" t="s">
        <v>496</v>
      </c>
      <c r="F59" s="54">
        <v>0.7</v>
      </c>
      <c r="G59" s="4">
        <v>68</v>
      </c>
      <c r="H59" s="81">
        <v>75</v>
      </c>
      <c r="I59" t="s">
        <v>497</v>
      </c>
    </row>
    <row r="60" spans="1:9" x14ac:dyDescent="0.25">
      <c r="A60" t="s">
        <v>1009</v>
      </c>
      <c r="B60" t="s">
        <v>436</v>
      </c>
      <c r="C60" t="s">
        <v>437</v>
      </c>
      <c r="D60" t="s">
        <v>438</v>
      </c>
      <c r="E60" t="s">
        <v>445</v>
      </c>
      <c r="F60" s="54">
        <v>0.81499999999999995</v>
      </c>
      <c r="G60" s="4">
        <v>68</v>
      </c>
      <c r="H60" s="81">
        <v>78</v>
      </c>
      <c r="I60" t="s">
        <v>1010</v>
      </c>
    </row>
    <row r="61" spans="1:9" x14ac:dyDescent="0.25">
      <c r="A61" t="s">
        <v>1011</v>
      </c>
      <c r="B61" t="s">
        <v>436</v>
      </c>
      <c r="C61" t="s">
        <v>437</v>
      </c>
      <c r="D61" t="s">
        <v>452</v>
      </c>
      <c r="E61" t="s">
        <v>438</v>
      </c>
      <c r="F61" s="54"/>
      <c r="G61" s="4">
        <v>68</v>
      </c>
      <c r="H61" s="81">
        <v>75</v>
      </c>
      <c r="I61" t="s">
        <v>1012</v>
      </c>
    </row>
    <row r="62" spans="1:9" x14ac:dyDescent="0.25">
      <c r="A62" t="s">
        <v>1013</v>
      </c>
      <c r="B62" t="s">
        <v>436</v>
      </c>
      <c r="C62" t="s">
        <v>451</v>
      </c>
      <c r="D62" t="s">
        <v>438</v>
      </c>
      <c r="E62" s="54" t="s">
        <v>453</v>
      </c>
      <c r="F62" s="54">
        <v>0.75</v>
      </c>
      <c r="G62" s="4">
        <v>62</v>
      </c>
      <c r="H62" s="81">
        <v>74</v>
      </c>
      <c r="I62" t="s">
        <v>1248</v>
      </c>
    </row>
    <row r="63" spans="1:9" x14ac:dyDescent="0.25">
      <c r="A63" t="s">
        <v>1036</v>
      </c>
      <c r="B63" t="s">
        <v>436</v>
      </c>
      <c r="C63" t="s">
        <v>437</v>
      </c>
      <c r="D63" t="s">
        <v>452</v>
      </c>
      <c r="E63" t="s">
        <v>532</v>
      </c>
      <c r="F63" s="54">
        <v>0.75</v>
      </c>
      <c r="G63" s="4">
        <v>80</v>
      </c>
      <c r="H63" s="81">
        <v>85</v>
      </c>
      <c r="I63" t="s">
        <v>1037</v>
      </c>
    </row>
    <row r="64" spans="1:9" x14ac:dyDescent="0.25">
      <c r="A64" t="s">
        <v>1014</v>
      </c>
      <c r="B64" t="s">
        <v>436</v>
      </c>
      <c r="C64" t="s">
        <v>451</v>
      </c>
      <c r="D64" t="s">
        <v>438</v>
      </c>
      <c r="E64" t="s">
        <v>1249</v>
      </c>
      <c r="F64" s="54">
        <v>0.77500000000000002</v>
      </c>
      <c r="G64" s="4">
        <v>65</v>
      </c>
      <c r="H64" s="81">
        <v>75</v>
      </c>
      <c r="I64" t="s">
        <v>1250</v>
      </c>
    </row>
    <row r="65" spans="1:9" x14ac:dyDescent="0.25">
      <c r="A65" t="s">
        <v>498</v>
      </c>
      <c r="B65" t="s">
        <v>436</v>
      </c>
      <c r="C65" t="s">
        <v>451</v>
      </c>
      <c r="D65" t="s">
        <v>447</v>
      </c>
      <c r="E65" t="s">
        <v>464</v>
      </c>
      <c r="F65" s="54">
        <v>0.76</v>
      </c>
      <c r="G65" s="4">
        <v>64</v>
      </c>
      <c r="H65" s="81">
        <v>80</v>
      </c>
      <c r="I65" t="s">
        <v>499</v>
      </c>
    </row>
    <row r="66" spans="1:9" x14ac:dyDescent="0.25">
      <c r="A66" t="s">
        <v>1076</v>
      </c>
      <c r="B66" t="s">
        <v>436</v>
      </c>
      <c r="C66" t="s">
        <v>437</v>
      </c>
      <c r="D66" t="s">
        <v>438</v>
      </c>
      <c r="E66" t="s">
        <v>445</v>
      </c>
      <c r="F66" s="54">
        <v>0.81499999999999995</v>
      </c>
      <c r="G66" s="4">
        <v>66</v>
      </c>
      <c r="H66" s="81">
        <v>72</v>
      </c>
      <c r="I66" t="s">
        <v>1077</v>
      </c>
    </row>
    <row r="67" spans="1:9" x14ac:dyDescent="0.25">
      <c r="A67" t="s">
        <v>500</v>
      </c>
      <c r="B67" t="s">
        <v>436</v>
      </c>
      <c r="C67" t="s">
        <v>437</v>
      </c>
      <c r="D67" t="s">
        <v>438</v>
      </c>
      <c r="E67" t="s">
        <v>469</v>
      </c>
      <c r="F67" s="54">
        <v>0.77</v>
      </c>
      <c r="G67" s="4">
        <v>68</v>
      </c>
      <c r="H67" s="81">
        <v>75</v>
      </c>
      <c r="I67" t="s">
        <v>501</v>
      </c>
    </row>
    <row r="68" spans="1:9" x14ac:dyDescent="0.25">
      <c r="A68" t="s">
        <v>1015</v>
      </c>
      <c r="B68" t="s">
        <v>436</v>
      </c>
      <c r="C68" t="s">
        <v>437</v>
      </c>
      <c r="D68" t="s">
        <v>438</v>
      </c>
      <c r="E68" t="s">
        <v>532</v>
      </c>
      <c r="F68" s="54">
        <v>0.75</v>
      </c>
      <c r="G68" s="4">
        <v>70</v>
      </c>
      <c r="H68" s="81">
        <v>80</v>
      </c>
      <c r="I68" t="s">
        <v>1016</v>
      </c>
    </row>
    <row r="69" spans="1:9" x14ac:dyDescent="0.25">
      <c r="A69" t="s">
        <v>502</v>
      </c>
      <c r="B69" t="s">
        <v>436</v>
      </c>
      <c r="C69" t="s">
        <v>451</v>
      </c>
      <c r="D69" t="s">
        <v>438</v>
      </c>
      <c r="E69" t="s">
        <v>458</v>
      </c>
      <c r="F69" s="54">
        <v>0.74</v>
      </c>
      <c r="G69" s="4">
        <v>64</v>
      </c>
      <c r="H69" s="81">
        <v>74</v>
      </c>
      <c r="I69" t="s">
        <v>503</v>
      </c>
    </row>
    <row r="70" spans="1:9" x14ac:dyDescent="0.25">
      <c r="A70" t="s">
        <v>1017</v>
      </c>
      <c r="B70" t="s">
        <v>436</v>
      </c>
      <c r="C70" t="s">
        <v>949</v>
      </c>
      <c r="D70" t="s">
        <v>447</v>
      </c>
      <c r="E70" t="s">
        <v>438</v>
      </c>
      <c r="F70" s="54">
        <v>0.76</v>
      </c>
      <c r="G70" s="4">
        <v>72</v>
      </c>
      <c r="H70" s="81">
        <v>75</v>
      </c>
      <c r="I70" t="s">
        <v>1237</v>
      </c>
    </row>
    <row r="71" spans="1:9" x14ac:dyDescent="0.25">
      <c r="A71" t="s">
        <v>504</v>
      </c>
      <c r="B71" t="s">
        <v>436</v>
      </c>
      <c r="C71" t="s">
        <v>437</v>
      </c>
      <c r="D71" t="s">
        <v>452</v>
      </c>
      <c r="E71" t="s">
        <v>464</v>
      </c>
      <c r="F71" s="54">
        <v>0.76</v>
      </c>
      <c r="G71" s="4">
        <v>67</v>
      </c>
      <c r="H71" s="81">
        <v>74</v>
      </c>
      <c r="I71" t="s">
        <v>505</v>
      </c>
    </row>
    <row r="72" spans="1:9" x14ac:dyDescent="0.25">
      <c r="A72" t="s">
        <v>506</v>
      </c>
      <c r="B72" t="s">
        <v>436</v>
      </c>
      <c r="C72" t="s">
        <v>437</v>
      </c>
      <c r="D72" t="s">
        <v>452</v>
      </c>
      <c r="E72" t="s">
        <v>448</v>
      </c>
      <c r="F72" s="54">
        <v>0.72499999999999998</v>
      </c>
      <c r="G72" s="4">
        <v>67</v>
      </c>
      <c r="H72" s="81">
        <v>74</v>
      </c>
      <c r="I72" t="s">
        <v>507</v>
      </c>
    </row>
    <row r="73" spans="1:9" x14ac:dyDescent="0.25">
      <c r="A73" t="s">
        <v>508</v>
      </c>
      <c r="B73" t="s">
        <v>436</v>
      </c>
      <c r="C73" t="s">
        <v>451</v>
      </c>
      <c r="D73" t="s">
        <v>438</v>
      </c>
      <c r="E73" t="s">
        <v>458</v>
      </c>
      <c r="F73" s="54">
        <v>0.74</v>
      </c>
      <c r="G73" s="4">
        <v>60</v>
      </c>
      <c r="H73" s="81">
        <v>75</v>
      </c>
      <c r="I73" t="s">
        <v>509</v>
      </c>
    </row>
    <row r="74" spans="1:9" x14ac:dyDescent="0.25">
      <c r="A74" t="s">
        <v>1018</v>
      </c>
      <c r="B74" t="s">
        <v>511</v>
      </c>
      <c r="C74" t="s">
        <v>934</v>
      </c>
      <c r="D74" t="s">
        <v>447</v>
      </c>
      <c r="E74" t="s">
        <v>445</v>
      </c>
      <c r="F74" s="54"/>
      <c r="G74" s="4">
        <v>59</v>
      </c>
      <c r="H74" s="81">
        <v>95</v>
      </c>
      <c r="I74" t="s">
        <v>1019</v>
      </c>
    </row>
    <row r="75" spans="1:9" x14ac:dyDescent="0.25">
      <c r="A75" t="s">
        <v>1038</v>
      </c>
      <c r="B75" t="s">
        <v>436</v>
      </c>
      <c r="C75" t="s">
        <v>949</v>
      </c>
      <c r="E75" t="s">
        <v>149</v>
      </c>
      <c r="F75" s="54"/>
      <c r="G75" s="4">
        <v>70</v>
      </c>
      <c r="H75" s="81">
        <v>74</v>
      </c>
      <c r="I75" t="s">
        <v>1039</v>
      </c>
    </row>
    <row r="76" spans="1:9" x14ac:dyDescent="0.25">
      <c r="A76" t="s">
        <v>1251</v>
      </c>
      <c r="B76" t="s">
        <v>436</v>
      </c>
      <c r="C76" t="s">
        <v>451</v>
      </c>
      <c r="D76" t="s">
        <v>447</v>
      </c>
      <c r="E76" t="s">
        <v>1252</v>
      </c>
      <c r="F76" s="54">
        <v>0.75</v>
      </c>
      <c r="G76" s="4">
        <v>68</v>
      </c>
      <c r="H76" s="81">
        <v>72</v>
      </c>
      <c r="I76" t="s">
        <v>1253</v>
      </c>
    </row>
    <row r="77" spans="1:9" x14ac:dyDescent="0.25">
      <c r="A77" t="s">
        <v>1040</v>
      </c>
      <c r="B77" t="s">
        <v>436</v>
      </c>
      <c r="C77" t="s">
        <v>437</v>
      </c>
      <c r="D77" t="s">
        <v>438</v>
      </c>
      <c r="E77" t="s">
        <v>1041</v>
      </c>
      <c r="F77" s="54">
        <v>0.71499999999999997</v>
      </c>
      <c r="G77" s="4">
        <v>68</v>
      </c>
      <c r="H77" s="81">
        <v>72</v>
      </c>
      <c r="I77" t="s">
        <v>1042</v>
      </c>
    </row>
    <row r="78" spans="1:9" x14ac:dyDescent="0.25">
      <c r="A78" t="s">
        <v>1254</v>
      </c>
      <c r="B78" t="s">
        <v>436</v>
      </c>
      <c r="C78" t="s">
        <v>451</v>
      </c>
      <c r="D78" t="s">
        <v>447</v>
      </c>
      <c r="E78" t="s">
        <v>1246</v>
      </c>
      <c r="F78" s="54">
        <v>0.76500000000000001</v>
      </c>
      <c r="G78" s="4">
        <v>70</v>
      </c>
      <c r="H78" s="81">
        <v>84</v>
      </c>
      <c r="I78" t="s">
        <v>1255</v>
      </c>
    </row>
    <row r="79" spans="1:9" x14ac:dyDescent="0.25">
      <c r="A79" t="s">
        <v>1080</v>
      </c>
      <c r="B79" t="s">
        <v>436</v>
      </c>
      <c r="C79" t="s">
        <v>451</v>
      </c>
      <c r="D79" t="s">
        <v>438</v>
      </c>
      <c r="E79" t="s">
        <v>453</v>
      </c>
      <c r="F79" s="54">
        <v>0.75</v>
      </c>
      <c r="G79" s="4">
        <v>45</v>
      </c>
      <c r="H79" s="81">
        <v>68</v>
      </c>
      <c r="I79" t="s">
        <v>1081</v>
      </c>
    </row>
    <row r="80" spans="1:9" x14ac:dyDescent="0.25">
      <c r="A80" t="s">
        <v>1130</v>
      </c>
      <c r="B80" t="s">
        <v>511</v>
      </c>
      <c r="C80" t="s">
        <v>961</v>
      </c>
      <c r="D80" t="s">
        <v>445</v>
      </c>
      <c r="E80" t="s">
        <v>445</v>
      </c>
      <c r="F80" s="54"/>
      <c r="G80" s="4">
        <v>50</v>
      </c>
      <c r="H80" s="81">
        <v>59</v>
      </c>
      <c r="I80" t="s">
        <v>1131</v>
      </c>
    </row>
    <row r="81" spans="1:9" x14ac:dyDescent="0.25">
      <c r="A81" t="s">
        <v>990</v>
      </c>
      <c r="B81" t="s">
        <v>436</v>
      </c>
      <c r="C81" t="s">
        <v>437</v>
      </c>
      <c r="D81" t="s">
        <v>438</v>
      </c>
      <c r="E81" t="s">
        <v>439</v>
      </c>
      <c r="F81" s="54">
        <v>0.77500000000000002</v>
      </c>
      <c r="G81" s="4">
        <v>72</v>
      </c>
      <c r="H81" s="81">
        <v>77</v>
      </c>
      <c r="I81" t="s">
        <v>991</v>
      </c>
    </row>
    <row r="82" spans="1:9" x14ac:dyDescent="0.25">
      <c r="A82" t="s">
        <v>1043</v>
      </c>
      <c r="B82" t="s">
        <v>436</v>
      </c>
      <c r="C82" t="s">
        <v>949</v>
      </c>
      <c r="E82" t="s">
        <v>149</v>
      </c>
      <c r="F82" s="54"/>
      <c r="G82" s="4" t="s">
        <v>149</v>
      </c>
      <c r="H82" s="81"/>
      <c r="I82" t="s">
        <v>1044</v>
      </c>
    </row>
    <row r="83" spans="1:9" x14ac:dyDescent="0.25">
      <c r="A83" t="s">
        <v>1045</v>
      </c>
      <c r="B83" t="s">
        <v>436</v>
      </c>
      <c r="C83" t="s">
        <v>949</v>
      </c>
      <c r="E83" t="s">
        <v>149</v>
      </c>
      <c r="F83" s="54"/>
      <c r="G83" s="4" t="s">
        <v>149</v>
      </c>
      <c r="H83" s="81"/>
      <c r="I83" t="s">
        <v>1046</v>
      </c>
    </row>
    <row r="84" spans="1:9" x14ac:dyDescent="0.25">
      <c r="A84" t="s">
        <v>1047</v>
      </c>
      <c r="B84" t="s">
        <v>436</v>
      </c>
      <c r="C84" t="s">
        <v>949</v>
      </c>
      <c r="E84" t="s">
        <v>149</v>
      </c>
      <c r="F84" s="54"/>
      <c r="G84" s="4">
        <v>60</v>
      </c>
      <c r="H84" s="81">
        <v>74</v>
      </c>
      <c r="I84" t="s">
        <v>1048</v>
      </c>
    </row>
    <row r="85" spans="1:9" x14ac:dyDescent="0.25">
      <c r="A85" t="s">
        <v>1049</v>
      </c>
      <c r="B85" t="s">
        <v>436</v>
      </c>
      <c r="C85" t="s">
        <v>949</v>
      </c>
      <c r="E85" t="s">
        <v>149</v>
      </c>
      <c r="F85" s="54"/>
      <c r="G85" s="4" t="s">
        <v>149</v>
      </c>
      <c r="H85" s="81"/>
      <c r="I85" t="s">
        <v>1050</v>
      </c>
    </row>
    <row r="86" spans="1:9" x14ac:dyDescent="0.25">
      <c r="A86" t="s">
        <v>1051</v>
      </c>
      <c r="B86" t="s">
        <v>436</v>
      </c>
      <c r="C86" t="s">
        <v>451</v>
      </c>
      <c r="D86" t="s">
        <v>438</v>
      </c>
      <c r="E86" t="s">
        <v>445</v>
      </c>
      <c r="F86" s="54"/>
      <c r="G86" s="4">
        <v>60</v>
      </c>
      <c r="H86" s="81">
        <v>75</v>
      </c>
      <c r="I86" t="s">
        <v>1052</v>
      </c>
    </row>
    <row r="87" spans="1:9" x14ac:dyDescent="0.25">
      <c r="A87" t="s">
        <v>1053</v>
      </c>
      <c r="B87" t="s">
        <v>436</v>
      </c>
      <c r="C87" t="s">
        <v>451</v>
      </c>
      <c r="D87" t="s">
        <v>438</v>
      </c>
      <c r="E87" t="s">
        <v>445</v>
      </c>
      <c r="F87" s="54"/>
      <c r="G87" s="4">
        <v>60</v>
      </c>
      <c r="H87" s="81">
        <v>75</v>
      </c>
      <c r="I87" t="s">
        <v>1054</v>
      </c>
    </row>
    <row r="88" spans="1:9" x14ac:dyDescent="0.25">
      <c r="A88" t="s">
        <v>1055</v>
      </c>
      <c r="B88" t="s">
        <v>436</v>
      </c>
      <c r="C88" t="s">
        <v>437</v>
      </c>
      <c r="D88" t="s">
        <v>447</v>
      </c>
      <c r="E88" s="44">
        <v>0.85</v>
      </c>
      <c r="F88" s="54">
        <v>0.85</v>
      </c>
      <c r="G88" s="4">
        <v>70</v>
      </c>
      <c r="H88" s="81">
        <v>85</v>
      </c>
      <c r="I88" t="s">
        <v>1020</v>
      </c>
    </row>
    <row r="89" spans="1:9" x14ac:dyDescent="0.25">
      <c r="A89" t="s">
        <v>1056</v>
      </c>
      <c r="B89" t="s">
        <v>436</v>
      </c>
      <c r="C89" t="s">
        <v>437</v>
      </c>
      <c r="D89" t="s">
        <v>447</v>
      </c>
      <c r="E89" t="s">
        <v>1057</v>
      </c>
      <c r="F89" s="54">
        <v>0.77500000000000002</v>
      </c>
      <c r="G89" s="4">
        <v>85</v>
      </c>
      <c r="H89" s="81">
        <v>85</v>
      </c>
      <c r="I89" t="s">
        <v>1058</v>
      </c>
    </row>
    <row r="90" spans="1:9" x14ac:dyDescent="0.25">
      <c r="A90" t="s">
        <v>1059</v>
      </c>
      <c r="B90" t="s">
        <v>436</v>
      </c>
      <c r="C90" t="s">
        <v>437</v>
      </c>
      <c r="D90" t="s">
        <v>447</v>
      </c>
      <c r="E90" t="s">
        <v>1057</v>
      </c>
      <c r="F90" s="54">
        <v>0.77500000000000002</v>
      </c>
      <c r="G90" s="4">
        <v>85</v>
      </c>
      <c r="H90" s="81">
        <v>85</v>
      </c>
      <c r="I90" t="s">
        <v>1060</v>
      </c>
    </row>
    <row r="91" spans="1:9" x14ac:dyDescent="0.25">
      <c r="A91" t="s">
        <v>1061</v>
      </c>
      <c r="B91" t="s">
        <v>436</v>
      </c>
      <c r="C91" t="s">
        <v>437</v>
      </c>
      <c r="D91" t="s">
        <v>447</v>
      </c>
      <c r="E91" t="s">
        <v>1057</v>
      </c>
      <c r="F91" s="54">
        <v>0.77500000000000002</v>
      </c>
      <c r="G91" s="4">
        <v>85</v>
      </c>
      <c r="H91" s="81">
        <v>85</v>
      </c>
      <c r="I91" t="s">
        <v>1062</v>
      </c>
    </row>
    <row r="92" spans="1:9" x14ac:dyDescent="0.25">
      <c r="A92" t="s">
        <v>510</v>
      </c>
      <c r="B92" t="s">
        <v>511</v>
      </c>
      <c r="C92" t="s">
        <v>512</v>
      </c>
      <c r="D92" t="s">
        <v>447</v>
      </c>
      <c r="E92" t="s">
        <v>445</v>
      </c>
      <c r="F92" s="54"/>
      <c r="G92" s="4">
        <v>64</v>
      </c>
      <c r="H92" s="81">
        <v>73</v>
      </c>
      <c r="I92" t="s">
        <v>513</v>
      </c>
    </row>
    <row r="93" spans="1:9" x14ac:dyDescent="0.25">
      <c r="A93" t="s">
        <v>514</v>
      </c>
      <c r="B93" t="s">
        <v>511</v>
      </c>
      <c r="C93" t="s">
        <v>512</v>
      </c>
      <c r="D93" t="s">
        <v>445</v>
      </c>
      <c r="E93" t="s">
        <v>445</v>
      </c>
      <c r="F93" s="54"/>
      <c r="G93" s="4">
        <v>50</v>
      </c>
      <c r="H93" s="81">
        <v>59</v>
      </c>
      <c r="I93" t="s">
        <v>515</v>
      </c>
    </row>
    <row r="94" spans="1:9" x14ac:dyDescent="0.25">
      <c r="A94" t="s">
        <v>935</v>
      </c>
      <c r="B94" t="s">
        <v>511</v>
      </c>
      <c r="C94" t="s">
        <v>512</v>
      </c>
      <c r="D94" t="s">
        <v>441</v>
      </c>
      <c r="E94" t="s">
        <v>149</v>
      </c>
      <c r="F94" s="54"/>
      <c r="G94" s="4">
        <v>64</v>
      </c>
      <c r="H94" s="81">
        <v>77</v>
      </c>
      <c r="I94" t="s">
        <v>936</v>
      </c>
    </row>
    <row r="95" spans="1:9" x14ac:dyDescent="0.25">
      <c r="A95" t="s">
        <v>516</v>
      </c>
      <c r="B95" t="s">
        <v>436</v>
      </c>
      <c r="C95" t="s">
        <v>451</v>
      </c>
      <c r="D95" t="s">
        <v>438</v>
      </c>
      <c r="E95" t="s">
        <v>517</v>
      </c>
      <c r="F95" s="54">
        <v>0.74</v>
      </c>
      <c r="G95" s="4">
        <v>64</v>
      </c>
      <c r="H95" s="81">
        <v>72</v>
      </c>
      <c r="I95" t="s">
        <v>518</v>
      </c>
    </row>
    <row r="96" spans="1:9" x14ac:dyDescent="0.25">
      <c r="A96" t="s">
        <v>519</v>
      </c>
      <c r="B96" t="s">
        <v>436</v>
      </c>
      <c r="C96" t="s">
        <v>451</v>
      </c>
      <c r="D96" t="s">
        <v>445</v>
      </c>
      <c r="E96" t="s">
        <v>517</v>
      </c>
      <c r="F96" s="54">
        <v>0.74</v>
      </c>
      <c r="G96" s="4">
        <v>63</v>
      </c>
      <c r="H96" s="81">
        <v>75</v>
      </c>
      <c r="I96" t="s">
        <v>520</v>
      </c>
    </row>
    <row r="97" spans="1:9" x14ac:dyDescent="0.25">
      <c r="A97" t="s">
        <v>521</v>
      </c>
      <c r="B97" t="s">
        <v>436</v>
      </c>
      <c r="C97" t="s">
        <v>437</v>
      </c>
      <c r="D97" t="s">
        <v>445</v>
      </c>
      <c r="E97" t="s">
        <v>439</v>
      </c>
      <c r="F97" s="54">
        <v>0.77500000000000002</v>
      </c>
      <c r="G97" s="4">
        <v>68</v>
      </c>
      <c r="H97" s="81">
        <v>75</v>
      </c>
      <c r="I97" t="s">
        <v>522</v>
      </c>
    </row>
    <row r="98" spans="1:9" x14ac:dyDescent="0.25">
      <c r="A98" t="s">
        <v>1113</v>
      </c>
      <c r="B98" t="s">
        <v>511</v>
      </c>
      <c r="C98" t="s">
        <v>961</v>
      </c>
      <c r="D98" t="s">
        <v>445</v>
      </c>
      <c r="E98" t="s">
        <v>445</v>
      </c>
      <c r="F98" s="54"/>
      <c r="G98" s="4">
        <v>57</v>
      </c>
      <c r="H98" s="81">
        <v>72</v>
      </c>
      <c r="I98" t="s">
        <v>1114</v>
      </c>
    </row>
    <row r="99" spans="1:9" x14ac:dyDescent="0.25">
      <c r="A99" t="s">
        <v>1098</v>
      </c>
      <c r="B99" t="s">
        <v>436</v>
      </c>
      <c r="C99" t="s">
        <v>451</v>
      </c>
      <c r="D99" t="s">
        <v>441</v>
      </c>
      <c r="E99" t="s">
        <v>1256</v>
      </c>
      <c r="F99" s="54">
        <v>0.755</v>
      </c>
      <c r="G99" s="4">
        <v>63</v>
      </c>
      <c r="H99" s="81">
        <v>72</v>
      </c>
      <c r="I99" t="s">
        <v>1257</v>
      </c>
    </row>
    <row r="100" spans="1:9" x14ac:dyDescent="0.25">
      <c r="A100" t="s">
        <v>1099</v>
      </c>
      <c r="B100" t="s">
        <v>436</v>
      </c>
      <c r="C100" t="s">
        <v>949</v>
      </c>
      <c r="D100" t="s">
        <v>447</v>
      </c>
      <c r="E100" t="s">
        <v>447</v>
      </c>
      <c r="F100" s="54"/>
      <c r="G100" s="4">
        <v>60</v>
      </c>
      <c r="H100" s="81">
        <v>68</v>
      </c>
      <c r="I100" t="s">
        <v>1100</v>
      </c>
    </row>
    <row r="101" spans="1:9" x14ac:dyDescent="0.25">
      <c r="A101" t="s">
        <v>1126</v>
      </c>
      <c r="B101" t="s">
        <v>436</v>
      </c>
      <c r="C101" t="s">
        <v>451</v>
      </c>
      <c r="D101" t="s">
        <v>441</v>
      </c>
      <c r="E101" t="s">
        <v>579</v>
      </c>
      <c r="F101" s="54">
        <v>0.73</v>
      </c>
      <c r="G101" s="4">
        <v>48</v>
      </c>
      <c r="H101" s="81">
        <v>56</v>
      </c>
      <c r="I101" t="s">
        <v>1127</v>
      </c>
    </row>
    <row r="102" spans="1:9" x14ac:dyDescent="0.25">
      <c r="A102" t="s">
        <v>1063</v>
      </c>
      <c r="B102" t="s">
        <v>436</v>
      </c>
      <c r="C102" t="s">
        <v>949</v>
      </c>
      <c r="E102" t="s">
        <v>149</v>
      </c>
      <c r="F102" s="54"/>
      <c r="G102" s="4" t="s">
        <v>149</v>
      </c>
      <c r="H102" s="81"/>
      <c r="I102" t="s">
        <v>1064</v>
      </c>
    </row>
    <row r="103" spans="1:9" x14ac:dyDescent="0.25">
      <c r="A103" t="s">
        <v>1065</v>
      </c>
      <c r="B103" t="s">
        <v>436</v>
      </c>
      <c r="C103" t="s">
        <v>949</v>
      </c>
      <c r="E103" t="s">
        <v>149</v>
      </c>
      <c r="F103" s="54"/>
      <c r="G103" s="4">
        <v>60</v>
      </c>
      <c r="H103" s="81">
        <v>74</v>
      </c>
      <c r="I103" t="s">
        <v>1066</v>
      </c>
    </row>
    <row r="104" spans="1:9" x14ac:dyDescent="0.25">
      <c r="A104" t="s">
        <v>523</v>
      </c>
      <c r="B104" t="s">
        <v>436</v>
      </c>
      <c r="C104" t="s">
        <v>437</v>
      </c>
      <c r="D104" t="s">
        <v>438</v>
      </c>
      <c r="E104" t="s">
        <v>1101</v>
      </c>
      <c r="F104" s="54">
        <v>0.72</v>
      </c>
      <c r="G104" s="4">
        <v>68</v>
      </c>
      <c r="H104" s="81">
        <v>73</v>
      </c>
      <c r="I104" t="s">
        <v>524</v>
      </c>
    </row>
    <row r="105" spans="1:9" x14ac:dyDescent="0.25">
      <c r="A105" t="s">
        <v>1117</v>
      </c>
      <c r="B105" t="s">
        <v>436</v>
      </c>
      <c r="C105" t="s">
        <v>949</v>
      </c>
      <c r="D105" t="s">
        <v>438</v>
      </c>
      <c r="E105" t="s">
        <v>438</v>
      </c>
      <c r="F105" s="54">
        <v>0.74</v>
      </c>
      <c r="G105" s="4">
        <v>64</v>
      </c>
      <c r="H105" s="81">
        <v>69</v>
      </c>
      <c r="I105" t="s">
        <v>1240</v>
      </c>
    </row>
    <row r="106" spans="1:9" x14ac:dyDescent="0.25">
      <c r="A106" t="s">
        <v>1118</v>
      </c>
      <c r="B106" t="s">
        <v>511</v>
      </c>
      <c r="C106" t="s">
        <v>961</v>
      </c>
      <c r="D106" t="s">
        <v>445</v>
      </c>
      <c r="E106" t="s">
        <v>445</v>
      </c>
      <c r="F106" s="54"/>
      <c r="G106" s="4">
        <v>62</v>
      </c>
      <c r="H106" s="81">
        <v>74</v>
      </c>
      <c r="I106" t="s">
        <v>1119</v>
      </c>
    </row>
    <row r="107" spans="1:9" x14ac:dyDescent="0.25">
      <c r="A107" t="s">
        <v>525</v>
      </c>
      <c r="B107" t="s">
        <v>436</v>
      </c>
      <c r="C107" t="s">
        <v>437</v>
      </c>
      <c r="D107" t="s">
        <v>441</v>
      </c>
      <c r="E107" t="s">
        <v>448</v>
      </c>
      <c r="F107" s="54">
        <v>0.72499999999999998</v>
      </c>
      <c r="G107" s="4">
        <v>66</v>
      </c>
      <c r="H107" s="81">
        <v>70</v>
      </c>
      <c r="I107" t="s">
        <v>526</v>
      </c>
    </row>
    <row r="108" spans="1:9" x14ac:dyDescent="0.25">
      <c r="A108" t="s">
        <v>527</v>
      </c>
      <c r="B108" t="s">
        <v>436</v>
      </c>
      <c r="C108" t="s">
        <v>437</v>
      </c>
      <c r="D108" t="s">
        <v>438</v>
      </c>
      <c r="E108" t="s">
        <v>568</v>
      </c>
      <c r="F108" s="54">
        <v>0.76500000000000001</v>
      </c>
      <c r="G108" s="4">
        <v>68</v>
      </c>
      <c r="H108" s="81">
        <v>73</v>
      </c>
      <c r="I108" t="s">
        <v>528</v>
      </c>
    </row>
    <row r="109" spans="1:9" x14ac:dyDescent="0.25">
      <c r="A109" t="s">
        <v>973</v>
      </c>
      <c r="B109" t="s">
        <v>436</v>
      </c>
      <c r="C109" t="s">
        <v>451</v>
      </c>
      <c r="D109" t="s">
        <v>445</v>
      </c>
      <c r="E109" t="s">
        <v>550</v>
      </c>
      <c r="F109" s="54">
        <v>0.69</v>
      </c>
      <c r="G109" s="4">
        <v>58</v>
      </c>
      <c r="H109" s="81">
        <v>68</v>
      </c>
      <c r="I109" t="s">
        <v>974</v>
      </c>
    </row>
    <row r="110" spans="1:9" x14ac:dyDescent="0.25">
      <c r="A110" t="s">
        <v>1021</v>
      </c>
      <c r="B110" t="s">
        <v>436</v>
      </c>
      <c r="C110" t="s">
        <v>451</v>
      </c>
      <c r="D110" t="s">
        <v>438</v>
      </c>
      <c r="E110" t="s">
        <v>1258</v>
      </c>
      <c r="F110" s="54">
        <v>0.77</v>
      </c>
      <c r="G110" s="4">
        <v>65</v>
      </c>
      <c r="H110" s="81">
        <v>80</v>
      </c>
      <c r="I110" t="s">
        <v>1259</v>
      </c>
    </row>
    <row r="111" spans="1:9" x14ac:dyDescent="0.25">
      <c r="A111" t="s">
        <v>937</v>
      </c>
      <c r="B111" t="s">
        <v>511</v>
      </c>
      <c r="C111" t="s">
        <v>934</v>
      </c>
      <c r="D111" t="s">
        <v>452</v>
      </c>
      <c r="E111" t="s">
        <v>149</v>
      </c>
      <c r="F111" s="54"/>
      <c r="G111" s="4">
        <v>59</v>
      </c>
      <c r="H111" s="81">
        <v>77</v>
      </c>
      <c r="I111" t="s">
        <v>938</v>
      </c>
    </row>
    <row r="112" spans="1:9" x14ac:dyDescent="0.25">
      <c r="A112" t="s">
        <v>939</v>
      </c>
      <c r="B112" t="s">
        <v>511</v>
      </c>
      <c r="C112" t="s">
        <v>529</v>
      </c>
      <c r="D112" t="s">
        <v>445</v>
      </c>
      <c r="E112" t="s">
        <v>445</v>
      </c>
      <c r="F112" s="54"/>
      <c r="G112" s="4">
        <v>68</v>
      </c>
      <c r="H112" s="81">
        <v>80</v>
      </c>
      <c r="I112" t="s">
        <v>530</v>
      </c>
    </row>
    <row r="113" spans="1:9" x14ac:dyDescent="0.25">
      <c r="A113" t="s">
        <v>975</v>
      </c>
      <c r="B113" t="s">
        <v>436</v>
      </c>
      <c r="C113" t="s">
        <v>437</v>
      </c>
      <c r="D113" t="s">
        <v>438</v>
      </c>
      <c r="E113" t="s">
        <v>439</v>
      </c>
      <c r="F113" s="54">
        <v>0.77500000000000002</v>
      </c>
      <c r="G113" s="4">
        <v>65</v>
      </c>
      <c r="H113" s="81">
        <v>70</v>
      </c>
      <c r="I113" t="s">
        <v>976</v>
      </c>
    </row>
    <row r="114" spans="1:9" x14ac:dyDescent="0.25">
      <c r="A114" t="s">
        <v>977</v>
      </c>
      <c r="B114" t="s">
        <v>436</v>
      </c>
      <c r="C114" t="s">
        <v>437</v>
      </c>
      <c r="D114" t="s">
        <v>447</v>
      </c>
      <c r="E114" t="s">
        <v>447</v>
      </c>
      <c r="F114" s="54">
        <v>0.68</v>
      </c>
      <c r="G114" s="4">
        <v>55</v>
      </c>
      <c r="H114" s="81">
        <v>58</v>
      </c>
      <c r="I114" t="s">
        <v>978</v>
      </c>
    </row>
    <row r="115" spans="1:9" x14ac:dyDescent="0.25">
      <c r="A115" t="s">
        <v>1132</v>
      </c>
      <c r="B115" t="s">
        <v>436</v>
      </c>
      <c r="C115" t="s">
        <v>437</v>
      </c>
      <c r="D115" t="s">
        <v>438</v>
      </c>
      <c r="E115" t="s">
        <v>439</v>
      </c>
      <c r="F115" s="54">
        <v>0.77500000000000002</v>
      </c>
      <c r="G115" s="4">
        <v>50</v>
      </c>
      <c r="H115" s="81">
        <v>55</v>
      </c>
      <c r="I115" t="s">
        <v>1133</v>
      </c>
    </row>
    <row r="116" spans="1:9" x14ac:dyDescent="0.25">
      <c r="A116" t="s">
        <v>1134</v>
      </c>
      <c r="B116" t="s">
        <v>436</v>
      </c>
      <c r="C116" t="s">
        <v>451</v>
      </c>
      <c r="D116" t="s">
        <v>438</v>
      </c>
      <c r="E116" t="s">
        <v>1087</v>
      </c>
      <c r="F116" s="54">
        <v>0.72</v>
      </c>
      <c r="G116" s="4">
        <v>50</v>
      </c>
      <c r="H116" s="81">
        <v>58</v>
      </c>
      <c r="I116" t="s">
        <v>1135</v>
      </c>
    </row>
    <row r="117" spans="1:9" x14ac:dyDescent="0.25">
      <c r="A117" t="s">
        <v>1136</v>
      </c>
      <c r="B117" t="s">
        <v>436</v>
      </c>
      <c r="C117" t="s">
        <v>451</v>
      </c>
      <c r="D117" t="s">
        <v>447</v>
      </c>
      <c r="E117" t="s">
        <v>453</v>
      </c>
      <c r="F117" s="54">
        <v>0.75</v>
      </c>
      <c r="G117" s="4">
        <v>46</v>
      </c>
      <c r="H117" s="81">
        <v>56</v>
      </c>
      <c r="I117" t="s">
        <v>1137</v>
      </c>
    </row>
    <row r="118" spans="1:9" x14ac:dyDescent="0.25">
      <c r="A118" t="s">
        <v>1260</v>
      </c>
      <c r="B118" t="s">
        <v>436</v>
      </c>
      <c r="C118" t="s">
        <v>451</v>
      </c>
      <c r="D118" t="s">
        <v>447</v>
      </c>
      <c r="E118" t="s">
        <v>1229</v>
      </c>
      <c r="F118" s="54">
        <v>0.75</v>
      </c>
      <c r="G118" s="4">
        <v>60</v>
      </c>
      <c r="H118" s="81">
        <v>70</v>
      </c>
      <c r="I118" t="s">
        <v>1261</v>
      </c>
    </row>
    <row r="119" spans="1:9" x14ac:dyDescent="0.25">
      <c r="A119" t="s">
        <v>531</v>
      </c>
      <c r="B119" t="s">
        <v>436</v>
      </c>
      <c r="C119" t="s">
        <v>437</v>
      </c>
      <c r="D119" t="s">
        <v>445</v>
      </c>
      <c r="E119" t="s">
        <v>532</v>
      </c>
      <c r="F119" s="54">
        <v>0.75</v>
      </c>
      <c r="G119" s="4">
        <v>65</v>
      </c>
      <c r="H119" s="81">
        <v>70</v>
      </c>
      <c r="I119" t="s">
        <v>533</v>
      </c>
    </row>
    <row r="120" spans="1:9" x14ac:dyDescent="0.25">
      <c r="A120" t="s">
        <v>534</v>
      </c>
      <c r="B120" t="s">
        <v>436</v>
      </c>
      <c r="C120" t="s">
        <v>437</v>
      </c>
      <c r="D120" t="s">
        <v>438</v>
      </c>
      <c r="E120" t="s">
        <v>535</v>
      </c>
      <c r="F120" s="54">
        <v>0.68500000000000005</v>
      </c>
      <c r="G120" s="4">
        <v>65</v>
      </c>
      <c r="H120" s="81">
        <v>69</v>
      </c>
      <c r="I120" t="s">
        <v>536</v>
      </c>
    </row>
    <row r="121" spans="1:9" x14ac:dyDescent="0.25">
      <c r="A121" t="s">
        <v>538</v>
      </c>
      <c r="B121" t="s">
        <v>436</v>
      </c>
      <c r="C121" t="s">
        <v>437</v>
      </c>
      <c r="D121" t="s">
        <v>452</v>
      </c>
      <c r="E121" t="s">
        <v>448</v>
      </c>
      <c r="F121" s="54">
        <v>0.72499999999999998</v>
      </c>
      <c r="G121" s="4">
        <v>68</v>
      </c>
      <c r="H121" s="81">
        <v>73</v>
      </c>
      <c r="I121" t="s">
        <v>539</v>
      </c>
    </row>
    <row r="122" spans="1:9" x14ac:dyDescent="0.25">
      <c r="A122" t="s">
        <v>940</v>
      </c>
      <c r="B122" t="s">
        <v>436</v>
      </c>
      <c r="C122" t="s">
        <v>437</v>
      </c>
      <c r="D122" t="s">
        <v>441</v>
      </c>
      <c r="E122" t="s">
        <v>438</v>
      </c>
      <c r="F122" s="54">
        <v>0.77500000000000002</v>
      </c>
      <c r="G122" s="4">
        <v>66</v>
      </c>
      <c r="H122" s="81">
        <v>70</v>
      </c>
      <c r="I122" t="s">
        <v>941</v>
      </c>
    </row>
    <row r="123" spans="1:9" x14ac:dyDescent="0.25">
      <c r="A123" t="s">
        <v>540</v>
      </c>
      <c r="B123" t="s">
        <v>436</v>
      </c>
      <c r="C123" t="s">
        <v>437</v>
      </c>
      <c r="D123" t="s">
        <v>438</v>
      </c>
      <c r="E123" t="s">
        <v>448</v>
      </c>
      <c r="F123" s="54">
        <v>0.72499999999999998</v>
      </c>
      <c r="G123" s="4">
        <v>65</v>
      </c>
      <c r="H123" s="81">
        <v>70</v>
      </c>
      <c r="I123" t="s">
        <v>541</v>
      </c>
    </row>
    <row r="124" spans="1:9" x14ac:dyDescent="0.25">
      <c r="A124" t="s">
        <v>1120</v>
      </c>
      <c r="B124" t="s">
        <v>436</v>
      </c>
      <c r="C124" t="s">
        <v>437</v>
      </c>
      <c r="D124" t="s">
        <v>441</v>
      </c>
      <c r="E124" t="s">
        <v>1121</v>
      </c>
      <c r="F124" s="54">
        <v>0.72499999999999998</v>
      </c>
      <c r="G124" s="4">
        <v>68</v>
      </c>
      <c r="H124" s="81">
        <v>72</v>
      </c>
      <c r="I124" t="s">
        <v>1122</v>
      </c>
    </row>
    <row r="125" spans="1:9" x14ac:dyDescent="0.25">
      <c r="A125" t="s">
        <v>542</v>
      </c>
      <c r="B125" t="s">
        <v>436</v>
      </c>
      <c r="C125" t="s">
        <v>444</v>
      </c>
      <c r="D125" t="s">
        <v>438</v>
      </c>
      <c r="E125" t="s">
        <v>445</v>
      </c>
      <c r="F125" s="54"/>
      <c r="G125" s="4">
        <v>59</v>
      </c>
      <c r="H125" s="81">
        <v>68</v>
      </c>
      <c r="I125" t="s">
        <v>543</v>
      </c>
    </row>
    <row r="126" spans="1:9" x14ac:dyDescent="0.25">
      <c r="A126" t="s">
        <v>544</v>
      </c>
      <c r="B126" t="s">
        <v>436</v>
      </c>
      <c r="C126" t="s">
        <v>437</v>
      </c>
      <c r="D126" t="s">
        <v>560</v>
      </c>
      <c r="E126" t="s">
        <v>1102</v>
      </c>
      <c r="F126" s="54">
        <v>0.66500000000000004</v>
      </c>
      <c r="G126" s="4">
        <v>65</v>
      </c>
      <c r="H126" s="81">
        <v>68</v>
      </c>
      <c r="I126" t="s">
        <v>545</v>
      </c>
    </row>
    <row r="127" spans="1:9" x14ac:dyDescent="0.25">
      <c r="A127" t="s">
        <v>1103</v>
      </c>
      <c r="B127" t="s">
        <v>436</v>
      </c>
      <c r="C127" t="s">
        <v>451</v>
      </c>
      <c r="D127" t="s">
        <v>445</v>
      </c>
      <c r="E127" t="s">
        <v>1262</v>
      </c>
      <c r="F127" s="54">
        <v>0.7</v>
      </c>
      <c r="G127" s="4">
        <v>64</v>
      </c>
      <c r="H127" s="81">
        <v>72</v>
      </c>
      <c r="I127" t="s">
        <v>1263</v>
      </c>
    </row>
    <row r="128" spans="1:9" x14ac:dyDescent="0.25">
      <c r="A128" t="s">
        <v>547</v>
      </c>
      <c r="B128" t="s">
        <v>436</v>
      </c>
      <c r="C128" t="s">
        <v>437</v>
      </c>
      <c r="D128" t="s">
        <v>441</v>
      </c>
      <c r="E128" t="s">
        <v>548</v>
      </c>
      <c r="F128" s="54">
        <v>0.73499999999999999</v>
      </c>
      <c r="G128" s="4">
        <v>66</v>
      </c>
      <c r="H128" s="81">
        <v>70</v>
      </c>
      <c r="I128" t="s">
        <v>549</v>
      </c>
    </row>
    <row r="129" spans="1:9" x14ac:dyDescent="0.25">
      <c r="A129" t="s">
        <v>551</v>
      </c>
      <c r="B129" t="s">
        <v>436</v>
      </c>
      <c r="C129" t="s">
        <v>437</v>
      </c>
      <c r="D129" t="s">
        <v>438</v>
      </c>
      <c r="E129" t="s">
        <v>552</v>
      </c>
      <c r="F129" s="54">
        <v>0.67500000000000004</v>
      </c>
      <c r="G129" s="4">
        <v>65</v>
      </c>
      <c r="H129" s="81">
        <v>70</v>
      </c>
      <c r="I129" t="s">
        <v>553</v>
      </c>
    </row>
    <row r="130" spans="1:9" x14ac:dyDescent="0.25">
      <c r="A130" t="s">
        <v>979</v>
      </c>
      <c r="B130" t="s">
        <v>436</v>
      </c>
      <c r="C130" t="s">
        <v>451</v>
      </c>
      <c r="D130" t="s">
        <v>447</v>
      </c>
      <c r="E130" t="s">
        <v>1252</v>
      </c>
      <c r="F130" s="54">
        <v>0.75</v>
      </c>
      <c r="G130" s="4">
        <v>46</v>
      </c>
      <c r="H130" s="81">
        <v>56</v>
      </c>
      <c r="I130" t="s">
        <v>1264</v>
      </c>
    </row>
    <row r="131" spans="1:9" x14ac:dyDescent="0.25">
      <c r="A131" s="20" t="s">
        <v>1736</v>
      </c>
      <c r="B131" s="20" t="s">
        <v>436</v>
      </c>
      <c r="C131" s="20" t="s">
        <v>1680</v>
      </c>
      <c r="D131" s="20" t="s">
        <v>447</v>
      </c>
      <c r="E131" s="20" t="s">
        <v>1737</v>
      </c>
      <c r="F131" s="114">
        <v>0.8</v>
      </c>
      <c r="G131" s="4">
        <v>68</v>
      </c>
      <c r="H131" s="81">
        <v>76</v>
      </c>
      <c r="I131" s="20" t="s">
        <v>1738</v>
      </c>
    </row>
    <row r="132" spans="1:9" x14ac:dyDescent="0.25">
      <c r="A132" t="s">
        <v>1265</v>
      </c>
      <c r="B132" t="s">
        <v>436</v>
      </c>
      <c r="C132" t="s">
        <v>451</v>
      </c>
      <c r="D132" t="s">
        <v>438</v>
      </c>
      <c r="E132" t="s">
        <v>1246</v>
      </c>
      <c r="F132" s="54">
        <v>0.76500000000000001</v>
      </c>
      <c r="G132" s="4">
        <v>70</v>
      </c>
      <c r="H132" s="81">
        <v>84</v>
      </c>
      <c r="I132" t="s">
        <v>1266</v>
      </c>
    </row>
    <row r="133" spans="1:9" x14ac:dyDescent="0.25">
      <c r="A133" t="s">
        <v>1022</v>
      </c>
      <c r="B133" t="s">
        <v>436</v>
      </c>
      <c r="C133" t="s">
        <v>949</v>
      </c>
      <c r="E133" t="s">
        <v>149</v>
      </c>
      <c r="F133" s="54"/>
      <c r="G133" s="4" t="s">
        <v>149</v>
      </c>
      <c r="H133" s="81"/>
      <c r="I133" t="s">
        <v>1023</v>
      </c>
    </row>
    <row r="134" spans="1:9" x14ac:dyDescent="0.25">
      <c r="A134" t="s">
        <v>1024</v>
      </c>
      <c r="B134" t="s">
        <v>436</v>
      </c>
      <c r="C134" t="s">
        <v>451</v>
      </c>
      <c r="D134" t="s">
        <v>452</v>
      </c>
      <c r="E134" t="s">
        <v>1267</v>
      </c>
      <c r="F134" s="54">
        <v>0.76</v>
      </c>
      <c r="G134" s="4">
        <v>64</v>
      </c>
      <c r="H134" s="81">
        <v>80</v>
      </c>
      <c r="I134" t="s">
        <v>1268</v>
      </c>
    </row>
    <row r="135" spans="1:9" x14ac:dyDescent="0.25">
      <c r="A135" t="s">
        <v>1025</v>
      </c>
      <c r="B135" t="s">
        <v>436</v>
      </c>
      <c r="C135" t="s">
        <v>437</v>
      </c>
      <c r="D135" t="s">
        <v>452</v>
      </c>
      <c r="E135" t="s">
        <v>445</v>
      </c>
      <c r="F135" s="54"/>
      <c r="G135" s="4">
        <v>68</v>
      </c>
      <c r="H135" s="81">
        <v>80</v>
      </c>
      <c r="I135" t="s">
        <v>1026</v>
      </c>
    </row>
    <row r="136" spans="1:9" x14ac:dyDescent="0.25">
      <c r="A136" t="s">
        <v>1067</v>
      </c>
      <c r="B136" t="s">
        <v>436</v>
      </c>
      <c r="C136" t="s">
        <v>949</v>
      </c>
      <c r="E136" t="s">
        <v>149</v>
      </c>
      <c r="F136" s="54"/>
      <c r="G136" s="4">
        <v>60</v>
      </c>
      <c r="H136" s="81">
        <v>74</v>
      </c>
      <c r="I136" t="s">
        <v>1068</v>
      </c>
    </row>
    <row r="137" spans="1:9" x14ac:dyDescent="0.25">
      <c r="A137" t="s">
        <v>555</v>
      </c>
      <c r="B137" t="s">
        <v>436</v>
      </c>
      <c r="C137" t="s">
        <v>451</v>
      </c>
      <c r="D137" t="s">
        <v>447</v>
      </c>
      <c r="E137" t="s">
        <v>453</v>
      </c>
      <c r="F137" s="54">
        <v>0.75</v>
      </c>
      <c r="G137" s="4">
        <v>63</v>
      </c>
      <c r="H137" s="81">
        <v>76</v>
      </c>
      <c r="I137" t="s">
        <v>556</v>
      </c>
    </row>
    <row r="138" spans="1:9" x14ac:dyDescent="0.25">
      <c r="A138" t="s">
        <v>1027</v>
      </c>
      <c r="B138" t="s">
        <v>436</v>
      </c>
      <c r="C138" t="s">
        <v>437</v>
      </c>
      <c r="D138" t="s">
        <v>441</v>
      </c>
      <c r="E138" t="s">
        <v>447</v>
      </c>
      <c r="F138" s="54"/>
      <c r="G138" s="4">
        <v>63</v>
      </c>
      <c r="H138" s="81">
        <v>73</v>
      </c>
      <c r="I138" t="s">
        <v>1028</v>
      </c>
    </row>
    <row r="139" spans="1:9" x14ac:dyDescent="0.25">
      <c r="A139" t="s">
        <v>1029</v>
      </c>
      <c r="B139" t="s">
        <v>436</v>
      </c>
      <c r="C139" t="s">
        <v>451</v>
      </c>
      <c r="D139" t="s">
        <v>447</v>
      </c>
      <c r="E139" t="s">
        <v>1269</v>
      </c>
      <c r="F139" s="54">
        <v>0.8</v>
      </c>
      <c r="G139" s="4">
        <v>65</v>
      </c>
      <c r="H139" s="81">
        <v>77</v>
      </c>
      <c r="I139" t="s">
        <v>1270</v>
      </c>
    </row>
    <row r="140" spans="1:9" x14ac:dyDescent="0.25">
      <c r="A140" s="20" t="s">
        <v>1706</v>
      </c>
      <c r="B140" s="20" t="s">
        <v>436</v>
      </c>
      <c r="C140" s="20" t="s">
        <v>1680</v>
      </c>
      <c r="D140" s="20" t="s">
        <v>447</v>
      </c>
      <c r="E140" s="20" t="s">
        <v>1252</v>
      </c>
      <c r="F140" s="114">
        <v>0.75</v>
      </c>
      <c r="G140" s="4">
        <v>63</v>
      </c>
      <c r="H140" s="81">
        <v>73</v>
      </c>
      <c r="I140" s="20" t="s">
        <v>1707</v>
      </c>
    </row>
    <row r="141" spans="1:9" x14ac:dyDescent="0.25">
      <c r="A141" s="20" t="s">
        <v>1708</v>
      </c>
      <c r="B141" s="20" t="s">
        <v>436</v>
      </c>
      <c r="C141" s="20" t="s">
        <v>1680</v>
      </c>
      <c r="D141" s="20" t="s">
        <v>447</v>
      </c>
      <c r="E141" s="20" t="s">
        <v>1252</v>
      </c>
      <c r="F141" s="114">
        <v>0.75</v>
      </c>
      <c r="G141" s="4">
        <v>56</v>
      </c>
      <c r="H141" s="81">
        <v>65</v>
      </c>
      <c r="I141" s="20" t="s">
        <v>1709</v>
      </c>
    </row>
    <row r="142" spans="1:9" x14ac:dyDescent="0.25">
      <c r="A142" s="20" t="s">
        <v>1710</v>
      </c>
      <c r="B142" s="20" t="s">
        <v>436</v>
      </c>
      <c r="C142" s="20" t="s">
        <v>1680</v>
      </c>
      <c r="D142" s="20" t="s">
        <v>438</v>
      </c>
      <c r="E142" s="20" t="s">
        <v>1252</v>
      </c>
      <c r="F142" s="114">
        <v>0.75</v>
      </c>
      <c r="G142" s="4">
        <v>60</v>
      </c>
      <c r="H142" s="81">
        <v>69</v>
      </c>
      <c r="I142" s="20" t="s">
        <v>1711</v>
      </c>
    </row>
    <row r="143" spans="1:9" x14ac:dyDescent="0.25">
      <c r="A143" t="s">
        <v>557</v>
      </c>
      <c r="B143" t="s">
        <v>436</v>
      </c>
      <c r="C143" t="s">
        <v>451</v>
      </c>
      <c r="D143" t="s">
        <v>447</v>
      </c>
      <c r="E143" t="s">
        <v>453</v>
      </c>
      <c r="F143" s="54">
        <v>0.75</v>
      </c>
      <c r="G143" s="4">
        <v>55</v>
      </c>
      <c r="H143" s="81">
        <v>68</v>
      </c>
      <c r="I143" t="s">
        <v>558</v>
      </c>
    </row>
    <row r="144" spans="1:9" x14ac:dyDescent="0.25">
      <c r="A144" t="s">
        <v>559</v>
      </c>
      <c r="B144" t="s">
        <v>436</v>
      </c>
      <c r="C144" t="s">
        <v>437</v>
      </c>
      <c r="D144" t="s">
        <v>438</v>
      </c>
      <c r="E144" t="s">
        <v>561</v>
      </c>
      <c r="F144" s="54">
        <v>0.75</v>
      </c>
      <c r="G144" s="4">
        <v>65</v>
      </c>
      <c r="H144" s="81">
        <v>69</v>
      </c>
      <c r="I144" t="s">
        <v>562</v>
      </c>
    </row>
    <row r="145" spans="1:9" x14ac:dyDescent="0.25">
      <c r="A145" t="s">
        <v>1082</v>
      </c>
      <c r="B145" t="s">
        <v>436</v>
      </c>
      <c r="C145" t="s">
        <v>437</v>
      </c>
      <c r="D145" t="s">
        <v>438</v>
      </c>
      <c r="E145" t="s">
        <v>477</v>
      </c>
      <c r="F145" s="54">
        <v>0.73</v>
      </c>
      <c r="G145" s="4">
        <v>48</v>
      </c>
      <c r="H145" s="81">
        <v>55</v>
      </c>
      <c r="I145" t="s">
        <v>1083</v>
      </c>
    </row>
    <row r="146" spans="1:9" x14ac:dyDescent="0.25">
      <c r="A146" t="s">
        <v>1084</v>
      </c>
      <c r="B146" t="s">
        <v>436</v>
      </c>
      <c r="C146" t="s">
        <v>437</v>
      </c>
      <c r="D146" t="s">
        <v>438</v>
      </c>
      <c r="E146" t="s">
        <v>537</v>
      </c>
      <c r="F146" s="54">
        <v>0.76500000000000001</v>
      </c>
      <c r="G146" s="4">
        <v>50</v>
      </c>
      <c r="H146" s="81">
        <v>55</v>
      </c>
      <c r="I146" t="s">
        <v>1085</v>
      </c>
    </row>
    <row r="147" spans="1:9" x14ac:dyDescent="0.25">
      <c r="A147" t="s">
        <v>563</v>
      </c>
      <c r="B147" t="s">
        <v>436</v>
      </c>
      <c r="C147" t="s">
        <v>451</v>
      </c>
      <c r="D147" t="s">
        <v>445</v>
      </c>
      <c r="E147" t="s">
        <v>453</v>
      </c>
      <c r="F147" s="54">
        <v>0.75</v>
      </c>
      <c r="G147" s="4">
        <v>63</v>
      </c>
      <c r="H147" s="81">
        <v>75</v>
      </c>
      <c r="I147" t="s">
        <v>564</v>
      </c>
    </row>
    <row r="148" spans="1:9" x14ac:dyDescent="0.25">
      <c r="A148" t="s">
        <v>565</v>
      </c>
      <c r="B148" t="s">
        <v>436</v>
      </c>
      <c r="C148" t="s">
        <v>437</v>
      </c>
      <c r="D148" t="s">
        <v>452</v>
      </c>
      <c r="E148" t="s">
        <v>458</v>
      </c>
      <c r="F148" s="54">
        <v>0.74</v>
      </c>
      <c r="G148" s="4">
        <v>68</v>
      </c>
      <c r="H148" s="81">
        <v>72</v>
      </c>
      <c r="I148" t="s">
        <v>566</v>
      </c>
    </row>
    <row r="149" spans="1:9" x14ac:dyDescent="0.25">
      <c r="A149" t="s">
        <v>567</v>
      </c>
      <c r="B149" t="s">
        <v>436</v>
      </c>
      <c r="C149" t="s">
        <v>437</v>
      </c>
      <c r="D149" t="s">
        <v>447</v>
      </c>
      <c r="E149" t="s">
        <v>568</v>
      </c>
      <c r="F149" s="54">
        <v>0.76500000000000001</v>
      </c>
      <c r="G149" s="4">
        <v>66</v>
      </c>
      <c r="H149" s="81">
        <v>70</v>
      </c>
      <c r="I149" t="s">
        <v>569</v>
      </c>
    </row>
    <row r="150" spans="1:9" x14ac:dyDescent="0.25">
      <c r="A150" t="s">
        <v>1271</v>
      </c>
      <c r="B150" t="s">
        <v>436</v>
      </c>
      <c r="C150" t="s">
        <v>451</v>
      </c>
      <c r="D150" t="s">
        <v>438</v>
      </c>
      <c r="E150" t="s">
        <v>1272</v>
      </c>
      <c r="F150" s="54">
        <v>0.72</v>
      </c>
      <c r="G150" s="4">
        <v>48</v>
      </c>
      <c r="H150" s="81">
        <v>56</v>
      </c>
      <c r="I150" t="s">
        <v>1273</v>
      </c>
    </row>
    <row r="151" spans="1:9" x14ac:dyDescent="0.25">
      <c r="A151" t="s">
        <v>570</v>
      </c>
      <c r="B151" t="s">
        <v>436</v>
      </c>
      <c r="C151" t="s">
        <v>451</v>
      </c>
      <c r="D151" t="s">
        <v>438</v>
      </c>
      <c r="E151" t="s">
        <v>579</v>
      </c>
      <c r="F151" s="54">
        <v>0.73</v>
      </c>
      <c r="G151" s="4">
        <v>62</v>
      </c>
      <c r="H151" s="81">
        <v>72</v>
      </c>
      <c r="I151" t="s">
        <v>571</v>
      </c>
    </row>
    <row r="152" spans="1:9" x14ac:dyDescent="0.25">
      <c r="A152" t="s">
        <v>572</v>
      </c>
      <c r="B152" t="s">
        <v>436</v>
      </c>
      <c r="C152" t="s">
        <v>437</v>
      </c>
      <c r="D152" t="s">
        <v>441</v>
      </c>
      <c r="E152" t="s">
        <v>1123</v>
      </c>
      <c r="F152" s="54">
        <v>0.71499999999999997</v>
      </c>
      <c r="G152" s="4">
        <v>65</v>
      </c>
      <c r="H152" s="81">
        <v>68</v>
      </c>
      <c r="I152" t="s">
        <v>573</v>
      </c>
    </row>
    <row r="153" spans="1:9" x14ac:dyDescent="0.25">
      <c r="A153" t="s">
        <v>1244</v>
      </c>
      <c r="B153" t="s">
        <v>436</v>
      </c>
      <c r="C153" t="s">
        <v>949</v>
      </c>
      <c r="D153" t="s">
        <v>445</v>
      </c>
      <c r="F153" s="54">
        <v>0.75</v>
      </c>
      <c r="G153" s="4">
        <v>46</v>
      </c>
      <c r="H153" s="81">
        <v>54</v>
      </c>
      <c r="I153" t="s">
        <v>1245</v>
      </c>
    </row>
    <row r="154" spans="1:9" x14ac:dyDescent="0.25">
      <c r="A154" t="s">
        <v>574</v>
      </c>
      <c r="B154" t="s">
        <v>436</v>
      </c>
      <c r="C154" t="s">
        <v>451</v>
      </c>
      <c r="D154" t="s">
        <v>447</v>
      </c>
      <c r="E154" t="s">
        <v>453</v>
      </c>
      <c r="F154" s="54">
        <v>0.75</v>
      </c>
      <c r="G154" s="4">
        <v>56</v>
      </c>
      <c r="H154" s="81">
        <v>70</v>
      </c>
      <c r="I154" t="s">
        <v>575</v>
      </c>
    </row>
    <row r="155" spans="1:9" x14ac:dyDescent="0.25">
      <c r="A155" t="s">
        <v>1274</v>
      </c>
      <c r="B155" t="s">
        <v>436</v>
      </c>
      <c r="C155" t="s">
        <v>451</v>
      </c>
      <c r="D155" t="s">
        <v>447</v>
      </c>
      <c r="E155" t="s">
        <v>1252</v>
      </c>
      <c r="F155" s="54">
        <v>0.75</v>
      </c>
      <c r="G155" s="4">
        <v>56</v>
      </c>
      <c r="H155" s="81">
        <v>70</v>
      </c>
      <c r="I155" t="s">
        <v>1275</v>
      </c>
    </row>
    <row r="156" spans="1:9" x14ac:dyDescent="0.25">
      <c r="A156" t="s">
        <v>1158</v>
      </c>
      <c r="B156" t="s">
        <v>436</v>
      </c>
      <c r="C156" t="s">
        <v>949</v>
      </c>
      <c r="D156" t="s">
        <v>445</v>
      </c>
      <c r="E156" t="s">
        <v>438</v>
      </c>
      <c r="F156" s="54">
        <v>0.76500000000000001</v>
      </c>
      <c r="G156" s="4">
        <v>58</v>
      </c>
      <c r="H156" s="81">
        <v>66</v>
      </c>
      <c r="I156" t="s">
        <v>1241</v>
      </c>
    </row>
    <row r="157" spans="1:9" x14ac:dyDescent="0.25">
      <c r="A157" s="20" t="s">
        <v>1727</v>
      </c>
      <c r="B157" s="20" t="s">
        <v>436</v>
      </c>
      <c r="C157" s="20" t="s">
        <v>1680</v>
      </c>
      <c r="D157" s="20" t="s">
        <v>441</v>
      </c>
      <c r="E157" s="20" t="s">
        <v>1728</v>
      </c>
      <c r="F157" s="114">
        <v>0.73</v>
      </c>
      <c r="G157" s="4">
        <v>55</v>
      </c>
      <c r="H157" s="81">
        <v>65</v>
      </c>
      <c r="I157" s="20" t="s">
        <v>1729</v>
      </c>
    </row>
    <row r="158" spans="1:9" x14ac:dyDescent="0.25">
      <c r="A158" s="20" t="s">
        <v>1730</v>
      </c>
      <c r="B158" s="20" t="s">
        <v>436</v>
      </c>
      <c r="C158" s="20" t="s">
        <v>1680</v>
      </c>
      <c r="D158" s="20" t="s">
        <v>452</v>
      </c>
      <c r="E158" s="20" t="s">
        <v>1252</v>
      </c>
      <c r="F158" s="114">
        <v>0.75</v>
      </c>
      <c r="G158" s="4">
        <v>46</v>
      </c>
      <c r="H158" s="81">
        <v>56</v>
      </c>
      <c r="I158" s="20" t="s">
        <v>1731</v>
      </c>
    </row>
    <row r="159" spans="1:9" x14ac:dyDescent="0.25">
      <c r="A159" s="20" t="s">
        <v>1732</v>
      </c>
      <c r="B159" s="20" t="s">
        <v>436</v>
      </c>
      <c r="C159" s="20" t="s">
        <v>1680</v>
      </c>
      <c r="D159" s="20" t="s">
        <v>438</v>
      </c>
      <c r="E159" s="20" t="s">
        <v>1272</v>
      </c>
      <c r="F159" s="114">
        <v>0.72</v>
      </c>
      <c r="G159" s="4">
        <v>50</v>
      </c>
      <c r="H159" s="81">
        <v>60</v>
      </c>
      <c r="I159" s="20" t="s">
        <v>1733</v>
      </c>
    </row>
    <row r="160" spans="1:9" x14ac:dyDescent="0.25">
      <c r="A160" s="20" t="s">
        <v>1734</v>
      </c>
      <c r="B160" s="20" t="s">
        <v>436</v>
      </c>
      <c r="C160" s="20" t="s">
        <v>1680</v>
      </c>
      <c r="D160" s="20" t="s">
        <v>438</v>
      </c>
      <c r="E160" s="20" t="s">
        <v>1728</v>
      </c>
      <c r="F160" s="114">
        <v>0.73</v>
      </c>
      <c r="G160" s="4">
        <v>52</v>
      </c>
      <c r="H160" s="81">
        <v>58</v>
      </c>
      <c r="I160" s="20" t="s">
        <v>1735</v>
      </c>
    </row>
    <row r="161" spans="1:9" x14ac:dyDescent="0.25">
      <c r="A161" t="s">
        <v>1069</v>
      </c>
      <c r="B161" t="s">
        <v>436</v>
      </c>
      <c r="C161" t="s">
        <v>451</v>
      </c>
      <c r="E161" t="s">
        <v>149</v>
      </c>
      <c r="F161" s="54"/>
      <c r="G161" s="4">
        <v>60</v>
      </c>
      <c r="H161" s="81">
        <v>95</v>
      </c>
      <c r="I161" t="s">
        <v>1070</v>
      </c>
    </row>
    <row r="162" spans="1:9" x14ac:dyDescent="0.25">
      <c r="A162" t="s">
        <v>1030</v>
      </c>
      <c r="B162" t="s">
        <v>436</v>
      </c>
      <c r="C162" t="s">
        <v>451</v>
      </c>
      <c r="D162" t="s">
        <v>447</v>
      </c>
      <c r="E162" t="s">
        <v>1276</v>
      </c>
      <c r="F162" s="54">
        <v>0.73</v>
      </c>
      <c r="G162" s="4">
        <v>64</v>
      </c>
      <c r="H162" s="81">
        <v>75</v>
      </c>
      <c r="I162" t="s">
        <v>1277</v>
      </c>
    </row>
    <row r="163" spans="1:9" x14ac:dyDescent="0.25">
      <c r="A163" t="s">
        <v>576</v>
      </c>
      <c r="B163" t="s">
        <v>436</v>
      </c>
      <c r="C163" t="s">
        <v>451</v>
      </c>
      <c r="D163" t="s">
        <v>452</v>
      </c>
      <c r="E163" t="s">
        <v>453</v>
      </c>
      <c r="F163" s="54">
        <v>0.75</v>
      </c>
      <c r="G163" s="4">
        <v>60</v>
      </c>
      <c r="H163" s="81">
        <v>72</v>
      </c>
      <c r="I163" t="s">
        <v>577</v>
      </c>
    </row>
    <row r="164" spans="1:9" x14ac:dyDescent="0.25">
      <c r="A164" t="s">
        <v>578</v>
      </c>
      <c r="B164" t="s">
        <v>436</v>
      </c>
      <c r="C164" t="s">
        <v>451</v>
      </c>
      <c r="D164" t="s">
        <v>445</v>
      </c>
      <c r="E164" t="s">
        <v>579</v>
      </c>
      <c r="F164" s="54">
        <v>0.73</v>
      </c>
      <c r="G164" s="4">
        <v>64</v>
      </c>
      <c r="H164" s="81">
        <v>74</v>
      </c>
      <c r="I164" t="s">
        <v>580</v>
      </c>
    </row>
    <row r="165" spans="1:9" x14ac:dyDescent="0.25">
      <c r="A165" t="s">
        <v>581</v>
      </c>
      <c r="B165" t="s">
        <v>436</v>
      </c>
      <c r="C165" t="s">
        <v>437</v>
      </c>
      <c r="D165" t="s">
        <v>438</v>
      </c>
      <c r="E165" t="s">
        <v>582</v>
      </c>
      <c r="F165" s="54">
        <v>0.71</v>
      </c>
      <c r="G165" s="4">
        <v>66</v>
      </c>
      <c r="H165" s="81">
        <v>71</v>
      </c>
      <c r="I165" t="s">
        <v>583</v>
      </c>
    </row>
    <row r="166" spans="1:9" x14ac:dyDescent="0.25">
      <c r="A166" t="s">
        <v>584</v>
      </c>
      <c r="B166" t="s">
        <v>436</v>
      </c>
      <c r="C166" t="s">
        <v>451</v>
      </c>
      <c r="D166" t="s">
        <v>445</v>
      </c>
      <c r="E166" t="s">
        <v>550</v>
      </c>
      <c r="F166" s="54">
        <v>0.69</v>
      </c>
      <c r="G166" s="41">
        <v>64</v>
      </c>
      <c r="H166" s="82">
        <v>72</v>
      </c>
      <c r="I166" t="s">
        <v>585</v>
      </c>
    </row>
    <row r="167" spans="1:9" x14ac:dyDescent="0.25">
      <c r="A167" t="s">
        <v>942</v>
      </c>
      <c r="B167" t="s">
        <v>436</v>
      </c>
      <c r="C167" t="s">
        <v>943</v>
      </c>
      <c r="D167" t="s">
        <v>445</v>
      </c>
      <c r="E167" t="s">
        <v>532</v>
      </c>
      <c r="F167" s="54">
        <v>0.75</v>
      </c>
      <c r="G167" s="4">
        <v>68</v>
      </c>
      <c r="H167" s="81">
        <v>75</v>
      </c>
      <c r="I167" t="s">
        <v>944</v>
      </c>
    </row>
    <row r="168" spans="1:9" x14ac:dyDescent="0.25">
      <c r="A168" t="s">
        <v>1124</v>
      </c>
      <c r="B168" t="s">
        <v>436</v>
      </c>
      <c r="C168" t="s">
        <v>437</v>
      </c>
      <c r="D168" t="s">
        <v>441</v>
      </c>
      <c r="E168" t="s">
        <v>438</v>
      </c>
      <c r="F168" s="54">
        <v>0.72</v>
      </c>
      <c r="G168" s="4">
        <v>65</v>
      </c>
      <c r="H168" s="81">
        <v>70</v>
      </c>
      <c r="I168" t="s">
        <v>1125</v>
      </c>
    </row>
    <row r="169" spans="1:9" x14ac:dyDescent="0.25">
      <c r="A169" t="s">
        <v>980</v>
      </c>
      <c r="B169" t="s">
        <v>436</v>
      </c>
      <c r="C169" t="s">
        <v>437</v>
      </c>
      <c r="D169" t="s">
        <v>438</v>
      </c>
      <c r="E169" t="s">
        <v>981</v>
      </c>
      <c r="F169" s="54">
        <v>0.74</v>
      </c>
      <c r="G169" s="4">
        <v>50</v>
      </c>
      <c r="H169" s="81">
        <v>55</v>
      </c>
      <c r="I169" t="s">
        <v>982</v>
      </c>
    </row>
    <row r="170" spans="1:9" x14ac:dyDescent="0.25">
      <c r="A170" t="s">
        <v>1128</v>
      </c>
      <c r="B170" t="s">
        <v>436</v>
      </c>
      <c r="C170" t="s">
        <v>949</v>
      </c>
      <c r="D170" t="s">
        <v>438</v>
      </c>
      <c r="E170" t="s">
        <v>438</v>
      </c>
      <c r="F170" s="54"/>
      <c r="G170" s="4">
        <v>46</v>
      </c>
      <c r="H170" s="81">
        <v>54</v>
      </c>
      <c r="I170" t="s">
        <v>1129</v>
      </c>
    </row>
    <row r="171" spans="1:9" x14ac:dyDescent="0.25">
      <c r="A171" t="s">
        <v>983</v>
      </c>
      <c r="B171" t="s">
        <v>436</v>
      </c>
      <c r="C171" t="s">
        <v>437</v>
      </c>
      <c r="D171" t="s">
        <v>438</v>
      </c>
      <c r="E171" t="s">
        <v>438</v>
      </c>
      <c r="F171" s="54">
        <v>0.7</v>
      </c>
      <c r="G171" s="4">
        <v>48</v>
      </c>
      <c r="H171" s="81">
        <v>52</v>
      </c>
      <c r="I171" t="s">
        <v>984</v>
      </c>
    </row>
    <row r="172" spans="1:9" x14ac:dyDescent="0.25">
      <c r="A172" t="s">
        <v>1086</v>
      </c>
      <c r="B172" t="s">
        <v>436</v>
      </c>
      <c r="C172" t="s">
        <v>451</v>
      </c>
      <c r="D172" t="s">
        <v>438</v>
      </c>
      <c r="E172" t="s">
        <v>1087</v>
      </c>
      <c r="F172" s="54">
        <v>0.72</v>
      </c>
      <c r="G172" s="4">
        <v>48</v>
      </c>
      <c r="H172" s="81">
        <v>56</v>
      </c>
      <c r="I172" t="s">
        <v>1088</v>
      </c>
    </row>
    <row r="173" spans="1:9" x14ac:dyDescent="0.25">
      <c r="A173" t="s">
        <v>1089</v>
      </c>
      <c r="B173" t="s">
        <v>436</v>
      </c>
      <c r="C173" t="s">
        <v>451</v>
      </c>
      <c r="D173" t="s">
        <v>438</v>
      </c>
      <c r="E173" t="s">
        <v>1278</v>
      </c>
      <c r="F173" s="54">
        <v>0.73</v>
      </c>
      <c r="G173" s="4">
        <v>52</v>
      </c>
      <c r="H173" s="81">
        <v>62</v>
      </c>
      <c r="I173" t="s">
        <v>1090</v>
      </c>
    </row>
    <row r="174" spans="1:9" x14ac:dyDescent="0.25">
      <c r="A174" s="20" t="s">
        <v>1315</v>
      </c>
      <c r="B174" t="s">
        <v>511</v>
      </c>
      <c r="C174" t="s">
        <v>934</v>
      </c>
      <c r="D174" t="s">
        <v>1164</v>
      </c>
      <c r="E174" t="s">
        <v>438</v>
      </c>
      <c r="F174" s="54">
        <v>0.7</v>
      </c>
      <c r="G174" s="4">
        <v>63</v>
      </c>
      <c r="H174" s="81">
        <v>72</v>
      </c>
      <c r="I174" t="s">
        <v>1165</v>
      </c>
    </row>
    <row r="175" spans="1:9" x14ac:dyDescent="0.25">
      <c r="A175" t="s">
        <v>586</v>
      </c>
      <c r="B175" t="s">
        <v>511</v>
      </c>
      <c r="C175" t="s">
        <v>587</v>
      </c>
      <c r="D175" t="s">
        <v>445</v>
      </c>
      <c r="E175" t="s">
        <v>445</v>
      </c>
      <c r="F175" s="54"/>
      <c r="G175" s="4">
        <v>57</v>
      </c>
      <c r="H175" s="81">
        <v>77</v>
      </c>
      <c r="I175" t="s">
        <v>588</v>
      </c>
    </row>
    <row r="176" spans="1:9" x14ac:dyDescent="0.25">
      <c r="A176" t="s">
        <v>589</v>
      </c>
      <c r="B176" t="s">
        <v>511</v>
      </c>
      <c r="C176" t="s">
        <v>587</v>
      </c>
      <c r="D176" t="s">
        <v>445</v>
      </c>
      <c r="E176" t="s">
        <v>445</v>
      </c>
      <c r="F176" s="54"/>
      <c r="G176" s="4">
        <v>57</v>
      </c>
      <c r="H176" s="81">
        <v>77</v>
      </c>
      <c r="I176" t="s">
        <v>590</v>
      </c>
    </row>
    <row r="177" spans="1:9" x14ac:dyDescent="0.25">
      <c r="A177" t="s">
        <v>945</v>
      </c>
      <c r="B177" t="s">
        <v>436</v>
      </c>
      <c r="C177" t="s">
        <v>437</v>
      </c>
      <c r="D177" t="s">
        <v>438</v>
      </c>
      <c r="E177" t="s">
        <v>946</v>
      </c>
      <c r="F177" s="54">
        <v>0.80500000000000005</v>
      </c>
      <c r="G177" s="4">
        <v>76</v>
      </c>
      <c r="H177" s="81">
        <v>85</v>
      </c>
      <c r="I177" t="s">
        <v>947</v>
      </c>
    </row>
    <row r="178" spans="1:9" x14ac:dyDescent="0.25">
      <c r="A178" t="s">
        <v>1104</v>
      </c>
      <c r="B178" t="s">
        <v>511</v>
      </c>
      <c r="C178" t="s">
        <v>961</v>
      </c>
      <c r="D178" t="s">
        <v>438</v>
      </c>
      <c r="E178" t="s">
        <v>438</v>
      </c>
      <c r="F178" s="54"/>
      <c r="G178" s="4">
        <v>64</v>
      </c>
      <c r="H178" s="81">
        <v>72</v>
      </c>
      <c r="I178" t="s">
        <v>1105</v>
      </c>
    </row>
    <row r="179" spans="1:9" x14ac:dyDescent="0.25">
      <c r="A179" t="s">
        <v>985</v>
      </c>
      <c r="B179" t="s">
        <v>436</v>
      </c>
      <c r="C179" t="s">
        <v>451</v>
      </c>
      <c r="D179" t="s">
        <v>445</v>
      </c>
      <c r="E179" t="s">
        <v>1276</v>
      </c>
      <c r="F179" s="54">
        <v>0.73</v>
      </c>
      <c r="G179" s="4">
        <v>52</v>
      </c>
      <c r="H179" s="81">
        <v>58</v>
      </c>
      <c r="I179" t="s">
        <v>1279</v>
      </c>
    </row>
    <row r="180" spans="1:9" x14ac:dyDescent="0.25">
      <c r="A180" t="s">
        <v>1138</v>
      </c>
      <c r="B180" t="s">
        <v>436</v>
      </c>
      <c r="C180" t="s">
        <v>444</v>
      </c>
      <c r="D180" t="s">
        <v>447</v>
      </c>
      <c r="E180" t="s">
        <v>445</v>
      </c>
      <c r="F180" s="54"/>
      <c r="G180" s="4">
        <v>68</v>
      </c>
      <c r="H180" s="81">
        <v>72</v>
      </c>
      <c r="I180" t="s">
        <v>1139</v>
      </c>
    </row>
    <row r="181" spans="1:9" x14ac:dyDescent="0.25">
      <c r="A181" t="s">
        <v>948</v>
      </c>
      <c r="B181" t="s">
        <v>436</v>
      </c>
      <c r="C181" t="s">
        <v>949</v>
      </c>
      <c r="D181" t="s">
        <v>445</v>
      </c>
      <c r="E181" t="s">
        <v>445</v>
      </c>
      <c r="F181" s="54"/>
      <c r="G181" s="4">
        <v>65</v>
      </c>
      <c r="H181" s="81">
        <v>70</v>
      </c>
      <c r="I181" t="s">
        <v>950</v>
      </c>
    </row>
    <row r="182" spans="1:9" x14ac:dyDescent="0.25">
      <c r="A182" t="s">
        <v>591</v>
      </c>
      <c r="B182" t="s">
        <v>436</v>
      </c>
      <c r="C182" t="s">
        <v>451</v>
      </c>
      <c r="D182" t="s">
        <v>445</v>
      </c>
      <c r="E182" t="s">
        <v>550</v>
      </c>
      <c r="F182" s="54">
        <v>0.69</v>
      </c>
      <c r="G182" s="4">
        <v>65</v>
      </c>
      <c r="H182" s="81">
        <v>75</v>
      </c>
      <c r="I182" t="s">
        <v>592</v>
      </c>
    </row>
    <row r="183" spans="1:9" x14ac:dyDescent="0.25">
      <c r="A183" t="s">
        <v>593</v>
      </c>
      <c r="B183" t="s">
        <v>511</v>
      </c>
      <c r="C183" t="s">
        <v>934</v>
      </c>
      <c r="D183" t="s">
        <v>445</v>
      </c>
      <c r="E183" t="s">
        <v>445</v>
      </c>
      <c r="F183" s="54">
        <v>0.75</v>
      </c>
      <c r="G183" s="4">
        <v>57</v>
      </c>
      <c r="H183" s="81">
        <v>70</v>
      </c>
      <c r="I183" t="s">
        <v>594</v>
      </c>
    </row>
    <row r="184" spans="1:9" x14ac:dyDescent="0.25">
      <c r="A184" t="s">
        <v>1152</v>
      </c>
      <c r="B184" t="s">
        <v>436</v>
      </c>
      <c r="C184" t="s">
        <v>451</v>
      </c>
      <c r="D184" t="s">
        <v>452</v>
      </c>
      <c r="E184" t="s">
        <v>453</v>
      </c>
      <c r="F184" s="54">
        <v>0.75</v>
      </c>
      <c r="G184" s="4">
        <v>48</v>
      </c>
      <c r="H184" s="81">
        <v>58</v>
      </c>
      <c r="I184" t="s">
        <v>1153</v>
      </c>
    </row>
    <row r="185" spans="1:9" x14ac:dyDescent="0.25">
      <c r="A185" t="s">
        <v>1154</v>
      </c>
      <c r="B185" t="s">
        <v>436</v>
      </c>
      <c r="C185" t="s">
        <v>437</v>
      </c>
      <c r="D185" t="s">
        <v>438</v>
      </c>
      <c r="E185" t="s">
        <v>1155</v>
      </c>
      <c r="F185" s="54">
        <v>0.69</v>
      </c>
      <c r="G185" s="4">
        <v>52</v>
      </c>
      <c r="H185" s="81">
        <v>58</v>
      </c>
      <c r="I185" t="s">
        <v>1156</v>
      </c>
    </row>
    <row r="186" spans="1:9" x14ac:dyDescent="0.25">
      <c r="A186" t="s">
        <v>1091</v>
      </c>
      <c r="B186" t="s">
        <v>436</v>
      </c>
      <c r="C186" t="s">
        <v>437</v>
      </c>
      <c r="D186" t="s">
        <v>438</v>
      </c>
      <c r="E186" t="s">
        <v>1092</v>
      </c>
      <c r="F186" s="54">
        <v>0.69</v>
      </c>
      <c r="G186" s="4">
        <v>50</v>
      </c>
      <c r="H186" s="81">
        <v>55</v>
      </c>
      <c r="I186" t="s">
        <v>1093</v>
      </c>
    </row>
    <row r="187" spans="1:9" x14ac:dyDescent="0.25">
      <c r="A187" t="s">
        <v>951</v>
      </c>
      <c r="B187" t="s">
        <v>436</v>
      </c>
      <c r="C187" t="s">
        <v>949</v>
      </c>
      <c r="D187" t="s">
        <v>445</v>
      </c>
      <c r="E187" t="s">
        <v>447</v>
      </c>
      <c r="F187" s="54">
        <v>0.76</v>
      </c>
      <c r="G187" s="4">
        <v>60</v>
      </c>
      <c r="H187" s="81">
        <v>68</v>
      </c>
      <c r="I187" t="s">
        <v>1236</v>
      </c>
    </row>
    <row r="188" spans="1:9" x14ac:dyDescent="0.25">
      <c r="A188" t="s">
        <v>952</v>
      </c>
      <c r="B188" t="s">
        <v>436</v>
      </c>
      <c r="C188" t="s">
        <v>949</v>
      </c>
      <c r="D188" t="s">
        <v>438</v>
      </c>
      <c r="E188" t="s">
        <v>438</v>
      </c>
      <c r="F188" s="54"/>
      <c r="G188" s="4">
        <v>58</v>
      </c>
      <c r="H188" s="81">
        <v>68</v>
      </c>
      <c r="I188" t="s">
        <v>953</v>
      </c>
    </row>
    <row r="189" spans="1:9" x14ac:dyDescent="0.25">
      <c r="A189" t="s">
        <v>2087</v>
      </c>
      <c r="B189" t="s">
        <v>436</v>
      </c>
      <c r="C189" t="s">
        <v>2088</v>
      </c>
      <c r="D189" t="s">
        <v>441</v>
      </c>
      <c r="E189" t="s">
        <v>2089</v>
      </c>
      <c r="F189" s="54">
        <v>0.8</v>
      </c>
      <c r="G189" s="4">
        <v>72</v>
      </c>
      <c r="H189" s="81">
        <v>98</v>
      </c>
      <c r="I189" t="s">
        <v>2090</v>
      </c>
    </row>
    <row r="190" spans="1:9" x14ac:dyDescent="0.25">
      <c r="A190" t="s">
        <v>2091</v>
      </c>
      <c r="B190" t="s">
        <v>436</v>
      </c>
      <c r="C190" t="s">
        <v>2088</v>
      </c>
      <c r="D190" t="s">
        <v>438</v>
      </c>
      <c r="E190" t="s">
        <v>2092</v>
      </c>
      <c r="F190" s="54">
        <v>0.78500000000000003</v>
      </c>
      <c r="G190" s="4">
        <v>72</v>
      </c>
      <c r="H190" s="81">
        <v>98</v>
      </c>
      <c r="I190" t="s">
        <v>2093</v>
      </c>
    </row>
    <row r="191" spans="1:9" x14ac:dyDescent="0.25">
      <c r="A191" t="s">
        <v>2094</v>
      </c>
      <c r="B191" t="s">
        <v>436</v>
      </c>
      <c r="C191" t="s">
        <v>2088</v>
      </c>
      <c r="D191" t="s">
        <v>445</v>
      </c>
      <c r="E191" t="s">
        <v>2092</v>
      </c>
      <c r="F191" s="54">
        <v>0.78500000000000003</v>
      </c>
      <c r="G191" s="4">
        <v>72</v>
      </c>
      <c r="H191" s="81">
        <v>98</v>
      </c>
      <c r="I191" t="s">
        <v>2095</v>
      </c>
    </row>
    <row r="192" spans="1:9" x14ac:dyDescent="0.25">
      <c r="A192" t="s">
        <v>2096</v>
      </c>
      <c r="B192" t="s">
        <v>436</v>
      </c>
      <c r="C192" t="s">
        <v>2088</v>
      </c>
      <c r="D192" t="s">
        <v>452</v>
      </c>
      <c r="E192" t="s">
        <v>2097</v>
      </c>
      <c r="F192" s="54">
        <v>0.82499999999999996</v>
      </c>
      <c r="G192" s="4">
        <v>70</v>
      </c>
      <c r="H192" s="81">
        <v>95</v>
      </c>
      <c r="I192" t="s">
        <v>2098</v>
      </c>
    </row>
    <row r="193" spans="1:9" x14ac:dyDescent="0.25">
      <c r="A193" s="20" t="s">
        <v>2103</v>
      </c>
      <c r="B193" t="s">
        <v>436</v>
      </c>
      <c r="C193" t="s">
        <v>2088</v>
      </c>
      <c r="D193" t="s">
        <v>452</v>
      </c>
      <c r="E193" s="20" t="s">
        <v>2099</v>
      </c>
      <c r="F193" s="54">
        <v>0.76</v>
      </c>
      <c r="G193" s="4">
        <v>65</v>
      </c>
      <c r="H193" s="81">
        <v>72</v>
      </c>
      <c r="I193" s="20" t="s">
        <v>2100</v>
      </c>
    </row>
    <row r="194" spans="1:9" x14ac:dyDescent="0.25">
      <c r="A194" s="20" t="s">
        <v>2101</v>
      </c>
      <c r="B194" t="s">
        <v>436</v>
      </c>
      <c r="C194" t="s">
        <v>2088</v>
      </c>
      <c r="D194" t="s">
        <v>447</v>
      </c>
      <c r="E194" s="20" t="s">
        <v>1252</v>
      </c>
      <c r="F194" s="54">
        <v>0.75</v>
      </c>
      <c r="G194" s="4">
        <v>64</v>
      </c>
      <c r="H194" s="81">
        <v>75</v>
      </c>
      <c r="I194" s="20" t="s">
        <v>2102</v>
      </c>
    </row>
    <row r="195" spans="1:9" x14ac:dyDescent="0.25">
      <c r="A195" s="20" t="s">
        <v>2104</v>
      </c>
      <c r="B195" t="s">
        <v>436</v>
      </c>
      <c r="C195" t="s">
        <v>2088</v>
      </c>
      <c r="D195" t="s">
        <v>438</v>
      </c>
      <c r="E195" s="20" t="s">
        <v>1284</v>
      </c>
      <c r="F195" s="54">
        <v>0.75</v>
      </c>
      <c r="G195" s="4">
        <v>65</v>
      </c>
      <c r="H195" s="81">
        <v>69</v>
      </c>
      <c r="I195" s="20" t="s">
        <v>2105</v>
      </c>
    </row>
    <row r="196" spans="1:9" x14ac:dyDescent="0.25">
      <c r="A196" s="20" t="s">
        <v>2106</v>
      </c>
      <c r="B196" t="s">
        <v>436</v>
      </c>
      <c r="C196" t="s">
        <v>2088</v>
      </c>
      <c r="D196" t="s">
        <v>447</v>
      </c>
      <c r="E196" s="20" t="s">
        <v>2107</v>
      </c>
      <c r="F196" s="54">
        <v>0.92500000000000004</v>
      </c>
      <c r="G196" s="4">
        <v>75</v>
      </c>
      <c r="H196" s="81">
        <v>85</v>
      </c>
      <c r="I196" s="20" t="s">
        <v>2108</v>
      </c>
    </row>
    <row r="197" spans="1:9" x14ac:dyDescent="0.25">
      <c r="A197" s="20" t="s">
        <v>2109</v>
      </c>
      <c r="B197" t="s">
        <v>436</v>
      </c>
      <c r="C197" t="s">
        <v>2088</v>
      </c>
      <c r="D197" t="s">
        <v>452</v>
      </c>
      <c r="E197" s="20" t="s">
        <v>2110</v>
      </c>
      <c r="F197" s="114">
        <v>0.76500000000000001</v>
      </c>
      <c r="G197" s="4">
        <v>60</v>
      </c>
      <c r="H197" s="81">
        <v>73</v>
      </c>
      <c r="I197" s="20" t="s">
        <v>2111</v>
      </c>
    </row>
    <row r="198" spans="1:9" x14ac:dyDescent="0.25">
      <c r="A198" s="20" t="s">
        <v>2112</v>
      </c>
      <c r="B198" t="s">
        <v>436</v>
      </c>
      <c r="C198" t="s">
        <v>2088</v>
      </c>
      <c r="D198" t="s">
        <v>441</v>
      </c>
      <c r="E198" s="20" t="s">
        <v>2113</v>
      </c>
      <c r="F198" s="114">
        <v>0.75</v>
      </c>
      <c r="G198" s="4">
        <v>64</v>
      </c>
      <c r="H198" s="81">
        <v>72</v>
      </c>
      <c r="I198" s="20" t="s">
        <v>2114</v>
      </c>
    </row>
    <row r="199" spans="1:9" x14ac:dyDescent="0.25">
      <c r="A199" s="20" t="s">
        <v>2115</v>
      </c>
      <c r="B199" t="s">
        <v>436</v>
      </c>
      <c r="C199" t="s">
        <v>2088</v>
      </c>
      <c r="D199" t="s">
        <v>445</v>
      </c>
      <c r="E199" s="20" t="s">
        <v>1728</v>
      </c>
      <c r="F199" s="114">
        <v>0.73</v>
      </c>
      <c r="G199" s="4">
        <v>64</v>
      </c>
      <c r="H199" s="81">
        <v>74</v>
      </c>
      <c r="I199" s="20" t="s">
        <v>2116</v>
      </c>
    </row>
    <row r="200" spans="1:9" x14ac:dyDescent="0.25">
      <c r="A200" s="20" t="s">
        <v>2117</v>
      </c>
      <c r="B200" t="s">
        <v>436</v>
      </c>
      <c r="C200" t="s">
        <v>2088</v>
      </c>
      <c r="D200" s="20" t="s">
        <v>560</v>
      </c>
      <c r="E200" s="20" t="s">
        <v>1289</v>
      </c>
      <c r="F200" s="114">
        <v>0.69</v>
      </c>
      <c r="G200" s="4">
        <v>64</v>
      </c>
      <c r="H200" s="81">
        <v>72</v>
      </c>
      <c r="I200" s="20" t="s">
        <v>2118</v>
      </c>
    </row>
    <row r="201" spans="1:9" x14ac:dyDescent="0.25">
      <c r="A201" s="20" t="s">
        <v>2119</v>
      </c>
      <c r="B201" t="s">
        <v>436</v>
      </c>
      <c r="C201" t="s">
        <v>2088</v>
      </c>
      <c r="D201" t="s">
        <v>438</v>
      </c>
      <c r="E201" s="20" t="s">
        <v>2120</v>
      </c>
      <c r="F201" s="114">
        <v>0.72</v>
      </c>
      <c r="G201" s="4">
        <v>62</v>
      </c>
      <c r="H201" s="81">
        <v>72</v>
      </c>
      <c r="I201" s="20" t="s">
        <v>2121</v>
      </c>
    </row>
    <row r="202" spans="1:9" x14ac:dyDescent="0.25">
      <c r="A202" s="20" t="s">
        <v>2122</v>
      </c>
      <c r="B202" t="s">
        <v>436</v>
      </c>
      <c r="C202" t="s">
        <v>2088</v>
      </c>
      <c r="D202" t="s">
        <v>445</v>
      </c>
      <c r="E202" s="20" t="s">
        <v>2123</v>
      </c>
      <c r="F202" s="114">
        <v>0.78500000000000003</v>
      </c>
      <c r="G202" s="4">
        <v>65</v>
      </c>
      <c r="H202" s="81">
        <v>78</v>
      </c>
      <c r="I202" s="20" t="s">
        <v>2124</v>
      </c>
    </row>
    <row r="203" spans="1:9" x14ac:dyDescent="0.25">
      <c r="A203" s="20" t="s">
        <v>2125</v>
      </c>
      <c r="B203" t="s">
        <v>436</v>
      </c>
      <c r="C203" t="s">
        <v>2088</v>
      </c>
      <c r="D203" t="s">
        <v>438</v>
      </c>
      <c r="E203" s="20" t="s">
        <v>1267</v>
      </c>
      <c r="F203" s="114">
        <v>0.76</v>
      </c>
      <c r="G203" s="4">
        <v>64</v>
      </c>
      <c r="H203" s="81">
        <v>78</v>
      </c>
      <c r="I203" s="20" t="s">
        <v>2126</v>
      </c>
    </row>
    <row r="204" spans="1:9" x14ac:dyDescent="0.25">
      <c r="A204" s="20" t="s">
        <v>2129</v>
      </c>
      <c r="B204" t="s">
        <v>436</v>
      </c>
      <c r="C204" t="s">
        <v>2088</v>
      </c>
      <c r="D204" t="s">
        <v>438</v>
      </c>
      <c r="E204" s="20" t="s">
        <v>1246</v>
      </c>
      <c r="F204" s="114">
        <v>0.76500000000000001</v>
      </c>
      <c r="G204" s="4">
        <v>70</v>
      </c>
      <c r="H204" s="81">
        <v>84</v>
      </c>
      <c r="I204" s="20" t="s">
        <v>2128</v>
      </c>
    </row>
    <row r="205" spans="1:9" x14ac:dyDescent="0.25">
      <c r="A205" s="20" t="s">
        <v>2130</v>
      </c>
      <c r="B205" t="s">
        <v>436</v>
      </c>
      <c r="C205" t="s">
        <v>2088</v>
      </c>
      <c r="D205" t="s">
        <v>447</v>
      </c>
      <c r="E205" s="20" t="s">
        <v>2131</v>
      </c>
      <c r="F205" s="114">
        <v>0.85</v>
      </c>
      <c r="G205" s="4">
        <v>65</v>
      </c>
      <c r="H205" s="81">
        <v>78</v>
      </c>
      <c r="I205" s="20" t="s">
        <v>2132</v>
      </c>
    </row>
    <row r="206" spans="1:9" x14ac:dyDescent="0.25">
      <c r="A206" s="20" t="s">
        <v>2133</v>
      </c>
      <c r="B206" t="s">
        <v>436</v>
      </c>
      <c r="C206" t="s">
        <v>2088</v>
      </c>
      <c r="D206" t="s">
        <v>438</v>
      </c>
      <c r="E206" s="20" t="s">
        <v>1704</v>
      </c>
      <c r="F206" s="114">
        <v>0.74</v>
      </c>
      <c r="G206" s="4">
        <v>51</v>
      </c>
      <c r="H206" s="81">
        <v>62</v>
      </c>
      <c r="I206" s="20" t="s">
        <v>2134</v>
      </c>
    </row>
    <row r="207" spans="1:9" x14ac:dyDescent="0.25">
      <c r="A207" s="20" t="s">
        <v>2135</v>
      </c>
      <c r="B207" t="s">
        <v>436</v>
      </c>
      <c r="C207" t="s">
        <v>2088</v>
      </c>
      <c r="D207" t="s">
        <v>447</v>
      </c>
      <c r="E207" s="20" t="s">
        <v>1249</v>
      </c>
      <c r="F207" s="114">
        <v>0.77500000000000002</v>
      </c>
      <c r="G207" s="4">
        <v>68</v>
      </c>
      <c r="H207" s="81">
        <v>80</v>
      </c>
      <c r="I207" s="20" t="s">
        <v>2136</v>
      </c>
    </row>
    <row r="208" spans="1:9" x14ac:dyDescent="0.25">
      <c r="A208" s="20" t="s">
        <v>2139</v>
      </c>
      <c r="B208" t="s">
        <v>436</v>
      </c>
      <c r="C208" t="s">
        <v>2088</v>
      </c>
      <c r="D208" s="20" t="s">
        <v>1164</v>
      </c>
      <c r="E208" s="20" t="s">
        <v>2137</v>
      </c>
      <c r="F208" s="114">
        <v>0.83</v>
      </c>
      <c r="G208" s="4">
        <v>68</v>
      </c>
      <c r="H208" s="81">
        <v>80</v>
      </c>
      <c r="I208" s="20" t="s">
        <v>2138</v>
      </c>
    </row>
    <row r="209" spans="1:9" x14ac:dyDescent="0.25">
      <c r="A209" s="20" t="s">
        <v>2140</v>
      </c>
      <c r="B209" s="20" t="s">
        <v>436</v>
      </c>
      <c r="C209" t="s">
        <v>2088</v>
      </c>
      <c r="D209" s="20" t="s">
        <v>1164</v>
      </c>
      <c r="E209" s="20" t="s">
        <v>2107</v>
      </c>
      <c r="F209" s="114">
        <v>0.92500000000000004</v>
      </c>
      <c r="G209" s="4">
        <v>68</v>
      </c>
      <c r="H209" s="81">
        <v>80</v>
      </c>
      <c r="I209" s="20" t="s">
        <v>2141</v>
      </c>
    </row>
    <row r="210" spans="1:9" x14ac:dyDescent="0.25">
      <c r="A210" s="20" t="s">
        <v>2142</v>
      </c>
      <c r="B210" t="s">
        <v>436</v>
      </c>
      <c r="C210" t="s">
        <v>2088</v>
      </c>
      <c r="D210" s="20" t="s">
        <v>1164</v>
      </c>
      <c r="E210" s="20" t="s">
        <v>2107</v>
      </c>
      <c r="F210" s="114">
        <v>0.92500000000000004</v>
      </c>
      <c r="G210" s="4">
        <v>68</v>
      </c>
      <c r="H210" s="81">
        <v>80</v>
      </c>
      <c r="I210" s="20" t="s">
        <v>2143</v>
      </c>
    </row>
    <row r="211" spans="1:9" x14ac:dyDescent="0.25">
      <c r="A211" s="20" t="s">
        <v>2144</v>
      </c>
      <c r="B211" t="s">
        <v>436</v>
      </c>
      <c r="C211" t="s">
        <v>2088</v>
      </c>
      <c r="D211" t="s">
        <v>447</v>
      </c>
      <c r="E211" s="20" t="s">
        <v>2107</v>
      </c>
      <c r="F211" s="114">
        <v>0.92500000000000004</v>
      </c>
      <c r="G211" s="4">
        <v>68</v>
      </c>
      <c r="H211" s="81">
        <v>85</v>
      </c>
      <c r="I211" s="20" t="s">
        <v>2145</v>
      </c>
    </row>
    <row r="212" spans="1:9" x14ac:dyDescent="0.25">
      <c r="A212" t="s">
        <v>954</v>
      </c>
      <c r="B212" t="s">
        <v>436</v>
      </c>
      <c r="C212" s="20" t="s">
        <v>437</v>
      </c>
      <c r="D212" t="s">
        <v>438</v>
      </c>
      <c r="E212" t="s">
        <v>438</v>
      </c>
      <c r="F212" s="54"/>
      <c r="G212" s="4">
        <v>66</v>
      </c>
      <c r="H212" s="81">
        <v>70</v>
      </c>
      <c r="I212" t="s">
        <v>955</v>
      </c>
    </row>
    <row r="213" spans="1:9" x14ac:dyDescent="0.25">
      <c r="A213" t="s">
        <v>1071</v>
      </c>
      <c r="B213" t="s">
        <v>436</v>
      </c>
      <c r="C213" t="s">
        <v>949</v>
      </c>
      <c r="E213" t="s">
        <v>438</v>
      </c>
      <c r="F213" s="54"/>
      <c r="G213" s="4">
        <v>68</v>
      </c>
      <c r="H213" s="81">
        <v>74</v>
      </c>
      <c r="I213" t="s">
        <v>1072</v>
      </c>
    </row>
    <row r="214" spans="1:9" x14ac:dyDescent="0.25">
      <c r="A214" t="s">
        <v>595</v>
      </c>
      <c r="B214" t="s">
        <v>436</v>
      </c>
      <c r="C214" t="s">
        <v>437</v>
      </c>
      <c r="D214" t="s">
        <v>445</v>
      </c>
      <c r="E214" t="s">
        <v>552</v>
      </c>
      <c r="F214" s="54">
        <v>0.67500000000000004</v>
      </c>
      <c r="G214" s="4">
        <v>65</v>
      </c>
      <c r="H214" s="81">
        <v>68</v>
      </c>
      <c r="I214" t="s">
        <v>596</v>
      </c>
    </row>
    <row r="215" spans="1:9" x14ac:dyDescent="0.25">
      <c r="A215" t="s">
        <v>1073</v>
      </c>
      <c r="B215" t="s">
        <v>436</v>
      </c>
      <c r="C215" t="s">
        <v>451</v>
      </c>
      <c r="E215" t="s">
        <v>149</v>
      </c>
      <c r="F215" s="54"/>
      <c r="G215" s="4">
        <v>60</v>
      </c>
      <c r="H215" s="81">
        <v>95</v>
      </c>
      <c r="I215" t="s">
        <v>1070</v>
      </c>
    </row>
    <row r="216" spans="1:9" x14ac:dyDescent="0.25">
      <c r="A216" t="s">
        <v>1140</v>
      </c>
      <c r="B216" t="s">
        <v>436</v>
      </c>
      <c r="C216" t="s">
        <v>451</v>
      </c>
      <c r="D216" t="s">
        <v>438</v>
      </c>
      <c r="E216" t="s">
        <v>579</v>
      </c>
      <c r="F216" s="54">
        <v>0.73</v>
      </c>
      <c r="G216" s="4">
        <v>48</v>
      </c>
      <c r="H216" s="81">
        <v>56</v>
      </c>
      <c r="I216" t="s">
        <v>1141</v>
      </c>
    </row>
    <row r="217" spans="1:9" x14ac:dyDescent="0.25">
      <c r="A217" t="s">
        <v>1142</v>
      </c>
      <c r="B217" t="s">
        <v>436</v>
      </c>
      <c r="C217" t="s">
        <v>437</v>
      </c>
      <c r="D217" t="s">
        <v>441</v>
      </c>
      <c r="E217" t="s">
        <v>1143</v>
      </c>
      <c r="F217" s="54">
        <v>0.745</v>
      </c>
      <c r="G217" s="4">
        <v>50</v>
      </c>
      <c r="H217" s="81">
        <v>55</v>
      </c>
      <c r="I217" t="s">
        <v>1144</v>
      </c>
    </row>
    <row r="218" spans="1:9" x14ac:dyDescent="0.25">
      <c r="A218" t="s">
        <v>986</v>
      </c>
      <c r="B218" t="s">
        <v>436</v>
      </c>
      <c r="C218" t="s">
        <v>451</v>
      </c>
      <c r="D218" t="s">
        <v>447</v>
      </c>
      <c r="E218" t="s">
        <v>438</v>
      </c>
      <c r="F218" s="54"/>
      <c r="G218" s="4">
        <v>48</v>
      </c>
      <c r="H218" s="81">
        <v>68</v>
      </c>
      <c r="I218" t="s">
        <v>987</v>
      </c>
    </row>
    <row r="219" spans="1:9" x14ac:dyDescent="0.25">
      <c r="A219" t="s">
        <v>597</v>
      </c>
      <c r="B219" t="s">
        <v>436</v>
      </c>
      <c r="C219" t="s">
        <v>451</v>
      </c>
      <c r="D219" t="s">
        <v>445</v>
      </c>
      <c r="E219" t="s">
        <v>546</v>
      </c>
      <c r="F219" s="54">
        <v>0.7</v>
      </c>
      <c r="G219" s="4">
        <v>64</v>
      </c>
      <c r="H219" s="81">
        <v>74</v>
      </c>
      <c r="I219" t="s">
        <v>598</v>
      </c>
    </row>
    <row r="220" spans="1:9" x14ac:dyDescent="0.25">
      <c r="A220" t="s">
        <v>988</v>
      </c>
      <c r="B220" t="s">
        <v>436</v>
      </c>
      <c r="C220" t="s">
        <v>451</v>
      </c>
      <c r="D220" t="s">
        <v>441</v>
      </c>
      <c r="E220" t="s">
        <v>1272</v>
      </c>
      <c r="F220" s="54">
        <v>0.72</v>
      </c>
      <c r="G220" s="4">
        <v>48</v>
      </c>
      <c r="H220" s="81">
        <v>56</v>
      </c>
      <c r="I220" t="s">
        <v>1280</v>
      </c>
    </row>
    <row r="221" spans="1:9" x14ac:dyDescent="0.25">
      <c r="A221" t="s">
        <v>1074</v>
      </c>
      <c r="B221" t="s">
        <v>436</v>
      </c>
      <c r="C221" t="s">
        <v>451</v>
      </c>
      <c r="D221" t="s">
        <v>150</v>
      </c>
      <c r="E221" t="s">
        <v>1281</v>
      </c>
      <c r="F221" s="54">
        <v>0.8</v>
      </c>
      <c r="G221" s="4">
        <v>65</v>
      </c>
      <c r="H221" s="81">
        <v>85</v>
      </c>
      <c r="I221" t="s">
        <v>1282</v>
      </c>
    </row>
    <row r="222" spans="1:9" ht="26.4" x14ac:dyDescent="0.25">
      <c r="A222" t="s">
        <v>1292</v>
      </c>
      <c r="B222" t="s">
        <v>511</v>
      </c>
      <c r="C222" t="s">
        <v>554</v>
      </c>
      <c r="E222" s="44"/>
      <c r="F222" s="54">
        <v>0.9</v>
      </c>
      <c r="G222" s="4">
        <v>64.400000000000006</v>
      </c>
      <c r="H222" s="81">
        <v>82.4</v>
      </c>
      <c r="I222" s="78" t="s">
        <v>1293</v>
      </c>
    </row>
    <row r="223" spans="1:9" ht="26.4" x14ac:dyDescent="0.25">
      <c r="A223" t="s">
        <v>1308</v>
      </c>
      <c r="B223" t="s">
        <v>511</v>
      </c>
      <c r="C223" t="s">
        <v>554</v>
      </c>
      <c r="E223" s="44"/>
      <c r="F223" s="54">
        <v>0.82</v>
      </c>
      <c r="G223" s="4">
        <v>59</v>
      </c>
      <c r="H223" s="81">
        <v>68</v>
      </c>
      <c r="I223" s="78" t="s">
        <v>1309</v>
      </c>
    </row>
    <row r="224" spans="1:9" ht="39.6" x14ac:dyDescent="0.25">
      <c r="A224" t="s">
        <v>1306</v>
      </c>
      <c r="B224" t="s">
        <v>511</v>
      </c>
      <c r="C224" t="s">
        <v>554</v>
      </c>
      <c r="E224" s="44"/>
      <c r="F224" s="54"/>
      <c r="G224" s="4">
        <v>59</v>
      </c>
      <c r="H224" s="81">
        <v>77</v>
      </c>
      <c r="I224" s="78" t="s">
        <v>1307</v>
      </c>
    </row>
    <row r="225" spans="1:9" ht="26.4" x14ac:dyDescent="0.25">
      <c r="A225" t="s">
        <v>1304</v>
      </c>
      <c r="B225" t="s">
        <v>511</v>
      </c>
      <c r="C225" t="s">
        <v>554</v>
      </c>
      <c r="E225" s="44"/>
      <c r="F225" s="54">
        <v>0.81</v>
      </c>
      <c r="G225" s="4">
        <v>59</v>
      </c>
      <c r="H225" s="81">
        <v>68</v>
      </c>
      <c r="I225" s="78" t="s">
        <v>1305</v>
      </c>
    </row>
    <row r="226" spans="1:9" ht="39.6" x14ac:dyDescent="0.25">
      <c r="A226" t="s">
        <v>1294</v>
      </c>
      <c r="B226" t="s">
        <v>511</v>
      </c>
      <c r="C226" t="s">
        <v>554</v>
      </c>
      <c r="E226" s="44"/>
      <c r="F226" s="54">
        <v>0.79</v>
      </c>
      <c r="G226" s="4">
        <v>59</v>
      </c>
      <c r="H226" s="81">
        <v>68</v>
      </c>
      <c r="I226" s="78" t="s">
        <v>1295</v>
      </c>
    </row>
    <row r="227" spans="1:9" ht="39.6" x14ac:dyDescent="0.25">
      <c r="A227" t="s">
        <v>1299</v>
      </c>
      <c r="B227" t="s">
        <v>511</v>
      </c>
      <c r="C227" t="s">
        <v>554</v>
      </c>
      <c r="E227" s="44"/>
      <c r="F227" s="54">
        <v>0.75</v>
      </c>
      <c r="G227" s="4">
        <v>59</v>
      </c>
      <c r="H227" s="81">
        <v>68</v>
      </c>
      <c r="I227" s="78" t="s">
        <v>1300</v>
      </c>
    </row>
    <row r="228" spans="1:9" ht="26.4" x14ac:dyDescent="0.25">
      <c r="A228" t="s">
        <v>1297</v>
      </c>
      <c r="B228" t="s">
        <v>511</v>
      </c>
      <c r="C228" t="s">
        <v>554</v>
      </c>
      <c r="E228" s="44"/>
      <c r="F228" s="54">
        <v>0.75</v>
      </c>
      <c r="G228" s="4">
        <v>59</v>
      </c>
      <c r="H228" s="81">
        <v>68</v>
      </c>
      <c r="I228" s="78" t="s">
        <v>1298</v>
      </c>
    </row>
    <row r="229" spans="1:9" ht="26.4" x14ac:dyDescent="0.25">
      <c r="A229" t="s">
        <v>1296</v>
      </c>
      <c r="B229" t="s">
        <v>511</v>
      </c>
      <c r="C229" t="s">
        <v>554</v>
      </c>
      <c r="D229" t="s">
        <v>438</v>
      </c>
      <c r="E229" t="s">
        <v>445</v>
      </c>
      <c r="F229" s="54">
        <v>0.81</v>
      </c>
      <c r="G229" s="4">
        <v>64</v>
      </c>
      <c r="H229" s="81">
        <v>82</v>
      </c>
      <c r="I229" s="78" t="s">
        <v>1291</v>
      </c>
    </row>
    <row r="230" spans="1:9" x14ac:dyDescent="0.25">
      <c r="A230" t="s">
        <v>1166</v>
      </c>
      <c r="B230" t="s">
        <v>511</v>
      </c>
      <c r="C230" t="s">
        <v>554</v>
      </c>
      <c r="D230" t="s">
        <v>445</v>
      </c>
      <c r="E230" t="s">
        <v>445</v>
      </c>
      <c r="F230" s="54">
        <v>0.86</v>
      </c>
      <c r="G230" s="4">
        <v>64</v>
      </c>
      <c r="H230" s="81">
        <v>75</v>
      </c>
      <c r="I230" t="s">
        <v>1167</v>
      </c>
    </row>
    <row r="231" spans="1:9" ht="26.4" x14ac:dyDescent="0.25">
      <c r="A231" t="s">
        <v>1310</v>
      </c>
      <c r="B231" t="s">
        <v>511</v>
      </c>
      <c r="C231" t="s">
        <v>554</v>
      </c>
      <c r="E231" s="44"/>
      <c r="F231" s="54">
        <v>0.84</v>
      </c>
      <c r="G231" s="4">
        <v>53.6</v>
      </c>
      <c r="H231" s="81">
        <v>59</v>
      </c>
      <c r="I231" s="78" t="s">
        <v>1311</v>
      </c>
    </row>
    <row r="232" spans="1:9" x14ac:dyDescent="0.25">
      <c r="A232" t="s">
        <v>1303</v>
      </c>
      <c r="B232" t="s">
        <v>511</v>
      </c>
      <c r="C232" t="s">
        <v>554</v>
      </c>
      <c r="D232" t="s">
        <v>441</v>
      </c>
      <c r="E232" s="44">
        <v>0.8</v>
      </c>
      <c r="F232" s="54">
        <v>0.8</v>
      </c>
      <c r="G232" s="4">
        <v>48</v>
      </c>
      <c r="H232" s="81">
        <v>59</v>
      </c>
      <c r="I232" t="s">
        <v>1145</v>
      </c>
    </row>
    <row r="233" spans="1:9" x14ac:dyDescent="0.25">
      <c r="A233" t="s">
        <v>1302</v>
      </c>
      <c r="B233" t="s">
        <v>511</v>
      </c>
      <c r="C233" t="s">
        <v>554</v>
      </c>
      <c r="D233" t="s">
        <v>445</v>
      </c>
      <c r="E233" t="s">
        <v>445</v>
      </c>
      <c r="F233" s="54">
        <v>0.83</v>
      </c>
      <c r="G233" s="4">
        <v>54</v>
      </c>
      <c r="H233" s="81">
        <v>59</v>
      </c>
      <c r="I233" t="s">
        <v>989</v>
      </c>
    </row>
    <row r="234" spans="1:9" x14ac:dyDescent="0.25">
      <c r="A234" t="s">
        <v>1233</v>
      </c>
      <c r="B234" t="s">
        <v>436</v>
      </c>
      <c r="C234" t="s">
        <v>949</v>
      </c>
      <c r="D234" t="s">
        <v>438</v>
      </c>
      <c r="E234" t="s">
        <v>438</v>
      </c>
      <c r="F234" s="54">
        <v>0.8</v>
      </c>
      <c r="G234" s="4">
        <v>75</v>
      </c>
      <c r="H234" s="81">
        <v>85</v>
      </c>
      <c r="I234" t="s">
        <v>1234</v>
      </c>
    </row>
    <row r="235" spans="1:9" x14ac:dyDescent="0.25">
      <c r="A235" t="s">
        <v>1231</v>
      </c>
      <c r="B235" t="s">
        <v>436</v>
      </c>
      <c r="C235" t="s">
        <v>949</v>
      </c>
      <c r="D235" t="s">
        <v>438</v>
      </c>
      <c r="E235" t="s">
        <v>438</v>
      </c>
      <c r="F235" s="54">
        <v>0.77</v>
      </c>
      <c r="G235" s="4">
        <v>75</v>
      </c>
      <c r="H235" s="81">
        <v>82</v>
      </c>
      <c r="I235" t="s">
        <v>1239</v>
      </c>
    </row>
    <row r="236" spans="1:9" x14ac:dyDescent="0.25">
      <c r="A236" t="s">
        <v>956</v>
      </c>
      <c r="B236" t="s">
        <v>436</v>
      </c>
      <c r="C236" t="s">
        <v>437</v>
      </c>
      <c r="D236" t="s">
        <v>441</v>
      </c>
      <c r="E236" t="s">
        <v>445</v>
      </c>
      <c r="F236" s="54">
        <v>0.75</v>
      </c>
      <c r="G236" s="4">
        <v>65</v>
      </c>
      <c r="H236" s="81">
        <v>68</v>
      </c>
      <c r="I236" t="s">
        <v>957</v>
      </c>
    </row>
    <row r="237" spans="1:9" x14ac:dyDescent="0.25">
      <c r="A237" t="s">
        <v>599</v>
      </c>
      <c r="B237" t="s">
        <v>436</v>
      </c>
      <c r="C237" t="s">
        <v>437</v>
      </c>
      <c r="D237" t="s">
        <v>445</v>
      </c>
      <c r="E237" t="s">
        <v>552</v>
      </c>
      <c r="F237" s="54">
        <v>0.67500000000000004</v>
      </c>
      <c r="G237" s="4">
        <v>58</v>
      </c>
      <c r="H237" s="81">
        <v>65</v>
      </c>
      <c r="I237" t="s">
        <v>600</v>
      </c>
    </row>
    <row r="238" spans="1:9" x14ac:dyDescent="0.25">
      <c r="A238" t="s">
        <v>1159</v>
      </c>
      <c r="B238" t="s">
        <v>436</v>
      </c>
      <c r="C238" t="s">
        <v>437</v>
      </c>
      <c r="D238" t="s">
        <v>438</v>
      </c>
      <c r="E238" t="s">
        <v>439</v>
      </c>
      <c r="F238" s="54">
        <v>0.77500000000000002</v>
      </c>
      <c r="G238" s="4">
        <v>72</v>
      </c>
      <c r="H238" s="81">
        <v>77</v>
      </c>
      <c r="I238" t="s">
        <v>1160</v>
      </c>
    </row>
    <row r="239" spans="1:9" x14ac:dyDescent="0.25">
      <c r="A239" t="s">
        <v>601</v>
      </c>
      <c r="B239" t="s">
        <v>436</v>
      </c>
      <c r="C239" t="s">
        <v>451</v>
      </c>
      <c r="D239" t="s">
        <v>445</v>
      </c>
      <c r="E239" t="s">
        <v>602</v>
      </c>
      <c r="F239" s="54">
        <v>0.71</v>
      </c>
      <c r="G239" s="4">
        <v>55</v>
      </c>
      <c r="H239" s="81">
        <v>75</v>
      </c>
      <c r="I239" t="s">
        <v>603</v>
      </c>
    </row>
    <row r="240" spans="1:9" x14ac:dyDescent="0.25">
      <c r="A240" t="s">
        <v>992</v>
      </c>
      <c r="B240" t="s">
        <v>436</v>
      </c>
      <c r="C240" t="s">
        <v>949</v>
      </c>
      <c r="D240" t="s">
        <v>438</v>
      </c>
      <c r="E240" t="s">
        <v>1228</v>
      </c>
      <c r="F240" s="54">
        <v>0.78500000000000003</v>
      </c>
      <c r="G240" s="4">
        <v>60</v>
      </c>
      <c r="H240" s="81">
        <v>68</v>
      </c>
      <c r="I240" t="s">
        <v>1232</v>
      </c>
    </row>
    <row r="241" spans="1:9" x14ac:dyDescent="0.25">
      <c r="A241" t="s">
        <v>1242</v>
      </c>
      <c r="B241" t="s">
        <v>436</v>
      </c>
      <c r="C241" t="s">
        <v>949</v>
      </c>
      <c r="F241" s="54">
        <v>0.75</v>
      </c>
      <c r="G241" s="4">
        <v>62</v>
      </c>
      <c r="H241" s="81">
        <v>68</v>
      </c>
      <c r="I241" t="s">
        <v>1243</v>
      </c>
    </row>
    <row r="242" spans="1:9" x14ac:dyDescent="0.25">
      <c r="A242" t="s">
        <v>1094</v>
      </c>
      <c r="B242" t="s">
        <v>436</v>
      </c>
      <c r="C242" t="s">
        <v>437</v>
      </c>
      <c r="D242" t="s">
        <v>441</v>
      </c>
      <c r="E242" t="s">
        <v>1095</v>
      </c>
      <c r="F242" s="54">
        <v>0.72</v>
      </c>
      <c r="G242" s="4">
        <v>50</v>
      </c>
      <c r="H242" s="81">
        <v>55</v>
      </c>
      <c r="I242" t="s">
        <v>1096</v>
      </c>
    </row>
    <row r="243" spans="1:9" x14ac:dyDescent="0.25">
      <c r="A243" t="s">
        <v>1097</v>
      </c>
      <c r="B243" t="s">
        <v>436</v>
      </c>
      <c r="C243" t="s">
        <v>451</v>
      </c>
      <c r="D243" t="s">
        <v>438</v>
      </c>
      <c r="E243" t="s">
        <v>1272</v>
      </c>
      <c r="F243" s="54">
        <v>0.72</v>
      </c>
      <c r="G243" s="4">
        <v>50</v>
      </c>
      <c r="H243" s="81">
        <v>58</v>
      </c>
      <c r="I243" t="s">
        <v>1283</v>
      </c>
    </row>
    <row r="244" spans="1:9" x14ac:dyDescent="0.25">
      <c r="A244" t="s">
        <v>604</v>
      </c>
      <c r="B244" t="s">
        <v>436</v>
      </c>
      <c r="C244" t="s">
        <v>437</v>
      </c>
      <c r="D244" t="s">
        <v>438</v>
      </c>
      <c r="E244" t="s">
        <v>993</v>
      </c>
      <c r="F244" s="54">
        <v>0.82</v>
      </c>
      <c r="G244" s="4">
        <v>65</v>
      </c>
      <c r="H244" s="81">
        <v>69</v>
      </c>
      <c r="I244" t="s">
        <v>605</v>
      </c>
    </row>
    <row r="245" spans="1:9" x14ac:dyDescent="0.25">
      <c r="A245" t="s">
        <v>994</v>
      </c>
      <c r="B245" t="s">
        <v>436</v>
      </c>
      <c r="C245" t="s">
        <v>437</v>
      </c>
      <c r="D245" t="s">
        <v>438</v>
      </c>
      <c r="E245" t="s">
        <v>439</v>
      </c>
      <c r="F245" s="54">
        <v>0.77500000000000002</v>
      </c>
      <c r="G245" s="4">
        <v>75</v>
      </c>
      <c r="H245" s="81">
        <v>79</v>
      </c>
      <c r="I245" t="s">
        <v>995</v>
      </c>
    </row>
    <row r="246" spans="1:9" x14ac:dyDescent="0.25">
      <c r="A246" t="s">
        <v>606</v>
      </c>
      <c r="B246" t="s">
        <v>436</v>
      </c>
      <c r="C246" t="s">
        <v>451</v>
      </c>
      <c r="D246" t="s">
        <v>438</v>
      </c>
      <c r="E246" t="s">
        <v>458</v>
      </c>
      <c r="F246" s="54">
        <v>0.74</v>
      </c>
      <c r="G246" s="4">
        <v>62</v>
      </c>
      <c r="H246" s="81">
        <v>72</v>
      </c>
      <c r="I246" t="s">
        <v>607</v>
      </c>
    </row>
    <row r="247" spans="1:9" x14ac:dyDescent="0.25">
      <c r="A247" t="s">
        <v>1106</v>
      </c>
      <c r="B247" t="s">
        <v>436</v>
      </c>
      <c r="C247" t="s">
        <v>451</v>
      </c>
      <c r="D247" t="s">
        <v>445</v>
      </c>
      <c r="E247" t="s">
        <v>1284</v>
      </c>
      <c r="F247" s="54">
        <v>0.75</v>
      </c>
      <c r="G247" s="4">
        <v>60</v>
      </c>
      <c r="H247" s="81">
        <v>70</v>
      </c>
      <c r="I247" t="s">
        <v>1285</v>
      </c>
    </row>
    <row r="248" spans="1:9" x14ac:dyDescent="0.25">
      <c r="A248" t="s">
        <v>1031</v>
      </c>
      <c r="B248" t="s">
        <v>511</v>
      </c>
      <c r="C248" t="s">
        <v>943</v>
      </c>
      <c r="D248" t="s">
        <v>438</v>
      </c>
      <c r="E248" t="s">
        <v>439</v>
      </c>
      <c r="F248" s="54">
        <v>0.77500000000000002</v>
      </c>
      <c r="G248" s="4">
        <v>66</v>
      </c>
      <c r="H248" s="81">
        <v>72</v>
      </c>
      <c r="I248" t="s">
        <v>1032</v>
      </c>
    </row>
    <row r="249" spans="1:9" x14ac:dyDescent="0.25">
      <c r="A249" t="s">
        <v>958</v>
      </c>
      <c r="B249" t="s">
        <v>511</v>
      </c>
      <c r="C249" t="s">
        <v>943</v>
      </c>
      <c r="D249" t="s">
        <v>445</v>
      </c>
      <c r="E249" t="s">
        <v>532</v>
      </c>
      <c r="F249" s="54">
        <v>0.75</v>
      </c>
      <c r="G249" s="4">
        <v>68</v>
      </c>
      <c r="H249" s="81">
        <v>75</v>
      </c>
      <c r="I249" t="s">
        <v>959</v>
      </c>
    </row>
    <row r="250" spans="1:9" x14ac:dyDescent="0.25">
      <c r="A250" t="s">
        <v>608</v>
      </c>
      <c r="B250" t="s">
        <v>436</v>
      </c>
      <c r="C250" t="s">
        <v>444</v>
      </c>
      <c r="D250" t="s">
        <v>438</v>
      </c>
      <c r="E250" t="s">
        <v>445</v>
      </c>
      <c r="F250" s="54"/>
      <c r="G250" s="4">
        <v>64</v>
      </c>
      <c r="H250" s="81">
        <v>72</v>
      </c>
      <c r="I250" t="s">
        <v>1033</v>
      </c>
    </row>
    <row r="251" spans="1:9" x14ac:dyDescent="0.25">
      <c r="A251" t="s">
        <v>609</v>
      </c>
      <c r="B251" t="s">
        <v>436</v>
      </c>
      <c r="C251" t="s">
        <v>437</v>
      </c>
      <c r="D251" t="s">
        <v>452</v>
      </c>
      <c r="E251" t="s">
        <v>439</v>
      </c>
      <c r="F251" s="54">
        <v>0.77500000000000002</v>
      </c>
      <c r="G251" s="4">
        <v>65</v>
      </c>
      <c r="H251" s="81">
        <v>72</v>
      </c>
      <c r="I251" t="s">
        <v>610</v>
      </c>
    </row>
    <row r="252" spans="1:9" x14ac:dyDescent="0.25">
      <c r="A252" t="s">
        <v>611</v>
      </c>
      <c r="B252" t="s">
        <v>436</v>
      </c>
      <c r="C252" t="s">
        <v>451</v>
      </c>
      <c r="D252" t="s">
        <v>438</v>
      </c>
      <c r="E252" t="s">
        <v>464</v>
      </c>
      <c r="F252" s="54">
        <v>0.76</v>
      </c>
      <c r="G252" s="4">
        <v>64</v>
      </c>
      <c r="H252" s="81">
        <v>78</v>
      </c>
      <c r="I252" t="s">
        <v>612</v>
      </c>
    </row>
    <row r="253" spans="1:9" x14ac:dyDescent="0.25">
      <c r="A253" t="s">
        <v>1286</v>
      </c>
      <c r="B253" t="s">
        <v>436</v>
      </c>
      <c r="C253" t="s">
        <v>451</v>
      </c>
      <c r="D253" t="s">
        <v>438</v>
      </c>
      <c r="E253" t="s">
        <v>1287</v>
      </c>
      <c r="F253" s="54">
        <v>0.77500000000000002</v>
      </c>
      <c r="G253" s="4">
        <v>68</v>
      </c>
      <c r="H253" s="81">
        <v>85</v>
      </c>
      <c r="I253" t="s">
        <v>1288</v>
      </c>
    </row>
    <row r="254" spans="1:9" x14ac:dyDescent="0.25">
      <c r="A254" t="s">
        <v>1146</v>
      </c>
      <c r="B254" t="s">
        <v>436</v>
      </c>
      <c r="C254" t="s">
        <v>451</v>
      </c>
      <c r="D254" t="s">
        <v>441</v>
      </c>
      <c r="E254" t="s">
        <v>458</v>
      </c>
      <c r="F254" s="54">
        <v>0.74</v>
      </c>
      <c r="G254" s="4">
        <v>48</v>
      </c>
      <c r="H254" s="81">
        <v>56</v>
      </c>
      <c r="I254" t="s">
        <v>1147</v>
      </c>
    </row>
    <row r="255" spans="1:9" x14ac:dyDescent="0.25">
      <c r="A255" t="s">
        <v>960</v>
      </c>
      <c r="B255" t="s">
        <v>511</v>
      </c>
      <c r="C255" t="s">
        <v>961</v>
      </c>
      <c r="D255" t="s">
        <v>445</v>
      </c>
      <c r="E255" t="s">
        <v>445</v>
      </c>
      <c r="F255" s="54"/>
      <c r="G255" s="4">
        <v>59</v>
      </c>
      <c r="H255" s="81">
        <v>74</v>
      </c>
      <c r="I255" t="s">
        <v>962</v>
      </c>
    </row>
    <row r="256" spans="1:9" x14ac:dyDescent="0.25">
      <c r="A256" s="20" t="s">
        <v>1739</v>
      </c>
      <c r="B256" s="20" t="s">
        <v>436</v>
      </c>
      <c r="C256" s="20" t="s">
        <v>1680</v>
      </c>
      <c r="D256" s="20" t="s">
        <v>447</v>
      </c>
      <c r="E256" s="20" t="s">
        <v>1287</v>
      </c>
      <c r="F256" s="114">
        <v>0.77500000000000002</v>
      </c>
      <c r="G256" s="4">
        <v>64</v>
      </c>
      <c r="H256" s="81">
        <v>74</v>
      </c>
      <c r="I256" s="20" t="s">
        <v>1740</v>
      </c>
    </row>
    <row r="257" spans="1:9" x14ac:dyDescent="0.25">
      <c r="A257" t="s">
        <v>613</v>
      </c>
      <c r="B257" t="s">
        <v>436</v>
      </c>
      <c r="C257" t="s">
        <v>451</v>
      </c>
      <c r="D257" t="s">
        <v>447</v>
      </c>
      <c r="E257" t="s">
        <v>453</v>
      </c>
      <c r="F257" s="54">
        <v>0.75</v>
      </c>
      <c r="G257" s="4">
        <v>64</v>
      </c>
      <c r="H257" s="81">
        <v>75</v>
      </c>
      <c r="I257" t="s">
        <v>614</v>
      </c>
    </row>
    <row r="258" spans="1:9" x14ac:dyDescent="0.25">
      <c r="A258" t="s">
        <v>1107</v>
      </c>
      <c r="B258" t="s">
        <v>436</v>
      </c>
      <c r="C258" t="s">
        <v>451</v>
      </c>
      <c r="D258" t="s">
        <v>445</v>
      </c>
      <c r="E258" t="s">
        <v>1289</v>
      </c>
      <c r="F258" s="54">
        <v>0.69</v>
      </c>
      <c r="G258" s="4">
        <v>64</v>
      </c>
      <c r="H258" s="81">
        <v>72</v>
      </c>
      <c r="I258" t="s">
        <v>1290</v>
      </c>
    </row>
    <row r="259" spans="1:9" x14ac:dyDescent="0.25">
      <c r="A259" t="s">
        <v>615</v>
      </c>
      <c r="B259" t="s">
        <v>436</v>
      </c>
      <c r="C259" t="s">
        <v>451</v>
      </c>
      <c r="D259" t="s">
        <v>445</v>
      </c>
      <c r="E259" t="s">
        <v>546</v>
      </c>
      <c r="F259" s="54">
        <v>0.7</v>
      </c>
      <c r="G259" s="4">
        <v>64</v>
      </c>
      <c r="H259" s="81">
        <v>74</v>
      </c>
      <c r="I259" t="s">
        <v>616</v>
      </c>
    </row>
    <row r="260" spans="1:9" x14ac:dyDescent="0.25">
      <c r="A260" t="s">
        <v>617</v>
      </c>
      <c r="B260" t="s">
        <v>436</v>
      </c>
      <c r="C260" t="s">
        <v>437</v>
      </c>
      <c r="D260" t="s">
        <v>445</v>
      </c>
      <c r="E260" t="s">
        <v>618</v>
      </c>
      <c r="F260" s="54">
        <v>0.7</v>
      </c>
      <c r="G260" s="4">
        <v>66</v>
      </c>
      <c r="H260" s="81">
        <v>70</v>
      </c>
      <c r="I260" t="s">
        <v>619</v>
      </c>
    </row>
    <row r="261" spans="1:9" x14ac:dyDescent="0.25">
      <c r="A261" t="s">
        <v>996</v>
      </c>
      <c r="B261" t="s">
        <v>511</v>
      </c>
      <c r="C261" t="s">
        <v>934</v>
      </c>
      <c r="D261" t="s">
        <v>447</v>
      </c>
      <c r="E261" t="s">
        <v>438</v>
      </c>
      <c r="F261" s="54">
        <v>0.75</v>
      </c>
      <c r="G261" s="4">
        <v>64</v>
      </c>
      <c r="H261" s="81">
        <v>70</v>
      </c>
      <c r="I261" t="s">
        <v>620</v>
      </c>
    </row>
    <row r="262" spans="1:9" x14ac:dyDescent="0.25">
      <c r="A262" t="s">
        <v>963</v>
      </c>
      <c r="B262" t="s">
        <v>511</v>
      </c>
      <c r="C262" t="s">
        <v>961</v>
      </c>
      <c r="D262" t="s">
        <v>438</v>
      </c>
      <c r="E262" t="s">
        <v>445</v>
      </c>
      <c r="F262" s="54"/>
      <c r="G262" s="4">
        <v>59</v>
      </c>
      <c r="H262" s="81">
        <v>68</v>
      </c>
      <c r="I262" t="s">
        <v>964</v>
      </c>
    </row>
    <row r="263" spans="1:9" x14ac:dyDescent="0.25">
      <c r="A263" t="s">
        <v>1115</v>
      </c>
      <c r="B263" t="s">
        <v>511</v>
      </c>
      <c r="C263" t="s">
        <v>943</v>
      </c>
      <c r="D263" t="s">
        <v>438</v>
      </c>
      <c r="E263" t="s">
        <v>496</v>
      </c>
      <c r="F263" s="54">
        <v>0.7</v>
      </c>
      <c r="G263" s="4">
        <v>65</v>
      </c>
      <c r="H263" s="81">
        <v>70</v>
      </c>
      <c r="I263" t="s">
        <v>1116</v>
      </c>
    </row>
    <row r="264" spans="1:9" x14ac:dyDescent="0.25">
      <c r="A264" t="s">
        <v>1108</v>
      </c>
      <c r="B264" t="s">
        <v>436</v>
      </c>
      <c r="C264" t="s">
        <v>437</v>
      </c>
      <c r="D264" t="s">
        <v>445</v>
      </c>
      <c r="E264" t="s">
        <v>447</v>
      </c>
      <c r="F264" s="54">
        <v>0.7</v>
      </c>
      <c r="G264" s="4">
        <v>65</v>
      </c>
      <c r="H264" s="81">
        <v>70</v>
      </c>
      <c r="I264" t="s">
        <v>1109</v>
      </c>
    </row>
    <row r="265" spans="1:9" x14ac:dyDescent="0.25">
      <c r="A265" t="s">
        <v>1148</v>
      </c>
      <c r="B265" t="s">
        <v>436</v>
      </c>
      <c r="C265" t="s">
        <v>437</v>
      </c>
      <c r="D265" t="s">
        <v>438</v>
      </c>
      <c r="E265" t="s">
        <v>532</v>
      </c>
      <c r="F265" s="54">
        <v>0.75</v>
      </c>
      <c r="G265" s="4">
        <v>50</v>
      </c>
      <c r="H265" s="81">
        <v>55</v>
      </c>
      <c r="I265" t="s">
        <v>1149</v>
      </c>
    </row>
  </sheetData>
  <sheetProtection sheet="1" autoFilter="0"/>
  <sortState ref="A1:G680">
    <sortCondition ref="A1:A680"/>
  </sortState>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22E8D-35CB-4E6E-B52E-5B58F1CF2002}">
  <sheetPr codeName="Sheet8"/>
  <dimension ref="A1:G10"/>
  <sheetViews>
    <sheetView workbookViewId="0">
      <selection activeCell="E6" sqref="E6"/>
    </sheetView>
  </sheetViews>
  <sheetFormatPr defaultRowHeight="13.2" x14ac:dyDescent="0.25"/>
  <cols>
    <col min="1" max="1" width="14" bestFit="1" customWidth="1"/>
    <col min="3" max="3" width="7.109375" bestFit="1" customWidth="1"/>
    <col min="5" max="5" width="20.6640625" bestFit="1" customWidth="1"/>
    <col min="7" max="7" width="9.6640625" bestFit="1" customWidth="1"/>
  </cols>
  <sheetData>
    <row r="1" spans="1:7" ht="14.4" x14ac:dyDescent="0.3">
      <c r="A1" s="784" t="s">
        <v>1761</v>
      </c>
      <c r="B1" s="784"/>
      <c r="C1" s="784"/>
      <c r="F1" s="125" t="s">
        <v>100</v>
      </c>
      <c r="G1" s="475" t="s">
        <v>1762</v>
      </c>
    </row>
    <row r="2" spans="1:7" ht="14.4" x14ac:dyDescent="0.3">
      <c r="A2" s="1" t="s">
        <v>1763</v>
      </c>
      <c r="B2" s="476">
        <v>14.74</v>
      </c>
      <c r="C2" s="2" t="s">
        <v>1764</v>
      </c>
      <c r="E2" s="784" t="s">
        <v>1765</v>
      </c>
      <c r="F2" s="784"/>
      <c r="G2" s="784"/>
    </row>
    <row r="3" spans="1:7" x14ac:dyDescent="0.25">
      <c r="A3" s="1" t="s">
        <v>1340</v>
      </c>
      <c r="B3" s="514">
        <f>1+(B2/(258.6-((B2/258.2)*227.1) ) )</f>
        <v>1.0600076319236915</v>
      </c>
      <c r="C3" s="2"/>
      <c r="D3" s="4"/>
      <c r="E3" s="1" t="s">
        <v>1766</v>
      </c>
      <c r="F3" s="476">
        <v>60</v>
      </c>
      <c r="G3" s="2" t="str">
        <f>IF($G$1="Fahrenheit","°F","°C")</f>
        <v>°F</v>
      </c>
    </row>
    <row r="4" spans="1:7" x14ac:dyDescent="0.25">
      <c r="A4" s="1" t="s">
        <v>1767</v>
      </c>
      <c r="B4" s="476">
        <v>204</v>
      </c>
      <c r="C4" s="2" t="s">
        <v>1768</v>
      </c>
      <c r="D4" s="4"/>
      <c r="E4" s="1" t="s">
        <v>1771</v>
      </c>
      <c r="F4" s="476">
        <v>61</v>
      </c>
      <c r="G4" s="2" t="str">
        <f>IF($G$1="Fahrenheit","°F","°C")</f>
        <v>°F</v>
      </c>
    </row>
    <row r="5" spans="1:7" x14ac:dyDescent="0.25">
      <c r="A5" s="1" t="s">
        <v>1770</v>
      </c>
      <c r="B5" s="515">
        <f>B4*B2/100</f>
        <v>30.069600000000001</v>
      </c>
      <c r="C5" s="2" t="s">
        <v>1768</v>
      </c>
      <c r="D5" s="4"/>
      <c r="E5" s="1" t="s">
        <v>1769</v>
      </c>
      <c r="F5" s="477">
        <v>1.0580000000000001</v>
      </c>
    </row>
    <row r="6" spans="1:7" x14ac:dyDescent="0.25">
      <c r="A6" s="1" t="s">
        <v>1772</v>
      </c>
      <c r="B6" s="515">
        <f>B4-B5</f>
        <v>173.93039999999999</v>
      </c>
      <c r="C6" s="2" t="s">
        <v>1768</v>
      </c>
      <c r="D6" s="4"/>
      <c r="E6" s="1" t="s">
        <v>1773</v>
      </c>
      <c r="F6" s="516">
        <f>IF(G1="Fahrenheit", (F5*((1.00130346-0.000134722124*F4+0.00000204052596*F4^2-0.00000000232820948*F4^3)/(1.00130346-0.000134722124*F3+0.00000204052596*F3^2-0.00000000232820948*F3^3))), (F5*((1.00130346-0.000134722124*((F4* 9/5)+32)+0.00000204052596*((F4* 9/5)+32)^2-0.00000000232820948*((F4* 9/5)+32)^3)/(1.00130346-0.000134722124*((F3* 9/5)+32)+0.00000204052596*((F3* 9/5)+32)^2-0.00000000232820948*((F3* 9/5)+32)^3))))</f>
        <v>1.0580916333598267</v>
      </c>
    </row>
    <row r="7" spans="1:7" x14ac:dyDescent="0.25">
      <c r="D7" s="4"/>
    </row>
    <row r="8" spans="1:7" x14ac:dyDescent="0.25">
      <c r="A8" s="785" t="s">
        <v>1775</v>
      </c>
      <c r="B8" s="785"/>
      <c r="C8" s="785"/>
      <c r="G8" s="4"/>
    </row>
    <row r="9" spans="1:7" x14ac:dyDescent="0.25">
      <c r="A9" s="1" t="s">
        <v>1774</v>
      </c>
      <c r="B9" s="476">
        <v>14.74</v>
      </c>
      <c r="C9" s="2"/>
    </row>
    <row r="10" spans="1:7" x14ac:dyDescent="0.25">
      <c r="A10" s="1" t="s">
        <v>1340</v>
      </c>
      <c r="B10" s="514">
        <f>(B9/(258.6-((B9/258.2)*227.1))) + 1</f>
        <v>1.0600076319236915</v>
      </c>
      <c r="C10" s="2"/>
    </row>
  </sheetData>
  <sheetProtection sheet="1" objects="1" scenarios="1"/>
  <mergeCells count="3">
    <mergeCell ref="A1:C1"/>
    <mergeCell ref="E2:G2"/>
    <mergeCell ref="A8:C8"/>
  </mergeCells>
  <dataValidations count="1">
    <dataValidation type="list" allowBlank="1" showInputMessage="1" showErrorMessage="1" sqref="G1" xr:uid="{6764B176-84E5-4C8D-A69C-53FCD5E17D8B}">
      <formula1>"Fahrenheit,Celsius"</formula1>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73367-58A2-4F64-8914-45BF88AC12A5}">
  <sheetPr codeName="Sheet17"/>
  <dimension ref="A1:I34"/>
  <sheetViews>
    <sheetView workbookViewId="0">
      <selection activeCell="C2" sqref="C2:C7"/>
    </sheetView>
  </sheetViews>
  <sheetFormatPr defaultRowHeight="14.4" x14ac:dyDescent="0.3"/>
  <cols>
    <col min="1" max="1" width="33.44140625" style="462" bestFit="1" customWidth="1"/>
    <col min="2" max="2" width="5.109375" style="462" customWidth="1"/>
    <col min="3" max="3" width="12" style="462" customWidth="1"/>
    <col min="4" max="4" width="7.6640625" style="462" bestFit="1" customWidth="1"/>
    <col min="5" max="5" width="9.44140625" style="462" customWidth="1"/>
    <col min="6" max="6" width="7.33203125" style="462" bestFit="1" customWidth="1"/>
    <col min="7" max="7" width="8.88671875" style="462"/>
    <col min="8" max="8" width="12" style="462" bestFit="1" customWidth="1"/>
    <col min="9" max="16384" width="8.88671875" style="462"/>
  </cols>
  <sheetData>
    <row r="1" spans="1:6" x14ac:dyDescent="0.3">
      <c r="C1" s="463" t="s">
        <v>1955</v>
      </c>
    </row>
    <row r="2" spans="1:6" ht="16.2" x14ac:dyDescent="0.3">
      <c r="A2" s="462" t="s">
        <v>1956</v>
      </c>
      <c r="B2" s="462" t="s">
        <v>1957</v>
      </c>
      <c r="C2" s="531">
        <v>12</v>
      </c>
      <c r="D2" s="462" t="s">
        <v>1958</v>
      </c>
      <c r="E2" s="464">
        <f>C2*144</f>
        <v>1728</v>
      </c>
      <c r="F2" s="462" t="s">
        <v>1959</v>
      </c>
    </row>
    <row r="3" spans="1:6" x14ac:dyDescent="0.3">
      <c r="A3" s="462" t="s">
        <v>1960</v>
      </c>
      <c r="B3" s="462" t="s">
        <v>1961</v>
      </c>
      <c r="C3" s="532">
        <v>1.01</v>
      </c>
    </row>
    <row r="4" spans="1:6" ht="15.6" x14ac:dyDescent="0.35">
      <c r="A4" s="462" t="s">
        <v>1962</v>
      </c>
      <c r="B4" s="462" t="s">
        <v>1963</v>
      </c>
      <c r="C4" s="533">
        <f>31/12</f>
        <v>2.5833333333333335</v>
      </c>
      <c r="D4" s="462">
        <v>22</v>
      </c>
    </row>
    <row r="5" spans="1:6" x14ac:dyDescent="0.3">
      <c r="A5" s="462" t="s">
        <v>1964</v>
      </c>
      <c r="B5" s="462" t="s">
        <v>511</v>
      </c>
      <c r="C5" s="531">
        <v>0.1875</v>
      </c>
      <c r="D5" s="462" t="s">
        <v>1965</v>
      </c>
      <c r="E5" s="464">
        <f>C5/12</f>
        <v>1.5625E-2</v>
      </c>
      <c r="F5" s="462" t="s">
        <v>1966</v>
      </c>
    </row>
    <row r="6" spans="1:6" x14ac:dyDescent="0.3">
      <c r="A6" s="462" t="s">
        <v>1967</v>
      </c>
      <c r="B6" s="462" t="s">
        <v>1968</v>
      </c>
      <c r="C6" s="534">
        <f>0.0015/25.4*1/12</f>
        <v>4.9212598425196856E-6</v>
      </c>
      <c r="D6" s="462" t="s">
        <v>1966</v>
      </c>
    </row>
    <row r="7" spans="1:6" x14ac:dyDescent="0.3">
      <c r="A7" s="462" t="s">
        <v>1969</v>
      </c>
      <c r="C7" s="531">
        <v>10</v>
      </c>
      <c r="D7" s="462" t="s">
        <v>1970</v>
      </c>
    </row>
    <row r="8" spans="1:6" x14ac:dyDescent="0.3">
      <c r="C8" s="465"/>
    </row>
    <row r="9" spans="1:6" x14ac:dyDescent="0.3">
      <c r="C9" s="466" t="s">
        <v>1971</v>
      </c>
    </row>
    <row r="10" spans="1:6" ht="16.8" x14ac:dyDescent="0.35">
      <c r="A10" s="462" t="s">
        <v>1972</v>
      </c>
      <c r="B10" s="467" t="s">
        <v>1973</v>
      </c>
      <c r="C10" s="468">
        <v>1.94</v>
      </c>
      <c r="D10" s="462" t="s">
        <v>1974</v>
      </c>
      <c r="E10" s="464">
        <f>C10*32.174049</f>
        <v>62.417655059999994</v>
      </c>
      <c r="F10" s="462" t="s">
        <v>1975</v>
      </c>
    </row>
    <row r="11" spans="1:6" ht="16.2" x14ac:dyDescent="0.3">
      <c r="A11" s="462" t="s">
        <v>1976</v>
      </c>
      <c r="B11" s="467" t="s">
        <v>1768</v>
      </c>
      <c r="C11" s="468">
        <f>C3*E10</f>
        <v>63.041831610599992</v>
      </c>
      <c r="D11" s="462" t="s">
        <v>1977</v>
      </c>
    </row>
    <row r="12" spans="1:6" ht="16.2" x14ac:dyDescent="0.3">
      <c r="A12" s="462" t="s">
        <v>1978</v>
      </c>
      <c r="B12" s="462" t="s">
        <v>1979</v>
      </c>
      <c r="C12" s="468">
        <f>PI()*(E5/2)^2</f>
        <v>1.9174759848570515E-4</v>
      </c>
      <c r="D12" s="462" t="s">
        <v>1980</v>
      </c>
    </row>
    <row r="13" spans="1:6" ht="16.2" x14ac:dyDescent="0.3">
      <c r="A13" s="462" t="s">
        <v>1981</v>
      </c>
      <c r="B13" s="462" t="s">
        <v>1982</v>
      </c>
      <c r="C13" s="468">
        <f>0.016710069444/C7</f>
        <v>1.6710069444000001E-3</v>
      </c>
      <c r="D13" s="462" t="s">
        <v>1983</v>
      </c>
    </row>
    <row r="14" spans="1:6" x14ac:dyDescent="0.3">
      <c r="A14" s="462" t="s">
        <v>1984</v>
      </c>
      <c r="B14" s="462" t="s">
        <v>1985</v>
      </c>
      <c r="C14" s="468">
        <f>C13/C12</f>
        <v>8.7146173281777735</v>
      </c>
      <c r="D14" s="462" t="s">
        <v>1986</v>
      </c>
    </row>
    <row r="15" spans="1:6" ht="16.8" x14ac:dyDescent="0.35">
      <c r="A15" s="462" t="s">
        <v>1987</v>
      </c>
      <c r="B15" s="462" t="s">
        <v>1988</v>
      </c>
      <c r="C15" s="468">
        <f>0.00003228*C3</f>
        <v>3.2602800000000006E-5</v>
      </c>
      <c r="D15" s="462" t="s">
        <v>1989</v>
      </c>
    </row>
    <row r="16" spans="1:6" ht="16.2" x14ac:dyDescent="0.3">
      <c r="A16" s="462" t="s">
        <v>1990</v>
      </c>
      <c r="B16" s="467" t="s">
        <v>1991</v>
      </c>
      <c r="C16" s="468">
        <f>C15/C10</f>
        <v>1.6805567010309282E-5</v>
      </c>
      <c r="D16" s="462" t="s">
        <v>1992</v>
      </c>
    </row>
    <row r="17" spans="1:4" x14ac:dyDescent="0.3">
      <c r="A17" s="462" t="s">
        <v>1993</v>
      </c>
      <c r="B17" s="462" t="s">
        <v>1994</v>
      </c>
      <c r="C17" s="468">
        <f>(C13*E5)/(C16*C12)</f>
        <v>8102.4279436241259</v>
      </c>
    </row>
    <row r="18" spans="1:4" x14ac:dyDescent="0.3">
      <c r="A18" s="462" t="s">
        <v>1995</v>
      </c>
      <c r="B18" s="462" t="s">
        <v>1996</v>
      </c>
      <c r="C18" s="468">
        <f>0.25*(LOG10(C6/(3.7*C5)+5.74/C17^0.9))^-2</f>
        <v>3.2888353186781065E-2</v>
      </c>
    </row>
    <row r="19" spans="1:4" ht="15" thickBot="1" x14ac:dyDescent="0.35"/>
    <row r="20" spans="1:4" ht="15.6" thickTop="1" thickBot="1" x14ac:dyDescent="0.35">
      <c r="A20" s="466" t="s">
        <v>1997</v>
      </c>
      <c r="B20" s="469" t="s">
        <v>1998</v>
      </c>
      <c r="C20" s="470">
        <f>(E2/C11-C4)*E5/C18*2*32.2/C14^2</f>
        <v>10.002119249741197</v>
      </c>
      <c r="D20" s="471" t="s">
        <v>1966</v>
      </c>
    </row>
    <row r="21" spans="1:4" ht="15" thickTop="1" x14ac:dyDescent="0.3"/>
    <row r="22" spans="1:4" x14ac:dyDescent="0.3">
      <c r="A22" s="462" t="s">
        <v>1999</v>
      </c>
    </row>
    <row r="23" spans="1:4" x14ac:dyDescent="0.3">
      <c r="A23" s="462" t="s">
        <v>2000</v>
      </c>
    </row>
    <row r="24" spans="1:4" x14ac:dyDescent="0.3">
      <c r="A24" s="462" t="s">
        <v>2001</v>
      </c>
    </row>
    <row r="25" spans="1:4" x14ac:dyDescent="0.3">
      <c r="A25" s="462" t="s">
        <v>2002</v>
      </c>
    </row>
    <row r="26" spans="1:4" x14ac:dyDescent="0.3">
      <c r="A26" s="462" t="s">
        <v>2003</v>
      </c>
    </row>
    <row r="27" spans="1:4" x14ac:dyDescent="0.3">
      <c r="A27" s="462" t="s">
        <v>2004</v>
      </c>
    </row>
    <row r="29" spans="1:4" x14ac:dyDescent="0.3">
      <c r="A29" s="462" t="s">
        <v>2005</v>
      </c>
    </row>
    <row r="30" spans="1:4" x14ac:dyDescent="0.3">
      <c r="A30" s="472" t="s">
        <v>2006</v>
      </c>
    </row>
    <row r="34" spans="7:9" x14ac:dyDescent="0.3">
      <c r="G34" s="473"/>
      <c r="H34" s="474"/>
      <c r="I34" s="474"/>
    </row>
  </sheetData>
  <sheetProtection sheet="1" objects="1" scenarios="1"/>
  <hyperlinks>
    <hyperlink ref="A30" r:id="rId1" xr:uid="{8AEE5514-EDC9-4DF6-AC0F-DECA93F25E0C}"/>
  </hyperlinks>
  <pageMargins left="0.45" right="0.45" top="0.75" bottom="0.75" header="0.3" footer="0.3"/>
  <pageSetup orientation="landscape" horizontalDpi="300" r:id="rId2"/>
  <headerFooter>
    <oddHeader>&amp;C&amp;18Draft System Balancing</oddHeader>
    <oddFooter>&amp;CCourtesy of
BEER-N-BBQ by Larry
YouTube Channel
https://www.youtube.com/c/BEERNBBQBYLARRY</oddFooter>
  </headerFooter>
  <drawing r:id="rId3"/>
  <legacyDrawing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V36"/>
  <sheetViews>
    <sheetView workbookViewId="0">
      <selection activeCell="F2" sqref="F2"/>
    </sheetView>
  </sheetViews>
  <sheetFormatPr defaultRowHeight="13.2" x14ac:dyDescent="0.25"/>
  <cols>
    <col min="1" max="1" width="19.88671875" customWidth="1"/>
    <col min="2" max="2" width="6.6640625" customWidth="1"/>
    <col min="3" max="3" width="10.6640625" customWidth="1"/>
    <col min="4" max="4" width="2.88671875" customWidth="1"/>
    <col min="5" max="5" width="18" customWidth="1"/>
    <col min="6" max="6" width="8.44140625" customWidth="1"/>
    <col min="7" max="7" width="14.5546875" customWidth="1"/>
    <col min="8" max="8" width="4.21875" customWidth="1"/>
    <col min="9" max="9" width="18" customWidth="1"/>
    <col min="10" max="10" width="10.6640625" customWidth="1"/>
    <col min="11" max="11" width="13.5546875" customWidth="1"/>
    <col min="12" max="12" width="6.77734375" customWidth="1"/>
    <col min="13" max="13" width="4.88671875" customWidth="1"/>
    <col min="14" max="14" width="2.6640625" customWidth="1"/>
    <col min="15" max="15" width="9.109375" customWidth="1"/>
    <col min="17" max="17" width="8.5546875" customWidth="1"/>
    <col min="18" max="18" width="8.77734375" customWidth="1"/>
    <col min="19" max="19" width="2.88671875" customWidth="1"/>
    <col min="20" max="20" width="18.109375" customWidth="1"/>
    <col min="21" max="21" width="7.88671875" bestFit="1" customWidth="1"/>
    <col min="22" max="22" width="9" customWidth="1"/>
  </cols>
  <sheetData>
    <row r="1" spans="1:22" ht="15.6" x14ac:dyDescent="0.25">
      <c r="A1" s="787" t="s">
        <v>64</v>
      </c>
      <c r="B1" s="788"/>
      <c r="C1" s="788"/>
      <c r="E1" s="787" t="s">
        <v>61</v>
      </c>
      <c r="F1" s="788"/>
      <c r="G1" s="788"/>
      <c r="I1" s="787" t="s">
        <v>1754</v>
      </c>
      <c r="J1" s="788"/>
      <c r="K1" s="788"/>
      <c r="O1" s="787" t="s">
        <v>37</v>
      </c>
      <c r="P1" s="788"/>
      <c r="Q1" s="788"/>
      <c r="R1" s="798"/>
      <c r="T1" s="787" t="s">
        <v>28</v>
      </c>
      <c r="U1" s="788"/>
      <c r="V1" s="788"/>
    </row>
    <row r="2" spans="1:22" ht="15.6" x14ac:dyDescent="0.35">
      <c r="A2" s="5" t="s">
        <v>38</v>
      </c>
      <c r="B2" s="60">
        <v>0.88</v>
      </c>
      <c r="C2" s="2" t="s">
        <v>15</v>
      </c>
      <c r="E2" s="5" t="s">
        <v>53</v>
      </c>
      <c r="F2" s="60">
        <v>1.73</v>
      </c>
      <c r="G2" s="2" t="s">
        <v>55</v>
      </c>
      <c r="I2" s="5" t="s">
        <v>53</v>
      </c>
      <c r="J2" s="60">
        <v>1.73</v>
      </c>
      <c r="K2" s="2" t="s">
        <v>55</v>
      </c>
      <c r="O2" s="785" t="s">
        <v>19</v>
      </c>
      <c r="P2" s="785"/>
      <c r="Q2" s="801" t="s">
        <v>46</v>
      </c>
      <c r="R2" s="789" t="s">
        <v>65</v>
      </c>
      <c r="T2" s="785" t="s">
        <v>21</v>
      </c>
      <c r="U2" s="790" t="s">
        <v>45</v>
      </c>
      <c r="V2" s="789" t="s">
        <v>35</v>
      </c>
    </row>
    <row r="3" spans="1:22" ht="15.6" x14ac:dyDescent="0.35">
      <c r="A3" s="5" t="s">
        <v>36</v>
      </c>
      <c r="B3" s="60">
        <v>3.6</v>
      </c>
      <c r="C3" s="2" t="s">
        <v>15</v>
      </c>
      <c r="E3" s="5" t="s">
        <v>54</v>
      </c>
      <c r="F3" s="60">
        <v>6.5</v>
      </c>
      <c r="G3" s="2" t="s">
        <v>55</v>
      </c>
      <c r="I3" s="5" t="s">
        <v>54</v>
      </c>
      <c r="J3" s="60">
        <v>6.5</v>
      </c>
      <c r="K3" s="2" t="s">
        <v>55</v>
      </c>
      <c r="O3" s="2" t="s">
        <v>18</v>
      </c>
      <c r="P3" s="2" t="s">
        <v>20</v>
      </c>
      <c r="Q3" s="802"/>
      <c r="R3" s="789"/>
      <c r="T3" s="785"/>
      <c r="U3" s="791"/>
      <c r="V3" s="789"/>
    </row>
    <row r="4" spans="1:22" ht="30" customHeight="1" x14ac:dyDescent="0.25">
      <c r="A4" s="116" t="s">
        <v>1751</v>
      </c>
      <c r="B4" s="117">
        <f>'Recipe Sheet'!T36</f>
        <v>0</v>
      </c>
      <c r="C4" s="117" t="str">
        <f>'Brewhouse Setup &amp; Calcs'!C12</f>
        <v>qt</v>
      </c>
      <c r="E4" s="116" t="s">
        <v>1751</v>
      </c>
      <c r="F4" s="117">
        <f>'Recipe Sheet'!T36</f>
        <v>0</v>
      </c>
      <c r="G4" s="117" t="str">
        <f>'Brewhouse Setup &amp; Calcs'!C12</f>
        <v>qt</v>
      </c>
      <c r="I4" s="116" t="s">
        <v>1751</v>
      </c>
      <c r="J4" s="117">
        <f>'Recipe Sheet'!T36</f>
        <v>0</v>
      </c>
      <c r="K4" s="117" t="str">
        <f>'Brewhouse Setup &amp; Calcs'!C12</f>
        <v>qt</v>
      </c>
      <c r="O4" s="2">
        <v>0</v>
      </c>
      <c r="P4" s="7">
        <f t="shared" ref="P4:P15" si="0">O4*9/5+32</f>
        <v>32</v>
      </c>
      <c r="Q4" s="6">
        <v>3.34</v>
      </c>
      <c r="R4" s="6">
        <v>1.7</v>
      </c>
      <c r="T4" s="1" t="s">
        <v>22</v>
      </c>
      <c r="U4" s="2" t="s">
        <v>47</v>
      </c>
      <c r="V4" s="14" t="s">
        <v>70</v>
      </c>
    </row>
    <row r="5" spans="1:22" ht="16.2" customHeight="1" thickBot="1" x14ac:dyDescent="0.4">
      <c r="A5" s="790" t="s">
        <v>56</v>
      </c>
      <c r="B5" s="118">
        <f>(B3-B2)*'Common Variables'!C14/(2*('Common Variables'!D6*'Common Variables'!D7/'Common Variables'!D8))</f>
        <v>10.18538810444088</v>
      </c>
      <c r="C5" s="119" t="s">
        <v>16</v>
      </c>
      <c r="E5" s="790" t="s">
        <v>56</v>
      </c>
      <c r="F5" s="117">
        <f>(F3-F2)*2.16</f>
        <v>10.3032</v>
      </c>
      <c r="G5" s="2" t="s">
        <v>16</v>
      </c>
      <c r="I5" s="792" t="s">
        <v>1756</v>
      </c>
      <c r="J5" s="118">
        <f>(J$3-J$2)/(0.5*0.91)</f>
        <v>10.483516483516482</v>
      </c>
      <c r="K5" s="119" t="s">
        <v>16</v>
      </c>
      <c r="O5" s="2">
        <v>2</v>
      </c>
      <c r="P5" s="7">
        <f t="shared" si="0"/>
        <v>35.6</v>
      </c>
      <c r="Q5" s="6">
        <v>3.14</v>
      </c>
      <c r="R5" s="6">
        <v>1.6</v>
      </c>
      <c r="T5" s="1" t="s">
        <v>31</v>
      </c>
      <c r="U5" s="2" t="s">
        <v>27</v>
      </c>
      <c r="V5" s="2" t="s">
        <v>23</v>
      </c>
    </row>
    <row r="6" spans="1:22" ht="13.8" thickBot="1" x14ac:dyDescent="0.3">
      <c r="A6" s="793"/>
      <c r="B6" s="122">
        <f>B5*$B$4</f>
        <v>0</v>
      </c>
      <c r="C6" s="115" t="s">
        <v>1753</v>
      </c>
      <c r="E6" s="794"/>
      <c r="F6" s="122">
        <f>F5*$B$4</f>
        <v>0</v>
      </c>
      <c r="G6" s="115" t="s">
        <v>1753</v>
      </c>
      <c r="I6" s="793"/>
      <c r="J6" s="122">
        <f>J5*$B$4</f>
        <v>0</v>
      </c>
      <c r="K6" s="115" t="s">
        <v>1753</v>
      </c>
      <c r="O6" s="2">
        <v>4</v>
      </c>
      <c r="P6" s="7">
        <f t="shared" si="0"/>
        <v>39.200000000000003</v>
      </c>
      <c r="Q6" s="6">
        <v>2.95</v>
      </c>
      <c r="R6" s="6">
        <v>1.5</v>
      </c>
      <c r="T6" s="1" t="s">
        <v>30</v>
      </c>
      <c r="U6" s="2" t="s">
        <v>48</v>
      </c>
      <c r="V6" s="2" t="s">
        <v>24</v>
      </c>
    </row>
    <row r="7" spans="1:22" ht="13.8" thickBot="1" x14ac:dyDescent="0.3">
      <c r="A7" s="794"/>
      <c r="B7" s="120">
        <f>B5/28.34952/1.056688</f>
        <v>0.34000483779648361</v>
      </c>
      <c r="C7" s="14" t="s">
        <v>1752</v>
      </c>
      <c r="E7" s="794"/>
      <c r="F7" s="120">
        <f>F5/28.34952/1.056688</f>
        <v>0.34393759068025542</v>
      </c>
      <c r="G7" s="14" t="s">
        <v>1752</v>
      </c>
      <c r="I7" s="794"/>
      <c r="J7" s="120">
        <f>J5/28.34952/1.056688</f>
        <v>0.34995684847400826</v>
      </c>
      <c r="K7" s="14" t="s">
        <v>1752</v>
      </c>
      <c r="O7" s="2">
        <v>6</v>
      </c>
      <c r="P7" s="7">
        <f t="shared" si="0"/>
        <v>42.8</v>
      </c>
      <c r="Q7" s="6">
        <v>2.75</v>
      </c>
      <c r="R7" s="6">
        <v>1.4</v>
      </c>
      <c r="T7" s="1" t="s">
        <v>29</v>
      </c>
      <c r="U7" s="2" t="s">
        <v>49</v>
      </c>
      <c r="V7" s="14" t="s">
        <v>74</v>
      </c>
    </row>
    <row r="8" spans="1:22" ht="13.8" thickBot="1" x14ac:dyDescent="0.3">
      <c r="A8" s="793"/>
      <c r="B8" s="123">
        <f>$B$4*B7</f>
        <v>0</v>
      </c>
      <c r="C8" s="115" t="s">
        <v>1749</v>
      </c>
      <c r="E8" s="791"/>
      <c r="F8" s="123">
        <f>$B$4*F7</f>
        <v>0</v>
      </c>
      <c r="G8" s="14" t="s">
        <v>1749</v>
      </c>
      <c r="I8" s="793"/>
      <c r="J8" s="123">
        <f>$B$4*J7</f>
        <v>0</v>
      </c>
      <c r="K8" s="115" t="s">
        <v>1749</v>
      </c>
      <c r="O8" s="2">
        <v>8</v>
      </c>
      <c r="P8" s="7">
        <f t="shared" si="0"/>
        <v>46.4</v>
      </c>
      <c r="Q8" s="6">
        <v>2.5499999999999998</v>
      </c>
      <c r="R8" s="6">
        <v>1.3</v>
      </c>
      <c r="T8" s="13" t="s">
        <v>68</v>
      </c>
      <c r="U8" s="2" t="s">
        <v>50</v>
      </c>
      <c r="V8" s="14" t="s">
        <v>72</v>
      </c>
    </row>
    <row r="9" spans="1:22" ht="16.2" customHeight="1" thickBot="1" x14ac:dyDescent="0.4">
      <c r="A9" s="790" t="s">
        <v>57</v>
      </c>
      <c r="B9" s="121">
        <f>B5*1.15</f>
        <v>11.713196320107011</v>
      </c>
      <c r="C9" s="2" t="s">
        <v>16</v>
      </c>
      <c r="E9" s="790" t="s">
        <v>57</v>
      </c>
      <c r="F9" s="117">
        <f>F5*1.15</f>
        <v>11.84868</v>
      </c>
      <c r="G9" s="2" t="s">
        <v>16</v>
      </c>
      <c r="I9" s="795" t="s">
        <v>1757</v>
      </c>
      <c r="J9" s="118">
        <f>(J$3-J$2)/(0.5*0.82*0.8)</f>
        <v>14.542682926829267</v>
      </c>
      <c r="K9" s="2" t="s">
        <v>16</v>
      </c>
      <c r="O9" s="2">
        <v>10</v>
      </c>
      <c r="P9" s="7">
        <f t="shared" si="0"/>
        <v>50</v>
      </c>
      <c r="Q9" s="6">
        <v>2.36</v>
      </c>
      <c r="R9" s="6">
        <v>1.2</v>
      </c>
      <c r="T9" s="13" t="s">
        <v>69</v>
      </c>
      <c r="U9" s="2"/>
      <c r="V9" s="14" t="s">
        <v>73</v>
      </c>
    </row>
    <row r="10" spans="1:22" ht="13.8" thickBot="1" x14ac:dyDescent="0.3">
      <c r="A10" s="794"/>
      <c r="B10" s="122">
        <f>B9*$B$4</f>
        <v>0</v>
      </c>
      <c r="C10" s="14" t="s">
        <v>1753</v>
      </c>
      <c r="E10" s="794"/>
      <c r="F10" s="122">
        <f>F9*$B$4</f>
        <v>0</v>
      </c>
      <c r="G10" s="14" t="s">
        <v>1753</v>
      </c>
      <c r="I10" s="796"/>
      <c r="J10" s="122">
        <f>J9*$B$4</f>
        <v>0</v>
      </c>
      <c r="K10" s="14" t="s">
        <v>1753</v>
      </c>
      <c r="O10" s="2">
        <v>12</v>
      </c>
      <c r="P10" s="7">
        <f t="shared" si="0"/>
        <v>53.6</v>
      </c>
      <c r="Q10" s="6">
        <v>2.2000000000000002</v>
      </c>
      <c r="R10" s="6">
        <v>1.1200000000000001</v>
      </c>
      <c r="T10" s="1" t="s">
        <v>32</v>
      </c>
      <c r="U10" s="2" t="s">
        <v>50</v>
      </c>
      <c r="V10" s="2" t="s">
        <v>25</v>
      </c>
    </row>
    <row r="11" spans="1:22" ht="13.8" thickBot="1" x14ac:dyDescent="0.3">
      <c r="A11" s="794"/>
      <c r="B11" s="65">
        <f>B9/28.34952/1.056688</f>
        <v>0.39100556346595611</v>
      </c>
      <c r="C11" s="14" t="s">
        <v>1752</v>
      </c>
      <c r="E11" s="794"/>
      <c r="F11" s="65">
        <f>F9/28.34952/1.056688</f>
        <v>0.3955282292822937</v>
      </c>
      <c r="G11" s="14" t="s">
        <v>1752</v>
      </c>
      <c r="I11" s="796"/>
      <c r="J11" s="65">
        <f>J9/28.34952/1.056688</f>
        <v>0.48545843309656644</v>
      </c>
      <c r="K11" s="14" t="s">
        <v>1752</v>
      </c>
      <c r="O11" s="2">
        <v>14</v>
      </c>
      <c r="P11" s="7">
        <f t="shared" si="0"/>
        <v>57.2</v>
      </c>
      <c r="Q11" s="6">
        <v>2.06</v>
      </c>
      <c r="R11" s="6">
        <v>1.05</v>
      </c>
      <c r="T11" s="1" t="s">
        <v>33</v>
      </c>
      <c r="U11" s="2" t="s">
        <v>52</v>
      </c>
      <c r="V11" s="2" t="s">
        <v>26</v>
      </c>
    </row>
    <row r="12" spans="1:22" ht="13.8" thickBot="1" x14ac:dyDescent="0.3">
      <c r="A12" s="791"/>
      <c r="B12" s="123">
        <f>$B$4*B11</f>
        <v>0</v>
      </c>
      <c r="C12" s="115" t="s">
        <v>1749</v>
      </c>
      <c r="E12" s="791"/>
      <c r="F12" s="123">
        <f>$B$4*F11</f>
        <v>0</v>
      </c>
      <c r="G12" s="115" t="s">
        <v>1749</v>
      </c>
      <c r="I12" s="797"/>
      <c r="J12" s="123">
        <f>$B$4*J11</f>
        <v>0</v>
      </c>
      <c r="K12" s="115" t="s">
        <v>1749</v>
      </c>
      <c r="O12" s="2">
        <v>16</v>
      </c>
      <c r="P12" s="7">
        <f t="shared" si="0"/>
        <v>60.8</v>
      </c>
      <c r="Q12" s="6">
        <v>1.94</v>
      </c>
      <c r="R12" s="6">
        <v>0.99</v>
      </c>
      <c r="T12" s="1" t="s">
        <v>34</v>
      </c>
      <c r="U12" s="2" t="s">
        <v>51</v>
      </c>
      <c r="V12" s="14" t="s">
        <v>71</v>
      </c>
    </row>
    <row r="13" spans="1:22" ht="15" customHeight="1" thickBot="1" x14ac:dyDescent="0.4">
      <c r="A13" s="799" t="s">
        <v>62</v>
      </c>
      <c r="B13" s="117">
        <f>B5*1.3</f>
        <v>13.241004535773145</v>
      </c>
      <c r="C13" s="2" t="s">
        <v>16</v>
      </c>
      <c r="E13" s="799" t="s">
        <v>62</v>
      </c>
      <c r="F13" s="117">
        <f>F5*1.3</f>
        <v>13.394160000000001</v>
      </c>
      <c r="G13" s="2" t="s">
        <v>16</v>
      </c>
      <c r="O13" s="2">
        <v>18</v>
      </c>
      <c r="P13" s="7">
        <f t="shared" si="0"/>
        <v>64.400000000000006</v>
      </c>
      <c r="Q13" s="6">
        <v>1.83</v>
      </c>
      <c r="R13" s="6">
        <v>0.93</v>
      </c>
      <c r="T13" s="1"/>
      <c r="U13" s="2"/>
      <c r="V13" s="2"/>
    </row>
    <row r="14" spans="1:22" ht="15" customHeight="1" thickBot="1" x14ac:dyDescent="0.3">
      <c r="A14" s="796"/>
      <c r="B14" s="122">
        <f>B13*$B$4</f>
        <v>0</v>
      </c>
      <c r="C14" s="115" t="s">
        <v>1753</v>
      </c>
      <c r="E14" s="796"/>
      <c r="F14" s="122">
        <f>F13*$B$4</f>
        <v>0</v>
      </c>
      <c r="G14" s="115" t="s">
        <v>1753</v>
      </c>
      <c r="O14" s="2">
        <v>20</v>
      </c>
      <c r="P14" s="7">
        <f t="shared" si="0"/>
        <v>68</v>
      </c>
      <c r="Q14" s="6">
        <v>1.73</v>
      </c>
      <c r="R14" s="6">
        <v>0.88</v>
      </c>
      <c r="T14" s="1"/>
      <c r="U14" s="2"/>
      <c r="V14" s="2"/>
    </row>
    <row r="15" spans="1:22" ht="13.8" thickBot="1" x14ac:dyDescent="0.3">
      <c r="A15" s="796"/>
      <c r="B15" s="65">
        <f>B13/28.34952/1.056688</f>
        <v>0.44200628913542872</v>
      </c>
      <c r="C15" s="14" t="s">
        <v>1752</v>
      </c>
      <c r="E15" s="796"/>
      <c r="F15" s="65">
        <f>F13/28.34952/1.056688</f>
        <v>0.44711886788433203</v>
      </c>
      <c r="G15" s="14" t="s">
        <v>1752</v>
      </c>
      <c r="O15" s="2">
        <v>22</v>
      </c>
      <c r="P15" s="7">
        <f t="shared" si="0"/>
        <v>71.599999999999994</v>
      </c>
      <c r="Q15" s="6">
        <v>1.63</v>
      </c>
      <c r="R15" s="6">
        <v>0.83</v>
      </c>
    </row>
    <row r="16" spans="1:22" ht="13.8" thickBot="1" x14ac:dyDescent="0.3">
      <c r="A16" s="797"/>
      <c r="B16" s="123">
        <f>$B$4*B15</f>
        <v>0</v>
      </c>
      <c r="C16" s="115" t="s">
        <v>1749</v>
      </c>
      <c r="E16" s="797"/>
      <c r="F16" s="123">
        <f>$B$4*F15</f>
        <v>0</v>
      </c>
      <c r="G16" s="115" t="s">
        <v>1749</v>
      </c>
    </row>
    <row r="17" spans="1:17" ht="16.2" thickBot="1" x14ac:dyDescent="0.4">
      <c r="A17" s="800" t="s">
        <v>63</v>
      </c>
      <c r="B17" s="117">
        <f>B5*1.4</f>
        <v>14.259543346217232</v>
      </c>
      <c r="C17" s="2" t="s">
        <v>16</v>
      </c>
      <c r="E17" s="800" t="s">
        <v>63</v>
      </c>
      <c r="F17" s="117">
        <f>F5*1.4</f>
        <v>14.424479999999999</v>
      </c>
      <c r="G17" s="2" t="s">
        <v>16</v>
      </c>
      <c r="Q17" s="4"/>
    </row>
    <row r="18" spans="1:17" ht="13.8" thickBot="1" x14ac:dyDescent="0.3">
      <c r="A18" s="800"/>
      <c r="B18" s="122">
        <f>B17*$B$4</f>
        <v>0</v>
      </c>
      <c r="C18" s="115" t="s">
        <v>1753</v>
      </c>
      <c r="E18" s="800"/>
      <c r="F18" s="122">
        <f>F17*$B$4</f>
        <v>0</v>
      </c>
      <c r="G18" s="115" t="s">
        <v>1753</v>
      </c>
      <c r="Q18" s="4"/>
    </row>
    <row r="19" spans="1:17" ht="13.8" thickBot="1" x14ac:dyDescent="0.3">
      <c r="A19" s="800"/>
      <c r="B19" s="65">
        <f>B17/28.34952/1.056688</f>
        <v>0.47600677291507704</v>
      </c>
      <c r="C19" s="2" t="s">
        <v>17</v>
      </c>
      <c r="E19" s="800"/>
      <c r="F19" s="65">
        <f>F17/28.34952/1.056688</f>
        <v>0.48151262695235753</v>
      </c>
      <c r="G19" s="2" t="s">
        <v>17</v>
      </c>
    </row>
    <row r="20" spans="1:17" ht="13.8" thickBot="1" x14ac:dyDescent="0.3">
      <c r="A20" s="800"/>
      <c r="B20" s="123">
        <f>$B$4*B19</f>
        <v>0</v>
      </c>
      <c r="C20" s="115" t="s">
        <v>1749</v>
      </c>
      <c r="E20" s="800"/>
      <c r="F20" s="123">
        <f>$B$4*F19</f>
        <v>0</v>
      </c>
      <c r="G20" s="115" t="s">
        <v>1749</v>
      </c>
    </row>
    <row r="22" spans="1:17" ht="15.6" x14ac:dyDescent="0.25">
      <c r="A22" s="12" t="s">
        <v>58</v>
      </c>
    </row>
    <row r="23" spans="1:17" ht="15.6" x14ac:dyDescent="0.25">
      <c r="A23" s="12" t="s">
        <v>59</v>
      </c>
    </row>
    <row r="24" spans="1:17" ht="15.6" x14ac:dyDescent="0.25">
      <c r="A24" s="12" t="s">
        <v>60</v>
      </c>
    </row>
    <row r="25" spans="1:17" ht="15.6" x14ac:dyDescent="0.25">
      <c r="A25" s="12" t="s">
        <v>1755</v>
      </c>
    </row>
    <row r="32" spans="1:17" x14ac:dyDescent="0.25">
      <c r="E32" s="647" t="s">
        <v>1628</v>
      </c>
      <c r="F32" s="647"/>
      <c r="G32" s="647"/>
    </row>
    <row r="33" spans="5:7" x14ac:dyDescent="0.25">
      <c r="E33" s="786" t="s">
        <v>1629</v>
      </c>
      <c r="F33" s="786"/>
      <c r="G33" s="101">
        <v>2.8</v>
      </c>
    </row>
    <row r="34" spans="5:7" x14ac:dyDescent="0.25">
      <c r="E34" s="786" t="s">
        <v>1630</v>
      </c>
      <c r="F34" s="786"/>
      <c r="G34" s="102">
        <v>38</v>
      </c>
    </row>
    <row r="35" spans="5:7" x14ac:dyDescent="0.25">
      <c r="E35" s="786" t="s">
        <v>1631</v>
      </c>
      <c r="F35" s="786"/>
      <c r="G35" s="103">
        <f xml:space="preserve"> -16.6999 - 0.0101059*G34 + 0.00116512*G34^2 + 0.173354*G34*G33 + 4.24267*G33 - 0.0684226*G33^2</f>
        <v>14.386417496000002</v>
      </c>
    </row>
    <row r="36" spans="5:7" x14ac:dyDescent="0.25">
      <c r="E36" s="98" t="s">
        <v>1632</v>
      </c>
    </row>
  </sheetData>
  <sheetProtection sheet="1" objects="1" scenarios="1"/>
  <mergeCells count="25">
    <mergeCell ref="A1:C1"/>
    <mergeCell ref="O1:R1"/>
    <mergeCell ref="A13:A16"/>
    <mergeCell ref="A17:A20"/>
    <mergeCell ref="A5:A8"/>
    <mergeCell ref="A9:A12"/>
    <mergeCell ref="R2:R3"/>
    <mergeCell ref="E1:G1"/>
    <mergeCell ref="E5:E8"/>
    <mergeCell ref="E9:E12"/>
    <mergeCell ref="E13:E16"/>
    <mergeCell ref="E17:E20"/>
    <mergeCell ref="Q2:Q3"/>
    <mergeCell ref="O2:P2"/>
    <mergeCell ref="E32:G32"/>
    <mergeCell ref="E33:F33"/>
    <mergeCell ref="E34:F34"/>
    <mergeCell ref="E35:F35"/>
    <mergeCell ref="T1:V1"/>
    <mergeCell ref="V2:V3"/>
    <mergeCell ref="T2:T3"/>
    <mergeCell ref="U2:U3"/>
    <mergeCell ref="I1:K1"/>
    <mergeCell ref="I5:I8"/>
    <mergeCell ref="I9:I12"/>
  </mergeCells>
  <phoneticPr fontId="0" type="noConversion"/>
  <hyperlinks>
    <hyperlink ref="E36" r:id="rId1" xr:uid="{00000000-0004-0000-0500-000000000000}"/>
  </hyperlinks>
  <pageMargins left="0.75" right="0.75" top="1" bottom="1" header="0.5" footer="0.5"/>
  <pageSetup scale="96" orientation="landscape" r:id="rId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dimension ref="B1:AI17"/>
  <sheetViews>
    <sheetView topLeftCell="K1" workbookViewId="0">
      <selection activeCell="N27" sqref="N27"/>
    </sheetView>
  </sheetViews>
  <sheetFormatPr defaultRowHeight="13.2" x14ac:dyDescent="0.25"/>
  <cols>
    <col min="1" max="1" width="6.6640625" customWidth="1"/>
    <col min="2" max="2" width="27.33203125" customWidth="1"/>
    <col min="3" max="3" width="25.77734375" bestFit="1" customWidth="1"/>
    <col min="4" max="4" width="26.6640625" bestFit="1" customWidth="1"/>
    <col min="5" max="5" width="29.109375" bestFit="1" customWidth="1"/>
    <col min="6" max="6" width="31.33203125" customWidth="1"/>
    <col min="7" max="7" width="30.21875" bestFit="1" customWidth="1"/>
    <col min="8" max="8" width="29.88671875" bestFit="1" customWidth="1"/>
    <col min="9" max="9" width="24.33203125" bestFit="1" customWidth="1"/>
    <col min="10" max="10" width="25.33203125" bestFit="1" customWidth="1"/>
    <col min="11" max="11" width="24.44140625" bestFit="1" customWidth="1"/>
    <col min="12" max="12" width="17.6640625" bestFit="1" customWidth="1"/>
    <col min="13" max="13" width="29.109375" bestFit="1" customWidth="1"/>
    <col min="14" max="14" width="23.33203125" bestFit="1" customWidth="1"/>
    <col min="15" max="15" width="17.77734375" bestFit="1" customWidth="1"/>
    <col min="16" max="16" width="18.5546875" bestFit="1" customWidth="1"/>
    <col min="17" max="17" width="21.6640625" bestFit="1" customWidth="1"/>
    <col min="18" max="19" width="21.6640625" customWidth="1"/>
    <col min="20" max="20" width="36.109375" bestFit="1" customWidth="1"/>
    <col min="21" max="21" width="30.109375" bestFit="1" customWidth="1"/>
    <col min="22" max="22" width="27.44140625" bestFit="1" customWidth="1"/>
    <col min="23" max="23" width="24.5546875" bestFit="1" customWidth="1"/>
    <col min="24" max="24" width="23" bestFit="1" customWidth="1"/>
    <col min="25" max="25" width="24.5546875" customWidth="1"/>
    <col min="26" max="26" width="27.109375" bestFit="1" customWidth="1"/>
    <col min="27" max="27" width="25.21875" bestFit="1" customWidth="1"/>
    <col min="28" max="28" width="19.44140625" bestFit="1" customWidth="1"/>
    <col min="29" max="29" width="30.6640625" bestFit="1" customWidth="1"/>
    <col min="30" max="30" width="22.5546875" bestFit="1" customWidth="1"/>
    <col min="31" max="31" width="31.33203125" bestFit="1" customWidth="1"/>
    <col min="32" max="32" width="25.21875" customWidth="1"/>
    <col min="33" max="33" width="27.77734375" bestFit="1" customWidth="1"/>
    <col min="34" max="34" width="28" bestFit="1" customWidth="1"/>
    <col min="35" max="35" width="20.44140625" bestFit="1" customWidth="1"/>
  </cols>
  <sheetData>
    <row r="1" spans="2:35" x14ac:dyDescent="0.25">
      <c r="B1" s="20" t="s">
        <v>622</v>
      </c>
      <c r="C1" s="20" t="s">
        <v>627</v>
      </c>
      <c r="D1" s="20" t="s">
        <v>631</v>
      </c>
      <c r="E1" s="20" t="s">
        <v>637</v>
      </c>
      <c r="F1" s="20" t="s">
        <v>640</v>
      </c>
      <c r="G1" s="20" t="s">
        <v>651</v>
      </c>
      <c r="H1" s="20" t="s">
        <v>650</v>
      </c>
      <c r="I1" s="20" t="s">
        <v>655</v>
      </c>
      <c r="J1" s="20" t="s">
        <v>658</v>
      </c>
      <c r="K1" s="20" t="s">
        <v>662</v>
      </c>
      <c r="L1" s="20" t="s">
        <v>666</v>
      </c>
      <c r="M1" s="20" t="s">
        <v>670</v>
      </c>
      <c r="N1" s="20" t="s">
        <v>674</v>
      </c>
      <c r="O1" s="20" t="s">
        <v>678</v>
      </c>
      <c r="P1" s="20" t="s">
        <v>682</v>
      </c>
      <c r="Q1" s="20" t="s">
        <v>686</v>
      </c>
      <c r="R1" s="20" t="s">
        <v>691</v>
      </c>
      <c r="S1" s="20" t="s">
        <v>696</v>
      </c>
      <c r="T1" s="20" t="s">
        <v>699</v>
      </c>
      <c r="U1" s="20" t="s">
        <v>703</v>
      </c>
      <c r="V1" s="20" t="s">
        <v>707</v>
      </c>
      <c r="W1" s="20" t="s">
        <v>716</v>
      </c>
      <c r="X1" s="20" t="s">
        <v>721</v>
      </c>
      <c r="Y1" s="20" t="s">
        <v>728</v>
      </c>
      <c r="Z1" s="20" t="s">
        <v>732</v>
      </c>
      <c r="AA1" s="20" t="s">
        <v>736</v>
      </c>
      <c r="AB1" s="20" t="s">
        <v>741</v>
      </c>
      <c r="AC1" s="20" t="s">
        <v>750</v>
      </c>
      <c r="AD1" s="20" t="s">
        <v>754</v>
      </c>
      <c r="AE1" s="20" t="s">
        <v>758</v>
      </c>
      <c r="AF1" s="20" t="s">
        <v>762</v>
      </c>
      <c r="AG1" s="20" t="s">
        <v>765</v>
      </c>
      <c r="AH1" s="20" t="s">
        <v>768</v>
      </c>
      <c r="AI1" s="20" t="s">
        <v>771</v>
      </c>
    </row>
    <row r="2" spans="2:35" x14ac:dyDescent="0.25">
      <c r="B2" s="20" t="s">
        <v>623</v>
      </c>
      <c r="C2" s="20" t="s">
        <v>628</v>
      </c>
      <c r="D2" s="20" t="s">
        <v>632</v>
      </c>
      <c r="E2" s="20" t="s">
        <v>636</v>
      </c>
      <c r="F2" s="20" t="s">
        <v>641</v>
      </c>
      <c r="G2" s="20" t="s">
        <v>652</v>
      </c>
      <c r="H2" s="20" t="s">
        <v>645</v>
      </c>
      <c r="I2" s="20" t="s">
        <v>656</v>
      </c>
      <c r="J2" s="20" t="s">
        <v>659</v>
      </c>
      <c r="K2" s="20" t="s">
        <v>663</v>
      </c>
      <c r="L2" s="20" t="s">
        <v>667</v>
      </c>
      <c r="M2" s="20" t="s">
        <v>671</v>
      </c>
      <c r="N2" s="20" t="s">
        <v>675</v>
      </c>
      <c r="O2" s="20" t="s">
        <v>679</v>
      </c>
      <c r="P2" s="20" t="s">
        <v>683</v>
      </c>
      <c r="Q2" s="20" t="s">
        <v>687</v>
      </c>
      <c r="R2" s="20" t="s">
        <v>692</v>
      </c>
      <c r="S2" s="20" t="s">
        <v>697</v>
      </c>
      <c r="T2" s="20" t="s">
        <v>700</v>
      </c>
      <c r="U2" s="20" t="s">
        <v>704</v>
      </c>
      <c r="V2" s="20" t="s">
        <v>708</v>
      </c>
      <c r="W2" s="20" t="s">
        <v>717</v>
      </c>
      <c r="X2" s="20" t="s">
        <v>722</v>
      </c>
      <c r="Y2" s="20" t="s">
        <v>729</v>
      </c>
      <c r="Z2" s="20" t="s">
        <v>733</v>
      </c>
      <c r="AA2" s="20" t="s">
        <v>737</v>
      </c>
      <c r="AB2" s="20" t="s">
        <v>742</v>
      </c>
      <c r="AC2" s="20" t="s">
        <v>751</v>
      </c>
      <c r="AD2" s="20" t="s">
        <v>755</v>
      </c>
      <c r="AE2" s="20" t="s">
        <v>759</v>
      </c>
      <c r="AF2" s="20" t="s">
        <v>763</v>
      </c>
      <c r="AG2" s="20" t="s">
        <v>766</v>
      </c>
      <c r="AH2" s="20" t="s">
        <v>769</v>
      </c>
      <c r="AI2" s="20" t="s">
        <v>772</v>
      </c>
    </row>
    <row r="3" spans="2:35" x14ac:dyDescent="0.25">
      <c r="B3" s="20" t="s">
        <v>624</v>
      </c>
      <c r="C3" s="20" t="s">
        <v>629</v>
      </c>
      <c r="D3" s="20" t="s">
        <v>633</v>
      </c>
      <c r="E3" s="20" t="s">
        <v>638</v>
      </c>
      <c r="F3" s="20" t="s">
        <v>642</v>
      </c>
      <c r="G3" s="20" t="s">
        <v>653</v>
      </c>
      <c r="H3" s="20" t="s">
        <v>646</v>
      </c>
      <c r="I3" s="20" t="s">
        <v>657</v>
      </c>
      <c r="J3" s="20" t="s">
        <v>660</v>
      </c>
      <c r="K3" s="20" t="s">
        <v>664</v>
      </c>
      <c r="L3" s="20" t="s">
        <v>668</v>
      </c>
      <c r="M3" s="20" t="s">
        <v>672</v>
      </c>
      <c r="N3" s="20" t="s">
        <v>676</v>
      </c>
      <c r="O3" s="20" t="s">
        <v>680</v>
      </c>
      <c r="P3" s="20" t="s">
        <v>684</v>
      </c>
      <c r="Q3" s="20" t="s">
        <v>688</v>
      </c>
      <c r="R3" s="20" t="s">
        <v>693</v>
      </c>
      <c r="S3" s="20" t="s">
        <v>698</v>
      </c>
      <c r="T3" s="20" t="s">
        <v>701</v>
      </c>
      <c r="U3" s="20" t="s">
        <v>705</v>
      </c>
      <c r="V3" s="20" t="s">
        <v>709</v>
      </c>
      <c r="W3" s="20" t="s">
        <v>718</v>
      </c>
      <c r="X3" s="20" t="s">
        <v>723</v>
      </c>
      <c r="Y3" s="20" t="s">
        <v>730</v>
      </c>
      <c r="Z3" s="20" t="s">
        <v>734</v>
      </c>
      <c r="AA3" s="20" t="s">
        <v>738</v>
      </c>
      <c r="AB3" s="20" t="s">
        <v>743</v>
      </c>
      <c r="AC3" s="20" t="s">
        <v>752</v>
      </c>
      <c r="AD3" s="20" t="s">
        <v>756</v>
      </c>
      <c r="AE3" s="20" t="s">
        <v>760</v>
      </c>
      <c r="AF3" s="20" t="s">
        <v>764</v>
      </c>
      <c r="AG3" s="20" t="s">
        <v>767</v>
      </c>
      <c r="AH3" s="20" t="s">
        <v>770</v>
      </c>
      <c r="AI3" s="20" t="s">
        <v>773</v>
      </c>
    </row>
    <row r="4" spans="2:35" x14ac:dyDescent="0.25">
      <c r="B4" s="20" t="s">
        <v>625</v>
      </c>
      <c r="C4" s="20" t="s">
        <v>630</v>
      </c>
      <c r="D4" s="20" t="s">
        <v>634</v>
      </c>
      <c r="E4" s="20" t="s">
        <v>639</v>
      </c>
      <c r="F4" s="20" t="s">
        <v>643</v>
      </c>
      <c r="G4" s="20" t="s">
        <v>654</v>
      </c>
      <c r="H4" s="20" t="s">
        <v>647</v>
      </c>
      <c r="I4" s="20"/>
      <c r="J4" s="20" t="s">
        <v>661</v>
      </c>
      <c r="K4" s="20" t="s">
        <v>665</v>
      </c>
      <c r="L4" s="20" t="s">
        <v>669</v>
      </c>
      <c r="M4" s="20" t="s">
        <v>673</v>
      </c>
      <c r="N4" s="20" t="s">
        <v>677</v>
      </c>
      <c r="O4" s="20" t="s">
        <v>681</v>
      </c>
      <c r="P4" s="20" t="s">
        <v>685</v>
      </c>
      <c r="Q4" s="20" t="s">
        <v>689</v>
      </c>
      <c r="R4" s="20" t="s">
        <v>694</v>
      </c>
      <c r="S4" s="20"/>
      <c r="T4" s="20" t="s">
        <v>702</v>
      </c>
      <c r="U4" s="20" t="s">
        <v>706</v>
      </c>
      <c r="V4" s="20" t="s">
        <v>710</v>
      </c>
      <c r="W4" s="20" t="s">
        <v>719</v>
      </c>
      <c r="X4" s="20" t="s">
        <v>724</v>
      </c>
      <c r="Y4" s="20" t="s">
        <v>731</v>
      </c>
      <c r="Z4" s="20" t="s">
        <v>735</v>
      </c>
      <c r="AA4" s="20" t="s">
        <v>739</v>
      </c>
      <c r="AB4" s="20" t="s">
        <v>744</v>
      </c>
      <c r="AC4" s="20" t="s">
        <v>753</v>
      </c>
      <c r="AD4" s="20" t="s">
        <v>757</v>
      </c>
      <c r="AE4" s="20" t="s">
        <v>761</v>
      </c>
      <c r="AF4" s="20"/>
      <c r="AG4" s="20"/>
      <c r="AH4" s="20"/>
      <c r="AI4" s="20" t="s">
        <v>774</v>
      </c>
    </row>
    <row r="5" spans="2:35" x14ac:dyDescent="0.25">
      <c r="B5" s="20" t="s">
        <v>626</v>
      </c>
      <c r="D5" s="20" t="s">
        <v>635</v>
      </c>
      <c r="E5" s="20"/>
      <c r="F5" s="20" t="s">
        <v>644</v>
      </c>
      <c r="G5" s="20"/>
      <c r="H5" s="20" t="s">
        <v>648</v>
      </c>
      <c r="I5" s="20"/>
      <c r="J5" s="20"/>
      <c r="K5" s="20"/>
      <c r="L5" s="20"/>
      <c r="M5" s="20"/>
      <c r="N5" s="20"/>
      <c r="O5" s="20"/>
      <c r="P5" s="20"/>
      <c r="Q5" s="20" t="s">
        <v>690</v>
      </c>
      <c r="R5" s="20" t="s">
        <v>695</v>
      </c>
      <c r="S5" s="20"/>
      <c r="T5" s="20"/>
      <c r="U5" s="20"/>
      <c r="V5" s="20" t="s">
        <v>711</v>
      </c>
      <c r="W5" s="20" t="s">
        <v>720</v>
      </c>
      <c r="X5" s="20" t="s">
        <v>725</v>
      </c>
      <c r="Y5" s="20"/>
      <c r="Z5" s="20"/>
      <c r="AA5" s="20" t="s">
        <v>740</v>
      </c>
      <c r="AB5" s="20" t="s">
        <v>745</v>
      </c>
      <c r="AC5" s="20"/>
      <c r="AD5" s="20"/>
      <c r="AE5" s="20"/>
      <c r="AF5" s="20"/>
      <c r="AG5" s="20"/>
      <c r="AH5" s="20"/>
      <c r="AI5" s="20"/>
    </row>
    <row r="6" spans="2:35" x14ac:dyDescent="0.25">
      <c r="B6" s="20"/>
      <c r="D6" s="20"/>
      <c r="E6" s="20"/>
      <c r="F6" s="20"/>
      <c r="G6" s="20"/>
      <c r="H6" s="20" t="s">
        <v>649</v>
      </c>
      <c r="I6" s="20"/>
      <c r="J6" s="20"/>
      <c r="K6" s="20"/>
      <c r="L6" s="20"/>
      <c r="M6" s="20"/>
      <c r="N6" s="20"/>
      <c r="O6" s="20"/>
      <c r="P6" s="20"/>
      <c r="Q6" s="20"/>
      <c r="R6" s="20"/>
      <c r="S6" s="20"/>
      <c r="T6" s="20"/>
      <c r="U6" s="20"/>
      <c r="V6" s="20" t="s">
        <v>712</v>
      </c>
      <c r="W6" s="20"/>
      <c r="X6" s="20" t="s">
        <v>726</v>
      </c>
      <c r="Y6" s="20"/>
      <c r="Z6" s="20"/>
      <c r="AA6" s="20"/>
      <c r="AB6" s="20" t="s">
        <v>746</v>
      </c>
      <c r="AC6" s="20"/>
      <c r="AD6" s="20"/>
      <c r="AE6" s="20"/>
      <c r="AF6" s="20"/>
      <c r="AG6" s="20"/>
      <c r="AH6" s="20"/>
      <c r="AI6" s="20"/>
    </row>
    <row r="7" spans="2:35" x14ac:dyDescent="0.25">
      <c r="B7" s="20"/>
      <c r="D7" s="20"/>
      <c r="E7" s="20"/>
      <c r="F7" s="20"/>
      <c r="G7" s="20"/>
      <c r="H7" s="20"/>
      <c r="I7" s="20"/>
      <c r="J7" s="20"/>
      <c r="K7" s="20"/>
      <c r="L7" s="20"/>
      <c r="M7" s="20"/>
      <c r="N7" s="20"/>
      <c r="O7" s="20"/>
      <c r="P7" s="20"/>
      <c r="Q7" s="20"/>
      <c r="R7" s="20"/>
      <c r="S7" s="20"/>
      <c r="T7" s="20"/>
      <c r="U7" s="20"/>
      <c r="V7" s="20" t="s">
        <v>713</v>
      </c>
      <c r="W7" s="20"/>
      <c r="X7" s="20" t="s">
        <v>727</v>
      </c>
      <c r="Y7" s="20"/>
      <c r="Z7" s="20"/>
      <c r="AA7" s="20"/>
      <c r="AB7" s="20" t="s">
        <v>747</v>
      </c>
      <c r="AC7" s="20"/>
      <c r="AD7" s="20"/>
      <c r="AE7" s="20"/>
      <c r="AF7" s="20"/>
      <c r="AG7" s="20"/>
      <c r="AH7" s="20"/>
      <c r="AI7" s="20"/>
    </row>
    <row r="8" spans="2:35" x14ac:dyDescent="0.25">
      <c r="B8" s="20"/>
      <c r="D8" s="20"/>
      <c r="E8" s="20"/>
      <c r="F8" s="20"/>
      <c r="G8" s="20"/>
      <c r="H8" s="20"/>
      <c r="I8" s="20"/>
      <c r="J8" s="20"/>
      <c r="K8" s="20"/>
      <c r="L8" s="20"/>
      <c r="M8" s="20"/>
      <c r="N8" s="20"/>
      <c r="O8" s="20"/>
      <c r="P8" s="20"/>
      <c r="Q8" s="20"/>
      <c r="R8" s="20"/>
      <c r="S8" s="20"/>
      <c r="T8" s="20"/>
      <c r="U8" s="20"/>
      <c r="V8" s="20" t="s">
        <v>714</v>
      </c>
      <c r="W8" s="20"/>
      <c r="X8" s="20"/>
      <c r="Y8" s="20"/>
      <c r="Z8" s="20"/>
      <c r="AA8" s="20"/>
      <c r="AB8" s="20" t="s">
        <v>748</v>
      </c>
      <c r="AC8" s="20"/>
      <c r="AD8" s="20"/>
      <c r="AE8" s="20"/>
      <c r="AF8" s="20"/>
      <c r="AG8" s="20"/>
      <c r="AH8" s="20"/>
      <c r="AI8" s="20"/>
    </row>
    <row r="9" spans="2:35" x14ac:dyDescent="0.25">
      <c r="B9" s="20"/>
      <c r="D9" s="20"/>
      <c r="E9" s="20"/>
      <c r="F9" s="20"/>
      <c r="G9" s="20"/>
      <c r="H9" s="20"/>
      <c r="I9" s="20"/>
      <c r="J9" s="20"/>
      <c r="K9" s="20"/>
      <c r="L9" s="20"/>
      <c r="M9" s="20"/>
      <c r="N9" s="20"/>
      <c r="O9" s="20"/>
      <c r="P9" s="20"/>
      <c r="Q9" s="20"/>
      <c r="R9" s="20"/>
      <c r="S9" s="20"/>
      <c r="T9" s="20"/>
      <c r="U9" s="20"/>
      <c r="V9" s="20" t="s">
        <v>715</v>
      </c>
      <c r="W9" s="20"/>
      <c r="X9" s="20"/>
      <c r="Y9" s="20"/>
      <c r="Z9" s="20"/>
      <c r="AA9" s="20"/>
      <c r="AB9" s="20" t="s">
        <v>749</v>
      </c>
      <c r="AC9" s="20"/>
      <c r="AD9" s="20"/>
      <c r="AE9" s="20"/>
      <c r="AF9" s="20"/>
      <c r="AG9" s="20"/>
      <c r="AH9" s="20"/>
      <c r="AI9" s="20"/>
    </row>
    <row r="10" spans="2:35" x14ac:dyDescent="0.25">
      <c r="B10" s="20"/>
      <c r="D10" s="20"/>
      <c r="E10" s="20"/>
      <c r="F10" s="20"/>
      <c r="G10" s="20"/>
      <c r="H10" s="20"/>
      <c r="I10" s="20"/>
      <c r="J10" s="20"/>
      <c r="K10" s="20"/>
      <c r="L10" s="20"/>
      <c r="M10" s="20"/>
      <c r="N10" s="20"/>
      <c r="O10" s="20"/>
      <c r="P10" s="20"/>
      <c r="Q10" s="20"/>
      <c r="R10" s="20"/>
      <c r="S10" s="20"/>
      <c r="T10" s="20"/>
      <c r="U10" s="20"/>
      <c r="V10" s="20"/>
      <c r="W10" s="20"/>
      <c r="X10" s="20"/>
      <c r="Y10" s="20"/>
      <c r="Z10" s="20"/>
      <c r="AA10" s="20"/>
      <c r="AE10" s="20"/>
    </row>
    <row r="17" spans="2:2" x14ac:dyDescent="0.25">
      <c r="B17" s="42" t="s">
        <v>621</v>
      </c>
    </row>
  </sheetData>
  <sheetProtection sheet="1" objects="1" scenarios="1"/>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dimension ref="B2:E12"/>
  <sheetViews>
    <sheetView workbookViewId="0">
      <selection activeCell="C5" sqref="C5"/>
    </sheetView>
  </sheetViews>
  <sheetFormatPr defaultRowHeight="13.2" x14ac:dyDescent="0.25"/>
  <cols>
    <col min="3" max="3" width="9.44140625" customWidth="1"/>
    <col min="4" max="4" width="32.88671875" bestFit="1" customWidth="1"/>
    <col min="5" max="5" width="93.21875" customWidth="1"/>
  </cols>
  <sheetData>
    <row r="2" spans="2:5" x14ac:dyDescent="0.25">
      <c r="B2" s="803" t="s">
        <v>1658</v>
      </c>
      <c r="C2" s="804"/>
      <c r="D2" s="805"/>
      <c r="E2" s="27" t="s">
        <v>1659</v>
      </c>
    </row>
    <row r="3" spans="2:5" x14ac:dyDescent="0.25">
      <c r="B3" s="83" t="s">
        <v>1640</v>
      </c>
      <c r="C3" s="83" t="s">
        <v>104</v>
      </c>
      <c r="D3" s="83" t="s">
        <v>67</v>
      </c>
      <c r="E3" s="108" t="s">
        <v>1662</v>
      </c>
    </row>
    <row r="4" spans="2:5" x14ac:dyDescent="0.25">
      <c r="B4" s="14" t="s">
        <v>1641</v>
      </c>
      <c r="C4" s="36">
        <v>0.79</v>
      </c>
      <c r="D4" s="13" t="s">
        <v>1642</v>
      </c>
      <c r="E4" s="64" t="s">
        <v>1660</v>
      </c>
    </row>
    <row r="5" spans="2:5" x14ac:dyDescent="0.25">
      <c r="B5" s="2" t="s">
        <v>1637</v>
      </c>
      <c r="C5" s="36">
        <v>4.2000000000000003E-2</v>
      </c>
      <c r="D5" s="1" t="s">
        <v>1347</v>
      </c>
      <c r="E5" s="64" t="s">
        <v>1661</v>
      </c>
    </row>
    <row r="6" spans="2:5" x14ac:dyDescent="0.25">
      <c r="B6" s="2" t="s">
        <v>1638</v>
      </c>
      <c r="C6" s="106">
        <f>((C4-C5-0.002)*46.214)/1000+1</f>
        <v>1.034475644</v>
      </c>
      <c r="D6" s="1" t="s">
        <v>1639</v>
      </c>
    </row>
    <row r="8" spans="2:5" x14ac:dyDescent="0.25">
      <c r="B8" s="803" t="s">
        <v>1657</v>
      </c>
      <c r="C8" s="804"/>
      <c r="D8" s="805"/>
      <c r="E8" s="27" t="s">
        <v>1659</v>
      </c>
    </row>
    <row r="9" spans="2:5" x14ac:dyDescent="0.25">
      <c r="B9" s="83" t="s">
        <v>1640</v>
      </c>
      <c r="C9" s="83" t="s">
        <v>104</v>
      </c>
      <c r="D9" s="83" t="s">
        <v>67</v>
      </c>
      <c r="E9" s="20" t="s">
        <v>1663</v>
      </c>
    </row>
    <row r="10" spans="2:5" x14ac:dyDescent="0.25">
      <c r="B10" s="14" t="s">
        <v>1641</v>
      </c>
      <c r="C10" s="36">
        <v>0.79</v>
      </c>
      <c r="D10" s="13" t="s">
        <v>1642</v>
      </c>
    </row>
    <row r="11" spans="2:5" x14ac:dyDescent="0.25">
      <c r="B11" s="2"/>
      <c r="C11" s="109"/>
      <c r="D11" s="1"/>
    </row>
    <row r="12" spans="2:5" x14ac:dyDescent="0.25">
      <c r="B12" s="2" t="s">
        <v>1638</v>
      </c>
      <c r="C12" s="106">
        <f>((C10)*46.214)/1000+1</f>
        <v>1.03650906</v>
      </c>
      <c r="D12" s="1" t="s">
        <v>1639</v>
      </c>
    </row>
  </sheetData>
  <sheetProtection sheet="1" objects="1" scenarios="1"/>
  <mergeCells count="2">
    <mergeCell ref="B8:D8"/>
    <mergeCell ref="B2:D2"/>
  </mergeCells>
  <hyperlinks>
    <hyperlink ref="E4" r:id="rId1" xr:uid="{00000000-0004-0000-0A00-000000000000}"/>
    <hyperlink ref="E3" r:id="rId2" xr:uid="{00000000-0004-0000-0A00-000001000000}"/>
    <hyperlink ref="E5" r:id="rId3" xr:uid="{00000000-0004-0000-0A00-000002000000}"/>
  </hyperlinks>
  <pageMargins left="0.7" right="0.7" top="0.75" bottom="0.75" header="0.3" footer="0.3"/>
  <pageSetup orientation="portrait"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dimension ref="A1:H23"/>
  <sheetViews>
    <sheetView workbookViewId="0">
      <selection activeCell="L11" sqref="L11"/>
    </sheetView>
  </sheetViews>
  <sheetFormatPr defaultRowHeight="13.2" x14ac:dyDescent="0.25"/>
  <cols>
    <col min="1" max="1" width="13.88671875" bestFit="1" customWidth="1"/>
    <col min="2" max="2" width="3.33203125" customWidth="1"/>
    <col min="3" max="3" width="8.33203125" bestFit="1" customWidth="1"/>
    <col min="4" max="4" width="8.5546875" bestFit="1" customWidth="1"/>
    <col min="5" max="5" width="6.33203125" customWidth="1"/>
    <col min="6" max="6" width="16.44140625" customWidth="1"/>
    <col min="7" max="7" width="18.77734375" style="73" bestFit="1" customWidth="1"/>
    <col min="8" max="8" width="13.6640625" customWidth="1"/>
    <col min="12" max="12" width="32.88671875" bestFit="1" customWidth="1"/>
  </cols>
  <sheetData>
    <row r="1" spans="1:8" x14ac:dyDescent="0.25">
      <c r="A1" s="785" t="s">
        <v>78</v>
      </c>
      <c r="B1" s="785"/>
      <c r="C1" s="785"/>
      <c r="D1" s="785"/>
    </row>
    <row r="2" spans="1:8" x14ac:dyDescent="0.25">
      <c r="A2" s="16" t="s">
        <v>76</v>
      </c>
      <c r="B2" s="3"/>
      <c r="C2" s="19" t="s">
        <v>79</v>
      </c>
      <c r="D2" s="3" t="s">
        <v>80</v>
      </c>
      <c r="F2" s="72" t="s">
        <v>1214</v>
      </c>
      <c r="G2" s="73">
        <v>0.45359237000000002</v>
      </c>
    </row>
    <row r="3" spans="1:8" x14ac:dyDescent="0.25">
      <c r="A3" s="61">
        <v>8.73</v>
      </c>
      <c r="B3" s="15" t="s">
        <v>0</v>
      </c>
      <c r="C3" s="18">
        <f>A3*0.8125</f>
        <v>7.0931250000000006</v>
      </c>
      <c r="D3" s="18">
        <f>A3*0.6875</f>
        <v>6.0018750000000001</v>
      </c>
      <c r="F3" s="41" t="s">
        <v>1215</v>
      </c>
      <c r="G3" s="73">
        <v>2.20462262185</v>
      </c>
    </row>
    <row r="4" spans="1:8" ht="26.4" x14ac:dyDescent="0.25">
      <c r="A4" s="16" t="s">
        <v>77</v>
      </c>
      <c r="B4" s="3"/>
      <c r="C4" s="19" t="s">
        <v>81</v>
      </c>
      <c r="D4" s="3" t="s">
        <v>82</v>
      </c>
      <c r="F4" s="72" t="s">
        <v>1216</v>
      </c>
      <c r="G4" s="73">
        <v>1.0566882049699999</v>
      </c>
    </row>
    <row r="5" spans="1:8" x14ac:dyDescent="0.25">
      <c r="A5" s="61">
        <v>7.57</v>
      </c>
      <c r="B5" s="15" t="s">
        <v>0</v>
      </c>
      <c r="C5" s="18">
        <f>A5*0.937</f>
        <v>7.093090000000001</v>
      </c>
      <c r="D5" s="18">
        <f>A5*0.7929</f>
        <v>6.0022530000000005</v>
      </c>
      <c r="F5" s="41" t="s">
        <v>1217</v>
      </c>
      <c r="G5" s="73">
        <v>0.94635294999999997</v>
      </c>
    </row>
    <row r="6" spans="1:8" x14ac:dyDescent="0.25">
      <c r="F6" s="24" t="s">
        <v>1218</v>
      </c>
      <c r="G6" s="73">
        <v>2.0863511218233199</v>
      </c>
    </row>
    <row r="7" spans="1:8" x14ac:dyDescent="0.25">
      <c r="A7" s="785" t="s">
        <v>75</v>
      </c>
      <c r="B7" s="785"/>
      <c r="C7" s="785"/>
      <c r="D7" s="785"/>
      <c r="F7" s="41" t="s">
        <v>1219</v>
      </c>
      <c r="G7" s="74">
        <v>154</v>
      </c>
      <c r="H7" s="75">
        <f>5/9*(G7-32)</f>
        <v>67.777777777777786</v>
      </c>
    </row>
    <row r="8" spans="1:8" x14ac:dyDescent="0.25">
      <c r="A8" s="17" t="s">
        <v>79</v>
      </c>
      <c r="B8" s="3"/>
      <c r="C8" s="808" t="s">
        <v>76</v>
      </c>
      <c r="D8" s="809"/>
      <c r="F8" s="24" t="s">
        <v>1220</v>
      </c>
      <c r="G8" s="73">
        <v>28.349519999999998</v>
      </c>
    </row>
    <row r="9" spans="1:8" x14ac:dyDescent="0.25">
      <c r="A9" s="61">
        <v>6.6</v>
      </c>
      <c r="B9" s="15" t="s">
        <v>0</v>
      </c>
      <c r="C9" s="806">
        <f>A9/0.8125</f>
        <v>8.1230769230769226</v>
      </c>
      <c r="D9" s="807"/>
      <c r="F9" s="41" t="s">
        <v>1221</v>
      </c>
      <c r="G9" s="73">
        <v>0.26417205124199999</v>
      </c>
    </row>
    <row r="10" spans="1:8" ht="26.4" x14ac:dyDescent="0.25">
      <c r="A10" s="17" t="s">
        <v>80</v>
      </c>
      <c r="B10" s="3"/>
      <c r="C10" s="808" t="s">
        <v>76</v>
      </c>
      <c r="D10" s="809"/>
      <c r="F10" s="76" t="s">
        <v>1223</v>
      </c>
      <c r="G10" s="73">
        <v>4.5100000000000001E-4</v>
      </c>
    </row>
    <row r="11" spans="1:8" ht="26.4" x14ac:dyDescent="0.25">
      <c r="A11" s="61">
        <v>6</v>
      </c>
      <c r="B11" s="15" t="s">
        <v>0</v>
      </c>
      <c r="C11" s="806">
        <f>A11/0.6875</f>
        <v>8.7272727272727266</v>
      </c>
      <c r="D11" s="807"/>
      <c r="F11" s="76" t="s">
        <v>1222</v>
      </c>
      <c r="G11" s="73">
        <f>G10*17.22</f>
        <v>7.7662199999999999E-3</v>
      </c>
    </row>
    <row r="12" spans="1:8" x14ac:dyDescent="0.25">
      <c r="A12" s="17" t="s">
        <v>81</v>
      </c>
      <c r="B12" s="3"/>
      <c r="C12" s="808" t="s">
        <v>76</v>
      </c>
      <c r="D12" s="809"/>
    </row>
    <row r="13" spans="1:8" x14ac:dyDescent="0.25">
      <c r="A13" s="61">
        <v>6</v>
      </c>
      <c r="B13" s="15" t="s">
        <v>0</v>
      </c>
      <c r="C13" s="806">
        <f>A13/0.937</f>
        <v>6.4034151547491991</v>
      </c>
      <c r="D13" s="807"/>
      <c r="F13" s="43" t="s">
        <v>1340</v>
      </c>
      <c r="G13" s="97" t="s">
        <v>89</v>
      </c>
    </row>
    <row r="14" spans="1:8" x14ac:dyDescent="0.25">
      <c r="A14" s="17" t="s">
        <v>82</v>
      </c>
      <c r="B14" s="3"/>
      <c r="C14" s="808" t="s">
        <v>76</v>
      </c>
      <c r="D14" s="809"/>
      <c r="G14" s="97">
        <v>1.6</v>
      </c>
      <c r="H14" s="20" t="s">
        <v>1341</v>
      </c>
    </row>
    <row r="15" spans="1:8" x14ac:dyDescent="0.25">
      <c r="A15" s="61">
        <v>6</v>
      </c>
      <c r="B15" s="15" t="s">
        <v>0</v>
      </c>
      <c r="C15" s="806">
        <f>A15/0.7929</f>
        <v>7.567158531971244</v>
      </c>
      <c r="D15" s="807"/>
      <c r="G15" s="73">
        <v>0.38</v>
      </c>
      <c r="H15" s="20" t="s">
        <v>1342</v>
      </c>
    </row>
    <row r="16" spans="1:8" x14ac:dyDescent="0.25">
      <c r="G16" s="97" t="s">
        <v>1343</v>
      </c>
    </row>
    <row r="17" spans="1:8" x14ac:dyDescent="0.25">
      <c r="A17" s="20" t="s">
        <v>84</v>
      </c>
      <c r="G17" s="73">
        <v>4.18</v>
      </c>
      <c r="H17" s="20" t="s">
        <v>1341</v>
      </c>
    </row>
    <row r="18" spans="1:8" x14ac:dyDescent="0.25">
      <c r="A18" s="20" t="s">
        <v>83</v>
      </c>
      <c r="G18" s="73">
        <v>0.99904397700000003</v>
      </c>
      <c r="H18" s="20" t="s">
        <v>1342</v>
      </c>
    </row>
    <row r="19" spans="1:8" x14ac:dyDescent="0.25">
      <c r="A19" s="20" t="s">
        <v>85</v>
      </c>
    </row>
    <row r="20" spans="1:8" x14ac:dyDescent="0.25">
      <c r="A20" s="20" t="s">
        <v>86</v>
      </c>
    </row>
    <row r="23" spans="1:8" x14ac:dyDescent="0.25">
      <c r="B23" s="20"/>
    </row>
  </sheetData>
  <sheetProtection sheet="1" objects="1" scenarios="1"/>
  <mergeCells count="10">
    <mergeCell ref="C15:D15"/>
    <mergeCell ref="A1:D1"/>
    <mergeCell ref="A7:D7"/>
    <mergeCell ref="C9:D9"/>
    <mergeCell ref="C11:D11"/>
    <mergeCell ref="C8:D8"/>
    <mergeCell ref="C10:D10"/>
    <mergeCell ref="C12:D12"/>
    <mergeCell ref="C13:D13"/>
    <mergeCell ref="C14:D14"/>
  </mergeCells>
  <phoneticPr fontId="0" type="noConversion"/>
  <pageMargins left="0.75" right="0.75" top="1" bottom="1" header="0.5" footer="0.5"/>
  <pageSetup orientation="portrait" horizontalDpi="0"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dimension ref="A1:H19"/>
  <sheetViews>
    <sheetView workbookViewId="0">
      <selection activeCell="D8" sqref="D6:D8"/>
    </sheetView>
  </sheetViews>
  <sheetFormatPr defaultRowHeight="13.2" x14ac:dyDescent="0.25"/>
  <cols>
    <col min="2" max="2" width="2.33203125" bestFit="1" customWidth="1"/>
    <col min="3" max="3" width="12" customWidth="1"/>
    <col min="4" max="4" width="11.6640625" customWidth="1"/>
    <col min="5" max="5" width="16" customWidth="1"/>
    <col min="6" max="6" width="4.6640625" customWidth="1"/>
  </cols>
  <sheetData>
    <row r="1" spans="1:8" x14ac:dyDescent="0.25">
      <c r="C1" s="785" t="s">
        <v>13</v>
      </c>
      <c r="D1" s="785"/>
      <c r="E1" s="785"/>
    </row>
    <row r="2" spans="1:8" x14ac:dyDescent="0.25">
      <c r="C2" s="1" t="s">
        <v>2</v>
      </c>
      <c r="D2" s="9">
        <v>12.0107</v>
      </c>
      <c r="E2" s="2" t="s">
        <v>1</v>
      </c>
    </row>
    <row r="3" spans="1:8" x14ac:dyDescent="0.25">
      <c r="C3" s="1" t="s">
        <v>3</v>
      </c>
      <c r="D3" s="9">
        <v>15.9994</v>
      </c>
      <c r="E3" s="2" t="s">
        <v>1</v>
      </c>
    </row>
    <row r="4" spans="1:8" x14ac:dyDescent="0.25">
      <c r="C4" s="1" t="s">
        <v>4</v>
      </c>
      <c r="D4" s="9">
        <v>1.0079400000000001</v>
      </c>
      <c r="E4" s="2" t="s">
        <v>1</v>
      </c>
    </row>
    <row r="5" spans="1:8" ht="23.25" customHeight="1" x14ac:dyDescent="0.25">
      <c r="C5" s="1" t="s">
        <v>5</v>
      </c>
      <c r="D5" s="10">
        <f>6.022*10^23</f>
        <v>6.0219999999999996E+23</v>
      </c>
      <c r="E5" s="10"/>
    </row>
    <row r="6" spans="1:8" ht="15.6" x14ac:dyDescent="0.25">
      <c r="C6" s="1" t="s">
        <v>8</v>
      </c>
      <c r="D6" s="9">
        <v>8.20578E-2</v>
      </c>
      <c r="E6" s="11" t="s">
        <v>9</v>
      </c>
    </row>
    <row r="7" spans="1:8" x14ac:dyDescent="0.25">
      <c r="C7" s="1" t="s">
        <v>10</v>
      </c>
      <c r="D7" s="2">
        <v>293.14999999999998</v>
      </c>
      <c r="E7" s="2" t="s">
        <v>14</v>
      </c>
    </row>
    <row r="8" spans="1:8" x14ac:dyDescent="0.25">
      <c r="C8" s="1" t="s">
        <v>11</v>
      </c>
      <c r="D8" s="9">
        <v>1</v>
      </c>
      <c r="E8" s="2" t="s">
        <v>12</v>
      </c>
    </row>
    <row r="11" spans="1:8" ht="15.6" x14ac:dyDescent="0.35">
      <c r="A11" s="678" t="s">
        <v>1675</v>
      </c>
      <c r="B11" s="678"/>
      <c r="C11" s="678"/>
      <c r="D11" s="678"/>
      <c r="E11" s="678"/>
      <c r="F11" s="678"/>
      <c r="G11" s="678"/>
      <c r="H11" s="678"/>
    </row>
    <row r="12" spans="1:8" ht="20.25" customHeight="1" x14ac:dyDescent="0.25">
      <c r="C12" s="4" t="s">
        <v>43</v>
      </c>
      <c r="D12" s="4"/>
      <c r="E12" s="4" t="s">
        <v>7</v>
      </c>
      <c r="G12" t="s">
        <v>44</v>
      </c>
    </row>
    <row r="13" spans="1:8" ht="24" customHeight="1" x14ac:dyDescent="0.25">
      <c r="C13" s="8" t="s">
        <v>39</v>
      </c>
      <c r="D13" s="8" t="s">
        <v>42</v>
      </c>
      <c r="E13" s="8" t="s">
        <v>40</v>
      </c>
      <c r="G13" s="8" t="s">
        <v>41</v>
      </c>
    </row>
    <row r="14" spans="1:8" ht="15" x14ac:dyDescent="0.25">
      <c r="C14" s="4">
        <f>D2*6+D4*12+D3*6</f>
        <v>180.15588</v>
      </c>
      <c r="D14" s="8" t="s">
        <v>42</v>
      </c>
      <c r="E14" s="4">
        <f>2*(D2+D4*3+D2+D4*2+D3+D4)</f>
        <v>92.136879999999991</v>
      </c>
      <c r="F14" s="4" t="s">
        <v>6</v>
      </c>
      <c r="G14" s="4">
        <f>2*(D2+D3*2)</f>
        <v>88.019000000000005</v>
      </c>
      <c r="H14" s="4" t="s">
        <v>1</v>
      </c>
    </row>
    <row r="17" spans="1:7" x14ac:dyDescent="0.25">
      <c r="A17" s="20" t="s">
        <v>1669</v>
      </c>
      <c r="C17" s="41" t="s">
        <v>1670</v>
      </c>
      <c r="E17" s="4" t="s">
        <v>7</v>
      </c>
      <c r="G17" t="s">
        <v>44</v>
      </c>
    </row>
    <row r="18" spans="1:7" ht="18.600000000000001" x14ac:dyDescent="0.25">
      <c r="A18" s="8" t="s">
        <v>1671</v>
      </c>
      <c r="B18" s="8" t="s">
        <v>6</v>
      </c>
      <c r="C18" s="8" t="s">
        <v>1672</v>
      </c>
      <c r="D18" s="8" t="s">
        <v>42</v>
      </c>
      <c r="E18" s="8" t="s">
        <v>1673</v>
      </c>
      <c r="F18" s="8" t="s">
        <v>6</v>
      </c>
      <c r="G18" s="8" t="s">
        <v>1674</v>
      </c>
    </row>
    <row r="19" spans="1:7" x14ac:dyDescent="0.25">
      <c r="A19" s="4">
        <f>D4*2+D3</f>
        <v>18.015280000000001</v>
      </c>
      <c r="C19" s="4">
        <f>D2*12+D4*22+D3*11</f>
        <v>342.29647999999997</v>
      </c>
      <c r="E19" s="4">
        <f>4*(D2*2+D4*5+D3+D4)</f>
        <v>184.27375999999998</v>
      </c>
      <c r="G19" s="4">
        <f>4*(D2+D3*2)</f>
        <v>176.03800000000001</v>
      </c>
    </row>
  </sheetData>
  <sheetProtection sheet="1" objects="1" scenarios="1"/>
  <mergeCells count="2">
    <mergeCell ref="C1:E1"/>
    <mergeCell ref="A11:H11"/>
  </mergeCells>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57"/>
  <sheetViews>
    <sheetView tabSelected="1" zoomScaleNormal="100" workbookViewId="0">
      <selection activeCell="X38" sqref="X38"/>
    </sheetView>
  </sheetViews>
  <sheetFormatPr defaultRowHeight="13.2" x14ac:dyDescent="0.25"/>
  <cols>
    <col min="1" max="1" width="8.5546875" customWidth="1"/>
    <col min="2" max="2" width="9.44140625" customWidth="1"/>
    <col min="3" max="3" width="5" customWidth="1"/>
    <col min="4" max="4" width="11.109375" customWidth="1"/>
    <col min="5" max="6" width="6" customWidth="1"/>
    <col min="7" max="7" width="0.88671875" customWidth="1"/>
    <col min="8" max="8" width="5.44140625" customWidth="1"/>
    <col min="9" max="9" width="5" customWidth="1"/>
    <col min="10" max="11" width="6" customWidth="1"/>
    <col min="12" max="12" width="0.88671875" customWidth="1"/>
    <col min="13" max="13" width="10.33203125" customWidth="1"/>
    <col min="14" max="15" width="5.88671875" customWidth="1"/>
    <col min="16" max="16" width="0.88671875" customWidth="1"/>
    <col min="17" max="17" width="6.109375" customWidth="1"/>
    <col min="18" max="18" width="10.33203125" customWidth="1"/>
    <col min="19" max="19" width="7.33203125" bestFit="1" customWidth="1"/>
    <col min="20" max="20" width="7.33203125" customWidth="1"/>
    <col min="21" max="21" width="7.88671875" customWidth="1"/>
    <col min="22" max="22" width="1.5546875" customWidth="1"/>
    <col min="23" max="23" width="7.33203125" customWidth="1"/>
    <col min="24" max="24" width="9" bestFit="1" customWidth="1"/>
    <col min="25" max="25" width="8.21875" bestFit="1" customWidth="1"/>
    <col min="26" max="30" width="4.77734375" customWidth="1"/>
    <col min="31" max="31" width="6.5546875" customWidth="1"/>
    <col min="32" max="32" width="4.88671875" customWidth="1"/>
    <col min="33" max="33" width="4.44140625" customWidth="1"/>
  </cols>
  <sheetData>
    <row r="1" spans="1:33" x14ac:dyDescent="0.25">
      <c r="A1" s="130" t="s">
        <v>148</v>
      </c>
      <c r="B1" s="538" t="s">
        <v>707</v>
      </c>
      <c r="C1" s="538"/>
      <c r="D1" s="538"/>
      <c r="E1" s="538"/>
      <c r="F1" s="131"/>
      <c r="G1" s="131"/>
      <c r="H1" s="130" t="s">
        <v>128</v>
      </c>
      <c r="I1" s="538" t="s">
        <v>135</v>
      </c>
      <c r="J1" s="538"/>
      <c r="K1" s="538"/>
      <c r="L1" s="538"/>
      <c r="M1" s="538"/>
      <c r="P1" s="131"/>
      <c r="Q1" s="594" t="s">
        <v>143</v>
      </c>
      <c r="R1" s="595"/>
      <c r="S1" s="595"/>
      <c r="T1" s="595"/>
      <c r="U1" s="596"/>
      <c r="V1" s="159"/>
      <c r="W1" s="460"/>
      <c r="X1" s="460"/>
      <c r="Y1" s="460"/>
    </row>
    <row r="2" spans="1:33" ht="13.2" customHeight="1" x14ac:dyDescent="0.25">
      <c r="A2" s="132" t="s">
        <v>127</v>
      </c>
      <c r="B2" s="539" t="s">
        <v>708</v>
      </c>
      <c r="C2" s="539"/>
      <c r="D2" s="539"/>
      <c r="E2" s="539"/>
      <c r="F2" s="131"/>
      <c r="G2" s="131"/>
      <c r="H2" s="130" t="s">
        <v>129</v>
      </c>
      <c r="I2" s="606"/>
      <c r="J2" s="606"/>
      <c r="K2" s="606"/>
      <c r="L2" s="606"/>
      <c r="M2" s="606"/>
      <c r="P2" s="131"/>
      <c r="Q2" s="597" t="s">
        <v>142</v>
      </c>
      <c r="R2" s="598"/>
      <c r="S2" s="598"/>
      <c r="T2" s="598"/>
      <c r="U2" s="599"/>
    </row>
    <row r="3" spans="1:33" ht="7.2" customHeight="1" x14ac:dyDescent="0.25">
      <c r="A3" s="131"/>
      <c r="B3" s="131"/>
      <c r="C3" s="131"/>
      <c r="D3" s="131"/>
      <c r="E3" s="131"/>
      <c r="F3" s="131"/>
      <c r="G3" s="131"/>
      <c r="H3" s="131"/>
      <c r="I3" s="131"/>
      <c r="J3" s="131"/>
      <c r="K3" s="131"/>
      <c r="L3" s="131"/>
      <c r="M3" s="131"/>
      <c r="N3" s="131"/>
      <c r="O3" s="131"/>
      <c r="P3" s="131"/>
      <c r="Q3" s="131"/>
      <c r="R3" s="131"/>
      <c r="S3" s="131"/>
      <c r="T3" s="131"/>
      <c r="U3" s="131"/>
    </row>
    <row r="4" spans="1:33" x14ac:dyDescent="0.25">
      <c r="A4" s="546" t="s">
        <v>1170</v>
      </c>
      <c r="B4" s="547"/>
      <c r="C4" s="547"/>
      <c r="D4" s="547"/>
      <c r="E4" s="547"/>
      <c r="F4" s="548"/>
      <c r="G4" s="131"/>
      <c r="H4" s="565" t="s">
        <v>1812</v>
      </c>
      <c r="I4" s="565"/>
      <c r="J4" s="565"/>
      <c r="K4" s="565"/>
      <c r="L4" s="133"/>
      <c r="M4" s="565" t="s">
        <v>2011</v>
      </c>
      <c r="N4" s="565"/>
      <c r="O4" s="565"/>
      <c r="P4" s="131"/>
      <c r="Q4" s="546" t="s">
        <v>1794</v>
      </c>
      <c r="R4" s="547"/>
      <c r="S4" s="547"/>
      <c r="T4" s="547"/>
      <c r="U4" s="548"/>
    </row>
    <row r="5" spans="1:33" ht="13.2" customHeight="1" x14ac:dyDescent="0.25">
      <c r="A5" s="540" t="s">
        <v>66</v>
      </c>
      <c r="B5" s="541"/>
      <c r="C5" s="541"/>
      <c r="D5" s="542"/>
      <c r="E5" s="166" t="s">
        <v>145</v>
      </c>
      <c r="F5" s="577" t="s">
        <v>1191</v>
      </c>
      <c r="G5" s="131"/>
      <c r="H5" s="480"/>
      <c r="I5" s="481"/>
      <c r="J5" s="482" t="s">
        <v>1786</v>
      </c>
      <c r="K5" s="483" t="s">
        <v>139</v>
      </c>
      <c r="L5" s="150"/>
      <c r="M5" s="578"/>
      <c r="N5" s="578"/>
      <c r="O5" s="578"/>
      <c r="P5" s="131"/>
      <c r="Q5" s="600" t="s">
        <v>132</v>
      </c>
      <c r="R5" s="601"/>
      <c r="S5" s="153" t="s">
        <v>1786</v>
      </c>
      <c r="T5" s="153" t="s">
        <v>139</v>
      </c>
      <c r="U5" s="153" t="s">
        <v>100</v>
      </c>
      <c r="V5" s="131"/>
      <c r="W5" s="131"/>
      <c r="X5" s="131"/>
      <c r="Y5" s="131"/>
    </row>
    <row r="6" spans="1:33" ht="13.2" customHeight="1" x14ac:dyDescent="0.25">
      <c r="A6" s="543"/>
      <c r="B6" s="544"/>
      <c r="C6" s="544"/>
      <c r="D6" s="545"/>
      <c r="E6" s="134" t="str">
        <f>'Brewhouse Setup &amp; Calcs'!$B$6</f>
        <v>lb</v>
      </c>
      <c r="F6" s="563"/>
      <c r="G6" s="131"/>
      <c r="H6" s="607" t="s">
        <v>1807</v>
      </c>
      <c r="I6" s="608"/>
      <c r="J6" s="517">
        <f>'Brewhouse Setup &amp; Calcs'!B17</f>
        <v>0.78600000000000003</v>
      </c>
      <c r="K6" s="517" t="str">
        <f>IF(S18="Hydrometer",T23,T24)</f>
        <v/>
      </c>
      <c r="M6" s="581" t="s">
        <v>2012</v>
      </c>
      <c r="N6" s="579" t="s">
        <v>2009</v>
      </c>
      <c r="O6" s="579" t="s">
        <v>2010</v>
      </c>
      <c r="P6" s="131"/>
      <c r="Q6" s="560" t="str">
        <f>'Brewhouse Setup &amp; Calcs'!A40</f>
        <v>Total Water Req'd</v>
      </c>
      <c r="R6" s="561"/>
      <c r="S6" s="139">
        <f>'Brewhouse Setup &amp; Calcs'!B40</f>
        <v>27.72</v>
      </c>
      <c r="T6" s="139">
        <f>T9+T12</f>
        <v>0</v>
      </c>
      <c r="U6" s="136" t="str">
        <f>'Brewhouse Setup &amp; Calcs'!$B$5</f>
        <v>qt</v>
      </c>
      <c r="V6" s="131"/>
      <c r="W6" s="131"/>
      <c r="X6" s="131"/>
      <c r="Y6" s="131"/>
    </row>
    <row r="7" spans="1:33" ht="13.2" customHeight="1" x14ac:dyDescent="0.25">
      <c r="A7" s="536" t="str">
        <f>IF(ISBLANK('Grain &amp; Sugar Calcs'!B5),"",'Grain &amp; Sugar Calcs'!B5)</f>
        <v/>
      </c>
      <c r="B7" s="549"/>
      <c r="C7" s="549"/>
      <c r="D7" s="537"/>
      <c r="E7" s="137" t="str">
        <f>IF(ISBLANK('Grain &amp; Sugar Calcs'!C5),"",'Grain &amp; Sugar Calcs'!C5)</f>
        <v/>
      </c>
      <c r="F7" s="138" t="str">
        <f>IF('Grain &amp; Sugar Calcs'!D5=0,"",'Grain &amp; Sugar Calcs'!D5)</f>
        <v/>
      </c>
      <c r="G7" s="131"/>
      <c r="H7" s="609" t="s">
        <v>2032</v>
      </c>
      <c r="I7" s="609"/>
      <c r="J7" s="517" t="str">
        <f>IF(OR(NOT(ISNUMBER($J$9)),NOT(ISNUMBER($J$11)),'Grain &amp; Sugar Calcs'!H16=0),"",(($J$9-1)*1000)/IF('Brewhouse Setup &amp; Calcs'!$B$2="Metric",('Grain &amp; Sugar Calcs'!$H$16/$J$11*4*1.056688),('Grain &amp; Sugar Calcs'!$H$16/$J$11*4)))</f>
        <v/>
      </c>
      <c r="K7" s="518" t="str">
        <f>IF(NOT(ISNUMBER($K$9)),"",(($K$9-1)*1000*$K$11)/IF('Brewhouse Setup &amp; Calcs'!$B$2="Metric",('Grain &amp; Sugar Calcs'!$H$16/$J$11*4*1.056688)*$J$11,('Grain &amp; Sugar Calcs'!$H$16/$J$11*4)*$J$11))</f>
        <v/>
      </c>
      <c r="M7" s="559"/>
      <c r="N7" s="580"/>
      <c r="O7" s="580"/>
      <c r="P7" s="131"/>
      <c r="Q7" s="560" t="str">
        <f>'Brewhouse Setup &amp; Calcs'!A13</f>
        <v>Ambient Grain Temp</v>
      </c>
      <c r="R7" s="561"/>
      <c r="S7" s="135">
        <f>'Brewhouse Setup &amp; Calcs'!B13</f>
        <v>68</v>
      </c>
      <c r="T7" s="149"/>
      <c r="U7" s="136" t="str">
        <f>'Brewhouse Setup &amp; Calcs'!$B$4</f>
        <v>°F</v>
      </c>
      <c r="V7" s="131"/>
      <c r="W7" s="131"/>
      <c r="X7" s="131"/>
      <c r="Y7" s="131"/>
    </row>
    <row r="8" spans="1:33" ht="13.2" customHeight="1" x14ac:dyDescent="0.25">
      <c r="A8" s="550" t="str">
        <f>IF(ISBLANK('Grain &amp; Sugar Calcs'!B6),"",'Grain &amp; Sugar Calcs'!B6)</f>
        <v/>
      </c>
      <c r="B8" s="550"/>
      <c r="C8" s="550"/>
      <c r="D8" s="550"/>
      <c r="E8" s="139" t="str">
        <f>IF(ISBLANK('Grain &amp; Sugar Calcs'!C6),"",'Grain &amp; Sugar Calcs'!C6)</f>
        <v/>
      </c>
      <c r="F8" s="138" t="str">
        <f>IF('Grain &amp; Sugar Calcs'!D6=0,"",'Grain &amp; Sugar Calcs'!D6)</f>
        <v/>
      </c>
      <c r="G8" s="131"/>
      <c r="H8" s="582" t="s">
        <v>1800</v>
      </c>
      <c r="I8" s="583"/>
      <c r="J8" s="519">
        <f>'Grain &amp; Sugar Calcs'!J20</f>
        <v>1</v>
      </c>
      <c r="K8" s="519" t="str">
        <f>IF(S18="Hydrometer",T20,T22)</f>
        <v/>
      </c>
      <c r="M8" s="458" t="s">
        <v>1833</v>
      </c>
      <c r="N8" s="145"/>
      <c r="O8" s="160" t="str">
        <f>IFERROR(IF('Brewhouse Setup &amp; Calcs'!$B$2="US Customary",'Water-English'!D51,'Water-Metric'!D52),"")</f>
        <v/>
      </c>
      <c r="P8" s="131"/>
      <c r="Q8" s="560" t="str">
        <f>'Brewhouse Setup &amp; Calcs'!A14</f>
        <v>Desired Mash Temp</v>
      </c>
      <c r="R8" s="561"/>
      <c r="S8" s="135">
        <f>'Brewhouse Setup &amp; Calcs'!B14</f>
        <v>150</v>
      </c>
      <c r="T8" s="149"/>
      <c r="U8" s="136" t="str">
        <f>'Brewhouse Setup &amp; Calcs'!$B$4</f>
        <v>°F</v>
      </c>
      <c r="V8" s="131"/>
      <c r="W8" s="131"/>
      <c r="X8" s="131"/>
      <c r="Y8" s="131"/>
      <c r="AF8" s="478"/>
      <c r="AG8" s="478"/>
    </row>
    <row r="9" spans="1:33" x14ac:dyDescent="0.25">
      <c r="A9" s="550" t="str">
        <f>IF(ISBLANK('Grain &amp; Sugar Calcs'!B7),"",'Grain &amp; Sugar Calcs'!B7)</f>
        <v/>
      </c>
      <c r="B9" s="550"/>
      <c r="C9" s="550"/>
      <c r="D9" s="550"/>
      <c r="E9" s="139" t="str">
        <f>IF(ISBLANK('Grain &amp; Sugar Calcs'!C7),"",'Grain &amp; Sugar Calcs'!C7)</f>
        <v/>
      </c>
      <c r="F9" s="138" t="str">
        <f>IF('Grain &amp; Sugar Calcs'!D7=0,"",'Grain &amp; Sugar Calcs'!D7)</f>
        <v/>
      </c>
      <c r="G9" s="131"/>
      <c r="H9" s="555" t="s">
        <v>1797</v>
      </c>
      <c r="I9" s="555"/>
      <c r="J9" s="519">
        <f>'Grain &amp; Sugar Calcs'!K20</f>
        <v>1</v>
      </c>
      <c r="K9" s="519" t="str">
        <f>IF(S18="Hydrometer",T28,T30)</f>
        <v/>
      </c>
      <c r="M9" s="458" t="s">
        <v>1834</v>
      </c>
      <c r="N9" s="145"/>
      <c r="O9" s="160" t="str">
        <f>IFERROR(IF('Brewhouse Setup &amp; Calcs'!$B$2="US Customary",'Water-English'!E51,'Water-Metric'!E52),"")</f>
        <v/>
      </c>
      <c r="P9" s="131"/>
      <c r="Q9" s="560" t="str">
        <f>'Brewhouse Setup &amp; Calcs'!A43</f>
        <v>Strike Water Volume</v>
      </c>
      <c r="R9" s="561"/>
      <c r="S9" s="139">
        <f>'Brewhouse Setup &amp; Calcs'!B43</f>
        <v>0</v>
      </c>
      <c r="T9" s="172"/>
      <c r="U9" s="136" t="str">
        <f>'Brewhouse Setup &amp; Calcs'!$B$5</f>
        <v>qt</v>
      </c>
      <c r="V9" s="131"/>
      <c r="W9" s="131"/>
      <c r="X9" s="131"/>
      <c r="Y9" s="131"/>
      <c r="AE9" s="187"/>
    </row>
    <row r="10" spans="1:33" s="24" customFormat="1" x14ac:dyDescent="0.25">
      <c r="A10" s="550" t="str">
        <f>IF(ISBLANK('Grain &amp; Sugar Calcs'!B8),"",'Grain &amp; Sugar Calcs'!B8)</f>
        <v/>
      </c>
      <c r="B10" s="550"/>
      <c r="C10" s="550"/>
      <c r="D10" s="550"/>
      <c r="E10" s="139" t="str">
        <f>IF(ISBLANK('Grain &amp; Sugar Calcs'!C8),"",'Grain &amp; Sugar Calcs'!C8)</f>
        <v/>
      </c>
      <c r="F10" s="138" t="str">
        <f>IF('Grain &amp; Sugar Calcs'!D8=0,"",'Grain &amp; Sugar Calcs'!D8)</f>
        <v/>
      </c>
      <c r="G10" s="131"/>
      <c r="H10" s="555" t="s">
        <v>1798</v>
      </c>
      <c r="I10" s="555"/>
      <c r="J10" s="519" t="str">
        <f>IF(NOT(ISNUMBER(J13)),"",1+('Grain &amp; Sugar Calcs'!K16*(1-J13)/1000))</f>
        <v/>
      </c>
      <c r="K10" s="519" t="str">
        <f>IF(S18="Hydrometer",T33,T35)</f>
        <v/>
      </c>
      <c r="L10"/>
      <c r="M10" s="458" t="s">
        <v>1835</v>
      </c>
      <c r="N10" s="145"/>
      <c r="O10" s="160" t="str">
        <f>IFERROR(IF('Brewhouse Setup &amp; Calcs'!$B$2="US Customary",'Water-English'!F51,'Water-Metric'!F52),"")</f>
        <v/>
      </c>
      <c r="P10" s="140"/>
      <c r="Q10" s="560" t="str">
        <f>'Brewhouse Setup &amp; Calcs'!A44</f>
        <v>Strike Water Temp</v>
      </c>
      <c r="R10" s="561"/>
      <c r="S10" s="135">
        <f>IF(ISBLANK(T7),'Brewhouse Setup &amp; Calcs'!B44,(IF('Brewhouse Setup &amp; Calcs'!B2="US Customary",0.2,0.41)/'Brewhouse Setup &amp; Calcs'!B15)*('Brewhouse Setup &amp; Calcs'!B14-T7)+'Brewhouse Setup &amp; Calcs'!B14)</f>
        <v>161.92727272727274</v>
      </c>
      <c r="T10" s="173"/>
      <c r="U10" s="136" t="str">
        <f>'Brewhouse Setup &amp; Calcs'!$B$4</f>
        <v>°F</v>
      </c>
      <c r="V10" s="131"/>
      <c r="W10" s="131"/>
      <c r="X10" s="131"/>
      <c r="Y10" s="131"/>
      <c r="AE10" s="187"/>
    </row>
    <row r="11" spans="1:33" x14ac:dyDescent="0.25">
      <c r="A11" s="550" t="str">
        <f>IF(ISBLANK('Grain &amp; Sugar Calcs'!B9),"",'Grain &amp; Sugar Calcs'!B9)</f>
        <v/>
      </c>
      <c r="B11" s="550"/>
      <c r="C11" s="550"/>
      <c r="D11" s="550"/>
      <c r="E11" s="139" t="str">
        <f>IF(ISBLANK('Grain &amp; Sugar Calcs'!C9),"",'Grain &amp; Sugar Calcs'!C9)</f>
        <v/>
      </c>
      <c r="F11" s="138" t="str">
        <f>IF('Grain &amp; Sugar Calcs'!D9=0,"",'Grain &amp; Sugar Calcs'!D9)</f>
        <v/>
      </c>
      <c r="G11" s="131"/>
      <c r="H11" s="555" t="s">
        <v>1801</v>
      </c>
      <c r="I11" s="555"/>
      <c r="J11" s="520">
        <f>J12+'Brewhouse Setup &amp; Calcs'!B33</f>
        <v>22</v>
      </c>
      <c r="K11" s="520" t="str">
        <f>IF(ISBLANK(T31),"",T31)</f>
        <v/>
      </c>
      <c r="M11" s="458" t="s">
        <v>2008</v>
      </c>
      <c r="N11" s="145"/>
      <c r="O11" s="160" t="str">
        <f>IFERROR(IF('Brewhouse Setup &amp; Calcs'!$B$2="US Customary",'Water-English'!G51,'Water-Metric'!G52),"")</f>
        <v/>
      </c>
      <c r="P11" s="131"/>
      <c r="Q11" s="560" t="s">
        <v>1940</v>
      </c>
      <c r="R11" s="561"/>
      <c r="S11" s="135" t="str">
        <f>IFERROR(IF('Brewhouse Setup &amp; Calcs'!$B$2="Metric",'Water-Metric'!$F$32,'Water-English'!$F$31),"")</f>
        <v/>
      </c>
      <c r="T11" s="173"/>
      <c r="U11" s="141"/>
      <c r="V11" s="131"/>
      <c r="W11" s="131"/>
      <c r="X11" s="131"/>
      <c r="Y11" s="131"/>
      <c r="AE11" s="187"/>
    </row>
    <row r="12" spans="1:33" x14ac:dyDescent="0.25">
      <c r="A12" s="550" t="str">
        <f>IF(ISBLANK('Grain &amp; Sugar Calcs'!B10),"",'Grain &amp; Sugar Calcs'!B10)</f>
        <v/>
      </c>
      <c r="B12" s="550"/>
      <c r="C12" s="550"/>
      <c r="D12" s="550"/>
      <c r="E12" s="139" t="str">
        <f>IF(ISBLANK('Grain &amp; Sugar Calcs'!C10),"",'Grain &amp; Sugar Calcs'!C10)</f>
        <v/>
      </c>
      <c r="F12" s="138" t="str">
        <f>IF('Grain &amp; Sugar Calcs'!D10=0,"",'Grain &amp; Sugar Calcs'!D10)</f>
        <v/>
      </c>
      <c r="G12" s="131"/>
      <c r="H12" s="555" t="s">
        <v>1799</v>
      </c>
      <c r="I12" s="555"/>
      <c r="J12" s="520">
        <f>'Brewhouse Setup &amp; Calcs'!$B$12</f>
        <v>20</v>
      </c>
      <c r="K12" s="520" t="str">
        <f>IF(ISBLANK(T36),"",T36)</f>
        <v/>
      </c>
      <c r="M12" s="458" t="s">
        <v>1837</v>
      </c>
      <c r="N12" s="145"/>
      <c r="O12" s="160" t="str">
        <f>IFERROR(IF('Brewhouse Setup &amp; Calcs'!$B$2="US Customary",'Water-English'!H51,'Water-Metric'!H52),"")</f>
        <v/>
      </c>
      <c r="P12" s="131"/>
      <c r="Q12" s="560" t="s">
        <v>1809</v>
      </c>
      <c r="R12" s="561"/>
      <c r="S12" s="139">
        <f>'Brewhouse Setup &amp; Calcs'!B48</f>
        <v>27.72</v>
      </c>
      <c r="T12" s="172"/>
      <c r="U12" s="136" t="str">
        <f>'Brewhouse Setup &amp; Calcs'!$B$5</f>
        <v>qt</v>
      </c>
      <c r="V12" s="131"/>
      <c r="W12" s="131"/>
      <c r="X12" s="131"/>
      <c r="Y12" s="131"/>
      <c r="AE12" s="187"/>
    </row>
    <row r="13" spans="1:33" ht="13.2" customHeight="1" x14ac:dyDescent="0.25">
      <c r="A13" s="550" t="str">
        <f>IF(ISBLANK('Grain &amp; Sugar Calcs'!B11),"",'Grain &amp; Sugar Calcs'!B11)</f>
        <v/>
      </c>
      <c r="B13" s="550"/>
      <c r="C13" s="550"/>
      <c r="D13" s="550"/>
      <c r="E13" s="139" t="str">
        <f>IF(ISBLANK('Grain &amp; Sugar Calcs'!C11),"",'Grain &amp; Sugar Calcs'!C11)</f>
        <v/>
      </c>
      <c r="F13" s="138" t="str">
        <f>IF('Grain &amp; Sugar Calcs'!D11=0,"",'Grain &amp; Sugar Calcs'!D11)</f>
        <v/>
      </c>
      <c r="G13" s="131"/>
      <c r="H13" s="562" t="s">
        <v>1224</v>
      </c>
      <c r="I13" s="562"/>
      <c r="J13" s="518" t="str">
        <f>IF(ISBLANK(M27),"",VLOOKUP(M27,yeast_table[#All],6,FALSE))</f>
        <v/>
      </c>
      <c r="K13" s="518" t="str">
        <f>IF(NOT(ISNUMBER(K10)),"",(K9-K10)/(K9-1))</f>
        <v/>
      </c>
      <c r="M13" s="458" t="s">
        <v>2013</v>
      </c>
      <c r="N13" s="145"/>
      <c r="O13" s="485"/>
      <c r="P13" s="131"/>
      <c r="Q13" s="589" t="str">
        <f>CONCATENATE('Brewhouse Setup &amp; Calcs'!B27,IF(OR('Brewhouse Setup &amp; Calcs'!B27="BIAB",'Brewhouse Setup &amp; Calcs'!B27="Extract"),"",CONCATENATE(CHAR(10),"Sparge")))</f>
        <v>Fly
Sparge</v>
      </c>
      <c r="R13" s="164" t="str">
        <f>IF('Brewhouse Setup &amp; Calcs'!$B$27="Batch","Add","-")</f>
        <v>-</v>
      </c>
      <c r="S13" s="139" t="str">
        <f>IF('Brewhouse Setup &amp; Calcs'!$B$27="Batch",'Brewhouse Setup &amp; Calcs'!$B$55,"-")</f>
        <v>-</v>
      </c>
      <c r="T13" s="172"/>
      <c r="U13" s="136" t="str">
        <f>IF('Brewhouse Setup &amp; Calcs'!$B$27="Batch",'Brewhouse Setup &amp; Calcs'!$B$5,"-")</f>
        <v>-</v>
      </c>
      <c r="V13" s="131"/>
      <c r="W13" s="131"/>
      <c r="X13" s="131"/>
      <c r="Y13" s="131"/>
      <c r="AE13" s="187"/>
    </row>
    <row r="14" spans="1:33" x14ac:dyDescent="0.25">
      <c r="A14" s="550" t="str">
        <f>IF(ISBLANK('Grain &amp; Sugar Calcs'!B12),"",'Grain &amp; Sugar Calcs'!B12)</f>
        <v/>
      </c>
      <c r="B14" s="550"/>
      <c r="C14" s="550"/>
      <c r="D14" s="550"/>
      <c r="E14" s="139" t="str">
        <f>IF(ISBLANK('Grain &amp; Sugar Calcs'!C12),"",'Grain &amp; Sugar Calcs'!C12)</f>
        <v/>
      </c>
      <c r="F14" s="138" t="str">
        <f>IF('Grain &amp; Sugar Calcs'!D12=0,"",'Grain &amp; Sugar Calcs'!D12)</f>
        <v/>
      </c>
      <c r="G14" s="131"/>
      <c r="H14" s="555" t="s">
        <v>1190</v>
      </c>
      <c r="I14" s="555"/>
      <c r="J14" s="521">
        <f>'Hop Calcs'!K16</f>
        <v>0</v>
      </c>
      <c r="K14" s="521" t="str">
        <f>IF(ISBLANK(T26),"",'Hop Calcs'!K16*S26/T26)</f>
        <v/>
      </c>
      <c r="M14" s="488" t="s">
        <v>2017</v>
      </c>
      <c r="N14" s="484" t="str">
        <f>IFERROR(N11/N12,"")</f>
        <v/>
      </c>
      <c r="O14" s="484" t="str">
        <f>IFERROR(IF('Brewhouse Setup &amp; Calcs'!$B$2="US Customary",'Water-English'!I51,'Water-Metric'!I52),"")</f>
        <v/>
      </c>
      <c r="P14" s="131"/>
      <c r="Q14" s="590"/>
      <c r="R14" s="164" t="str">
        <f>IF('Brewhouse Setup &amp; Calcs'!$B$27="Batch","Drain","-")</f>
        <v>-</v>
      </c>
      <c r="S14" s="139" t="str">
        <f>IF('Brewhouse Setup &amp; Calcs'!$B$27="Batch",'Brewhouse Setup &amp; Calcs'!$B$56,"-")</f>
        <v>-</v>
      </c>
      <c r="T14" s="172"/>
      <c r="U14" s="136" t="str">
        <f>IF('Brewhouse Setup &amp; Calcs'!$B$27="Batch",'Brewhouse Setup &amp; Calcs'!$B$5,"-")</f>
        <v>-</v>
      </c>
      <c r="V14" s="131"/>
      <c r="W14" s="131"/>
      <c r="X14" s="131"/>
      <c r="Y14" s="131"/>
    </row>
    <row r="15" spans="1:33" x14ac:dyDescent="0.25">
      <c r="A15" s="550" t="str">
        <f>IF(ISBLANK('Grain &amp; Sugar Calcs'!B13),"",'Grain &amp; Sugar Calcs'!B13)</f>
        <v/>
      </c>
      <c r="B15" s="550"/>
      <c r="C15" s="550"/>
      <c r="D15" s="550"/>
      <c r="E15" s="139" t="str">
        <f>IF(ISBLANK('Grain &amp; Sugar Calcs'!C13),"",'Grain &amp; Sugar Calcs'!C13)</f>
        <v/>
      </c>
      <c r="F15" s="138" t="str">
        <f>IF('Grain &amp; Sugar Calcs'!D13=0,"",'Grain &amp; Sugar Calcs'!D13)</f>
        <v/>
      </c>
      <c r="G15" s="131"/>
      <c r="H15" s="555" t="s">
        <v>134</v>
      </c>
      <c r="I15" s="555"/>
      <c r="J15" s="517" t="str">
        <f>IF(NOT(ISNUMBER(J10)),"",(J9-J10)*(46.0688/44.0098)/J10/0.794)</f>
        <v/>
      </c>
      <c r="K15" s="517" t="str">
        <f>IF(NOT(ISNUMBER(K10)),"",(K9-K10)*(46.0688/44.0098)/K10/0.794)</f>
        <v/>
      </c>
      <c r="M15" s="131"/>
      <c r="N15" s="479"/>
      <c r="O15" s="479"/>
      <c r="P15" s="131"/>
      <c r="Q15" s="590"/>
      <c r="R15" s="164" t="str">
        <f>IF('Brewhouse Setup &amp; Calcs'!$B$27="Batch","Add/Drain",IF('Brewhouse Setup &amp; Calcs'!$B$27="Fly","Time Req'd","-"))</f>
        <v>Time Req'd</v>
      </c>
      <c r="S15" s="139">
        <f>IF('Brewhouse Setup &amp; Calcs'!$B$27="Batch",'Brewhouse Setup &amp; Calcs'!$B$57,IF('Brewhouse Setup &amp; Calcs'!$B$27="Fly",$S$12/$S$16,"-"))</f>
        <v>27.72</v>
      </c>
      <c r="T15" s="172"/>
      <c r="U15" s="136" t="str">
        <f>IF('Brewhouse Setup &amp; Calcs'!$B$27="Batch",'Brewhouse Setup &amp; Calcs'!$B$5,IF('Brewhouse Setup &amp; Calcs'!$B$27="Fly","min","-"))</f>
        <v>min</v>
      </c>
      <c r="V15" s="131"/>
      <c r="W15" s="131"/>
      <c r="X15" s="131"/>
      <c r="Y15" s="131"/>
    </row>
    <row r="16" spans="1:33" x14ac:dyDescent="0.25">
      <c r="A16" s="131"/>
      <c r="B16" s="131"/>
      <c r="C16" s="131"/>
      <c r="D16" s="131"/>
      <c r="E16" s="131"/>
      <c r="F16" s="131"/>
      <c r="G16" s="131"/>
      <c r="H16" s="555" t="s">
        <v>1350</v>
      </c>
      <c r="I16" s="555"/>
      <c r="J16" s="522">
        <f>'Grain &amp; Sugar Calcs'!L18</f>
        <v>0</v>
      </c>
      <c r="K16" s="520" t="str">
        <f>IF(ISBLANK(T26),"",'Grain &amp; Sugar Calcs'!L18*(S26/T26))</f>
        <v/>
      </c>
      <c r="M16" s="565" t="s">
        <v>2007</v>
      </c>
      <c r="N16" s="565"/>
      <c r="O16" s="565"/>
      <c r="P16" s="131"/>
      <c r="Q16" s="591"/>
      <c r="R16" s="164" t="str">
        <f>IF('Brewhouse Setup &amp; Calcs'!$B$27="Batch","Add/Drain",IF('Brewhouse Setup &amp; Calcs'!$B$27="Fly","Flow Rate","-"))</f>
        <v>Flow Rate</v>
      </c>
      <c r="S16" s="139">
        <f>IF('Brewhouse Setup &amp; Calcs'!$B$27="Batch",'Brewhouse Setup &amp; Calcs'!$B$58,IF('Brewhouse Setup &amp; Calcs'!$B$27="Fly",'Brewhouse Setup &amp; Calcs'!$B$28,"-"))</f>
        <v>1</v>
      </c>
      <c r="T16" s="512" t="str">
        <f>IF(OR(ISBLANK($T$12),ISBLANK($T$15)),"",IF('Brewhouse Setup &amp; Calcs'!$B$27="Batch",'Brewhouse Setup &amp; Calcs'!B58,IF('Brewhouse Setup &amp; Calcs'!$B$27="Fly",$T$12/$T$15,"")))</f>
        <v/>
      </c>
      <c r="U16" s="136" t="str">
        <f>IF('Brewhouse Setup &amp; Calcs'!$B$27="Batch",'Brewhouse Setup &amp; Calcs'!$B$5,IF('Brewhouse Setup &amp; Calcs'!$B$27="Fly",CONCATENATE('Brewhouse Setup &amp; Calcs'!$B$5,"/min"),"-"))</f>
        <v>qt/min</v>
      </c>
      <c r="V16" s="131"/>
      <c r="W16" s="131"/>
      <c r="X16" s="131"/>
      <c r="Y16" s="131"/>
    </row>
    <row r="17" spans="1:33" x14ac:dyDescent="0.25">
      <c r="M17" s="486"/>
      <c r="N17" s="483" t="s">
        <v>1951</v>
      </c>
      <c r="O17" s="483" t="s">
        <v>1952</v>
      </c>
      <c r="P17" s="131"/>
      <c r="Q17" s="560" t="s">
        <v>106</v>
      </c>
      <c r="R17" s="561"/>
      <c r="S17" s="139">
        <f>'Brewhouse Setup &amp; Calcs'!B60</f>
        <v>27.72</v>
      </c>
      <c r="T17" s="172"/>
      <c r="U17" s="136" t="str">
        <f>'Brewhouse Setup &amp; Calcs'!B5</f>
        <v>qt</v>
      </c>
      <c r="V17" s="133"/>
      <c r="W17" s="133"/>
      <c r="X17" s="133"/>
      <c r="Y17" s="133"/>
    </row>
    <row r="18" spans="1:33" ht="13.2" customHeight="1" x14ac:dyDescent="0.25">
      <c r="A18" s="546" t="s">
        <v>130</v>
      </c>
      <c r="B18" s="547"/>
      <c r="C18" s="547"/>
      <c r="D18" s="547"/>
      <c r="E18" s="547"/>
      <c r="F18" s="547"/>
      <c r="G18" s="547"/>
      <c r="H18" s="547"/>
      <c r="I18" s="547"/>
      <c r="J18" s="547"/>
      <c r="K18" s="548"/>
      <c r="M18" s="458" t="s">
        <v>1889</v>
      </c>
      <c r="N18" s="161">
        <f>IF('Brewhouse Setup &amp; Calcs'!$B$2="US Customary",'Water-English'!$D$36,'Water-Metric'!$D$37)</f>
        <v>0</v>
      </c>
      <c r="O18" s="161" t="str">
        <f>IFERROR(IF('Brewhouse Setup &amp; Calcs'!$B$2="US Customary",'Water-English'!$D$38,'Water-Metric'!$D$39),"")</f>
        <v/>
      </c>
      <c r="P18" s="131"/>
      <c r="Q18" s="560" t="s">
        <v>1796</v>
      </c>
      <c r="R18" s="561"/>
      <c r="S18" s="603" t="s">
        <v>2027</v>
      </c>
      <c r="T18" s="603"/>
      <c r="U18" s="603"/>
      <c r="X18" s="20"/>
      <c r="Y18" s="54"/>
    </row>
    <row r="19" spans="1:33" x14ac:dyDescent="0.25">
      <c r="A19" s="540" t="str">
        <f>'Hop Calcs'!E5</f>
        <v>Species</v>
      </c>
      <c r="B19" s="541"/>
      <c r="C19" s="541"/>
      <c r="D19" s="542"/>
      <c r="E19" s="563" t="str">
        <f>'Hop Calcs'!D5</f>
        <v>Type</v>
      </c>
      <c r="F19" s="563" t="str">
        <f>'Hop Calcs'!F5</f>
        <v>Alpha (%)</v>
      </c>
      <c r="G19" s="540" t="str">
        <f>'Hop Calcs'!G5</f>
        <v>Qty</v>
      </c>
      <c r="H19" s="542"/>
      <c r="I19" s="566" t="s">
        <v>1194</v>
      </c>
      <c r="J19" s="541" t="str">
        <f>'Hop Calcs'!C5</f>
        <v>Time (min)</v>
      </c>
      <c r="K19" s="542"/>
      <c r="M19" s="458" t="s">
        <v>1953</v>
      </c>
      <c r="N19" s="161">
        <f>IF('Brewhouse Setup &amp; Calcs'!$B$2="US Customary",'Water-English'!$E$36,'Water-Metric'!$E$37)</f>
        <v>0</v>
      </c>
      <c r="O19" s="161" t="str">
        <f>IFERROR(IF('Brewhouse Setup &amp; Calcs'!$B$2="US Customary",'Water-English'!$E$38,'Water-Metric'!$E$39),"")</f>
        <v/>
      </c>
      <c r="P19" s="131"/>
      <c r="Q19" s="586" t="s">
        <v>1790</v>
      </c>
      <c r="R19" s="162" t="s">
        <v>1787</v>
      </c>
      <c r="S19" s="604">
        <f>'Grain &amp; Sugar Calcs'!J20</f>
        <v>1</v>
      </c>
      <c r="T19" s="155"/>
      <c r="U19" s="154" t="s">
        <v>19</v>
      </c>
      <c r="X19" s="20"/>
      <c r="Y19" s="54"/>
    </row>
    <row r="20" spans="1:33" x14ac:dyDescent="0.25">
      <c r="A20" s="540"/>
      <c r="B20" s="541"/>
      <c r="C20" s="541"/>
      <c r="D20" s="542"/>
      <c r="E20" s="564"/>
      <c r="F20" s="564"/>
      <c r="G20" s="553" t="str">
        <f>'Brewhouse Setup &amp; Calcs'!B7</f>
        <v>oz</v>
      </c>
      <c r="H20" s="554"/>
      <c r="I20" s="567"/>
      <c r="J20" s="544"/>
      <c r="K20" s="545"/>
      <c r="M20" s="458" t="s">
        <v>1954</v>
      </c>
      <c r="N20" s="161">
        <f>IF('Brewhouse Setup &amp; Calcs'!$B$2="US Customary",'Water-English'!$F$36,'Water-Metric'!$F$37)</f>
        <v>1.5</v>
      </c>
      <c r="O20" s="161" t="str">
        <f>IFERROR(IF('Brewhouse Setup &amp; Calcs'!$B$2="US Customary",'Water-English'!$F$38,'Water-Metric'!$F$39),"")</f>
        <v/>
      </c>
      <c r="P20" s="131"/>
      <c r="Q20" s="587"/>
      <c r="R20" s="156" t="s">
        <v>1788</v>
      </c>
      <c r="S20" s="604"/>
      <c r="T20" s="143" t="str">
        <f>IF(ISBLANK(T19),"",(IF(ISBLANK(U20),"",'Brewhouse Setup &amp; Calcs'!$B$35+IF('Brewhouse Setup &amp; Calcs'!$B$2="US Customary",(T19*((1.00130346-0.000134722124*U20+0.00000204052596*U20^2-0.00000000232820948*U20^3)/(1.00130346-0.000134722124*'Brewhouse Setup &amp; Calcs'!$B$34+0.00000204052596*'Brewhouse Setup &amp; Calcs'!$B$34^2-0.00000000232820948*'Brewhouse Setup &amp; Calcs'!$B$34^3))),(T19*((1.00130346-0.000134722124*((U20*9/5)+32)+0.00000204052596*((U20*9/5)+32)^2-0.00000000232820948*((U20*9/5)+32)^3)/(1.00130346-0.000134722124*(('Brewhouse Setup &amp; Calcs'!$B$34*9/5)+32)+0.00000204052596*(('Brewhouse Setup &amp; Calcs'!$B$34*9/5)+32)^2-0.00000000232820948*(('Brewhouse Setup &amp; Calcs'!$B$34*9/5)+32)^3)))))))</f>
        <v/>
      </c>
      <c r="U20" s="148"/>
      <c r="X20" s="20"/>
      <c r="Y20" s="54"/>
    </row>
    <row r="21" spans="1:33" ht="13.2" customHeight="1" x14ac:dyDescent="0.25">
      <c r="A21" s="550" t="str">
        <f>IF('Hop Calcs'!E7=0,"",'Hop Calcs'!E7)</f>
        <v/>
      </c>
      <c r="B21" s="550"/>
      <c r="C21" s="550"/>
      <c r="D21" s="550"/>
      <c r="E21" s="165" t="str">
        <f>IF('Hop Calcs'!D7=0,"",'Hop Calcs'!D7)</f>
        <v/>
      </c>
      <c r="F21" s="135" t="str">
        <f>IF('Hop Calcs'!F7=0,"",'Hop Calcs'!F7)</f>
        <v/>
      </c>
      <c r="G21" s="551" t="str">
        <f>IF('Hop Calcs'!G7=0,"",'Hop Calcs'!G7)</f>
        <v/>
      </c>
      <c r="H21" s="552"/>
      <c r="I21" s="135" t="str">
        <f>'Hop Calcs'!H7</f>
        <v/>
      </c>
      <c r="J21" s="536" t="str">
        <f>IF(ISBLANK('Hop Calcs'!C7),"",IF('Hop Calcs'!C7="Hop Stand",CONCATENATE('Hop Calcs'!C7," (",'Hop Calcs'!B7,")"),'Hop Calcs'!C7))</f>
        <v/>
      </c>
      <c r="K21" s="537"/>
      <c r="M21" s="458" t="s">
        <v>1909</v>
      </c>
      <c r="N21" s="161">
        <f>IF('Brewhouse Setup &amp; Calcs'!$B$2="US Customary",'Water-English'!$D$43,'Water-Metric'!$D$44)</f>
        <v>2</v>
      </c>
      <c r="O21" s="161" t="str">
        <f>IFERROR(IF('Brewhouse Setup &amp; Calcs'!$B$2="US Customary",'Water-English'!$D$45,'Water-Metric'!$D$46),"")</f>
        <v/>
      </c>
      <c r="P21" s="131"/>
      <c r="Q21" s="587"/>
      <c r="R21" s="162" t="s">
        <v>1791</v>
      </c>
      <c r="S21" s="604"/>
      <c r="T21" s="142"/>
      <c r="U21" s="147" t="s">
        <v>141</v>
      </c>
    </row>
    <row r="22" spans="1:33" x14ac:dyDescent="0.25">
      <c r="A22" s="550" t="str">
        <f>IF('Hop Calcs'!E8=0,"",'Hop Calcs'!E8)</f>
        <v/>
      </c>
      <c r="B22" s="550"/>
      <c r="C22" s="550"/>
      <c r="D22" s="550"/>
      <c r="E22" s="165" t="str">
        <f>IF('Hop Calcs'!D8=0,"",'Hop Calcs'!D8)</f>
        <v/>
      </c>
      <c r="F22" s="135" t="str">
        <f>IF('Hop Calcs'!F8=0,"",'Hop Calcs'!F8)</f>
        <v/>
      </c>
      <c r="G22" s="551" t="str">
        <f>IF('Hop Calcs'!G8=0,"",'Hop Calcs'!G8)</f>
        <v/>
      </c>
      <c r="H22" s="552"/>
      <c r="I22" s="135" t="str">
        <f>'Hop Calcs'!H8</f>
        <v/>
      </c>
      <c r="J22" s="536" t="str">
        <f>IF(ISBLANK('Hop Calcs'!C8),"",IF('Hop Calcs'!C8="Hop Stand",CONCATENATE('Hop Calcs'!C8," (",'Hop Calcs'!B8,")"),'Hop Calcs'!C8))</f>
        <v/>
      </c>
      <c r="K22" s="537"/>
      <c r="M22" s="458" t="s">
        <v>1910</v>
      </c>
      <c r="N22" s="161">
        <f>IF('Brewhouse Setup &amp; Calcs'!$B$2="US Customary",'Water-English'!$E$43,'Water-Metric'!$E$44)</f>
        <v>2</v>
      </c>
      <c r="O22" s="161" t="str">
        <f>IFERROR(IF('Brewhouse Setup &amp; Calcs'!$B$2="US Customary",'Water-English'!$E$45,'Water-Metric'!$E$46),"")</f>
        <v/>
      </c>
      <c r="P22" s="131"/>
      <c r="Q22" s="588"/>
      <c r="R22" s="156" t="s">
        <v>1788</v>
      </c>
      <c r="S22" s="605"/>
      <c r="T22" s="143" t="str">
        <f>IF(T21="","",(T21/(258.6-((T21/258.2)*227.1)))+1)</f>
        <v/>
      </c>
      <c r="U22" s="141"/>
    </row>
    <row r="23" spans="1:33" ht="13.2" customHeight="1" x14ac:dyDescent="0.25">
      <c r="A23" s="550" t="str">
        <f>IF('Hop Calcs'!E9=0,"",'Hop Calcs'!E9)</f>
        <v/>
      </c>
      <c r="B23" s="550"/>
      <c r="C23" s="550"/>
      <c r="D23" s="550"/>
      <c r="E23" s="165" t="str">
        <f>IF('Hop Calcs'!D9=0,"",'Hop Calcs'!D9)</f>
        <v/>
      </c>
      <c r="F23" s="135" t="str">
        <f>IF('Hop Calcs'!F9=0,"",'Hop Calcs'!F9)</f>
        <v/>
      </c>
      <c r="G23" s="551" t="str">
        <f>IF('Hop Calcs'!G9=0,"",'Hop Calcs'!G9)</f>
        <v/>
      </c>
      <c r="H23" s="552"/>
      <c r="I23" s="135" t="str">
        <f>'Hop Calcs'!H9</f>
        <v/>
      </c>
      <c r="J23" s="536" t="str">
        <f>IF(ISBLANK('Hop Calcs'!C9),"",IF('Hop Calcs'!C9="Hop Stand",CONCATENATE('Hop Calcs'!C9," (",'Hop Calcs'!B9,")"),'Hop Calcs'!C9))</f>
        <v/>
      </c>
      <c r="K23" s="537"/>
      <c r="M23" s="458" t="s">
        <v>1911</v>
      </c>
      <c r="N23" s="161">
        <f>IF('Brewhouse Setup &amp; Calcs'!$B$2="US Customary",'Water-English'!$F$43,'Water-Metric'!$F$44)</f>
        <v>0</v>
      </c>
      <c r="O23" s="161" t="str">
        <f>IFERROR(IF('Brewhouse Setup &amp; Calcs'!$B$2="US Customary",'Water-English'!$F$45,'Water-Metric'!$F$46),"")</f>
        <v/>
      </c>
      <c r="P23" s="131"/>
      <c r="Q23" s="610" t="s">
        <v>2031</v>
      </c>
      <c r="R23" s="610"/>
      <c r="S23" s="602">
        <f>'Brewhouse Setup &amp; Calcs'!B17</f>
        <v>0.78600000000000003</v>
      </c>
      <c r="T23" s="151" t="str">
        <f>IF(OR('Grain &amp; Sugar Calcs'!$J$14=0,NOT(ISNUMBER($T$20)),NOT(ISNUMBER($T$17))),"",((($T$20-1)*1000)-'Grain &amp; Sugar Calcs'!$J$15)/('Grain &amp; Sugar Calcs'!$H$14/IF('Brewhouse Setup &amp; Calcs'!$B$5="Liters",(1.056688*$T$17/4),($T$17/4))))</f>
        <v/>
      </c>
      <c r="U23" s="157" t="s">
        <v>1787</v>
      </c>
    </row>
    <row r="24" spans="1:33" ht="13.2" customHeight="1" x14ac:dyDescent="0.25">
      <c r="A24" s="550" t="str">
        <f>IF('Hop Calcs'!E10=0,"",'Hop Calcs'!E10)</f>
        <v/>
      </c>
      <c r="B24" s="550"/>
      <c r="C24" s="550"/>
      <c r="D24" s="550"/>
      <c r="E24" s="165" t="str">
        <f>IF('Hop Calcs'!D10=0,"",'Hop Calcs'!D10)</f>
        <v/>
      </c>
      <c r="F24" s="135" t="str">
        <f>IF('Hop Calcs'!F10=0,"",'Hop Calcs'!F10)</f>
        <v/>
      </c>
      <c r="G24" s="551" t="str">
        <f>IF('Hop Calcs'!G10=0,"",'Hop Calcs'!G10)</f>
        <v/>
      </c>
      <c r="H24" s="552"/>
      <c r="I24" s="135" t="str">
        <f>'Hop Calcs'!H10</f>
        <v/>
      </c>
      <c r="J24" s="536" t="str">
        <f>IF(ISBLANK('Hop Calcs'!C10),"",IF('Hop Calcs'!C10="Hop Stand",CONCATENATE('Hop Calcs'!C10," (",'Hop Calcs'!B10,")"),'Hop Calcs'!C10))</f>
        <v/>
      </c>
      <c r="K24" s="537"/>
      <c r="P24" s="150"/>
      <c r="Q24" s="610"/>
      <c r="R24" s="610"/>
      <c r="S24" s="602"/>
      <c r="T24" s="151" t="str">
        <f>IF(OR('Grain &amp; Sugar Calcs'!$J$14=0,NOT(ISNUMBER($T$22)),NOT(ISNUMBER($T$17))),"",((($T$22-1)*1000)-'Grain &amp; Sugar Calcs'!$J$15)/('Grain &amp; Sugar Calcs'!$H$14/IF('Brewhouse Setup &amp; Calcs'!$B$5="Liters",(1.056688*$T$17/4),($T$17/4))))</f>
        <v/>
      </c>
      <c r="U24" s="158" t="s">
        <v>1806</v>
      </c>
      <c r="AG24" s="131"/>
    </row>
    <row r="25" spans="1:33" ht="13.2" customHeight="1" x14ac:dyDescent="0.25">
      <c r="A25" s="550" t="str">
        <f>IF('Hop Calcs'!E11=0,"",'Hop Calcs'!E11)</f>
        <v/>
      </c>
      <c r="B25" s="550"/>
      <c r="C25" s="550"/>
      <c r="D25" s="550"/>
      <c r="E25" s="165" t="str">
        <f>IF('Hop Calcs'!D11=0,"",'Hop Calcs'!D11)</f>
        <v/>
      </c>
      <c r="F25" s="135" t="str">
        <f>IF('Hop Calcs'!F11=0,"",'Hop Calcs'!F11)</f>
        <v/>
      </c>
      <c r="G25" s="551" t="str">
        <f>IF('Hop Calcs'!G11=0,"",'Hop Calcs'!G11)</f>
        <v/>
      </c>
      <c r="H25" s="552"/>
      <c r="I25" s="135" t="str">
        <f>'Hop Calcs'!H11</f>
        <v/>
      </c>
      <c r="J25" s="536" t="str">
        <f>IF(ISBLANK('Hop Calcs'!C11),"",IF('Hop Calcs'!C11="Hop Stand",CONCATENATE('Hop Calcs'!C11," (",'Hop Calcs'!B11,")"),'Hop Calcs'!C11))</f>
        <v/>
      </c>
      <c r="K25" s="537"/>
      <c r="M25" s="546" t="s">
        <v>1196</v>
      </c>
      <c r="N25" s="547"/>
      <c r="O25" s="548"/>
      <c r="P25" s="131"/>
      <c r="Q25" s="592" t="s">
        <v>111</v>
      </c>
      <c r="R25" s="593"/>
      <c r="S25" s="144">
        <f>'Brewhouse Setup &amp; Calcs'!$B$18</f>
        <v>75</v>
      </c>
      <c r="T25" s="145"/>
      <c r="U25" s="144" t="str">
        <f>'Brewhouse Setup &amp; Calcs'!C18</f>
        <v>min</v>
      </c>
      <c r="AG25" s="131"/>
    </row>
    <row r="26" spans="1:33" x14ac:dyDescent="0.25">
      <c r="A26" s="550" t="str">
        <f>IF('Hop Calcs'!E12=0,"",'Hop Calcs'!E12)</f>
        <v/>
      </c>
      <c r="B26" s="550"/>
      <c r="C26" s="550"/>
      <c r="D26" s="550"/>
      <c r="E26" s="165" t="str">
        <f>IF('Hop Calcs'!D12=0,"",'Hop Calcs'!D12)</f>
        <v/>
      </c>
      <c r="F26" s="136" t="str">
        <f>IF('Hop Calcs'!F12=0,"",'Hop Calcs'!F12)</f>
        <v/>
      </c>
      <c r="G26" s="551" t="str">
        <f>IF('Hop Calcs'!G12=0,"",'Hop Calcs'!G12)</f>
        <v/>
      </c>
      <c r="H26" s="552"/>
      <c r="I26" s="135" t="str">
        <f>'Hop Calcs'!H12</f>
        <v/>
      </c>
      <c r="J26" s="536" t="str">
        <f>IF(ISBLANK('Hop Calcs'!C12),"",IF('Hop Calcs'!C12="Hop Stand",CONCATENATE('Hop Calcs'!C12," (",'Hop Calcs'!B12,")"),'Hop Calcs'!C12))</f>
        <v/>
      </c>
      <c r="K26" s="537"/>
      <c r="M26" s="568" t="str">
        <f>IF(ISBLANK(M27),"",VLOOKUP(M27,yeast_table[#All],3,FALSE))</f>
        <v/>
      </c>
      <c r="N26" s="569"/>
      <c r="O26" s="570"/>
      <c r="P26" s="131"/>
      <c r="Q26" s="560" t="s">
        <v>107</v>
      </c>
      <c r="R26" s="561"/>
      <c r="S26" s="139">
        <f>'Brewhouse Setup &amp; Calcs'!B63</f>
        <v>24.25</v>
      </c>
      <c r="T26" s="172"/>
      <c r="U26" s="139" t="str">
        <f>'Brewhouse Setup &amp; Calcs'!C63</f>
        <v>qt</v>
      </c>
      <c r="AG26" s="131"/>
    </row>
    <row r="27" spans="1:33" x14ac:dyDescent="0.25">
      <c r="A27" s="550" t="str">
        <f>IF('Hop Calcs'!E13=0,"",'Hop Calcs'!E13)</f>
        <v/>
      </c>
      <c r="B27" s="550"/>
      <c r="C27" s="550"/>
      <c r="D27" s="550"/>
      <c r="E27" s="165" t="str">
        <f>IF('Hop Calcs'!D13=0,"",'Hop Calcs'!D13)</f>
        <v/>
      </c>
      <c r="F27" s="136" t="str">
        <f>IF('Hop Calcs'!F13=0,"",'Hop Calcs'!F13)</f>
        <v/>
      </c>
      <c r="G27" s="551" t="str">
        <f>IF('Hop Calcs'!G13=0,"",'Hop Calcs'!G13)</f>
        <v/>
      </c>
      <c r="H27" s="552"/>
      <c r="I27" s="135" t="str">
        <f>'Hop Calcs'!H13</f>
        <v/>
      </c>
      <c r="J27" s="536" t="str">
        <f>IF(ISBLANK('Hop Calcs'!C13),"",IF('Hop Calcs'!C13="Hop Stand",CONCATENATE('Hop Calcs'!C13," (",'Hop Calcs'!B13,")"),'Hop Calcs'!C13))</f>
        <v/>
      </c>
      <c r="K27" s="537"/>
      <c r="M27" s="571"/>
      <c r="N27" s="572"/>
      <c r="O27" s="573"/>
      <c r="P27" s="131"/>
      <c r="Q27" s="585" t="s">
        <v>1795</v>
      </c>
      <c r="R27" s="162" t="s">
        <v>1787</v>
      </c>
      <c r="S27" s="558">
        <f>'Grain &amp; Sugar Calcs'!K20</f>
        <v>1</v>
      </c>
      <c r="T27" s="146"/>
      <c r="U27" s="154" t="s">
        <v>19</v>
      </c>
    </row>
    <row r="28" spans="1:33" ht="13.2" customHeight="1" x14ac:dyDescent="0.25">
      <c r="A28" s="550" t="str">
        <f>IF('Hop Calcs'!E14=0,"",'Hop Calcs'!E14)</f>
        <v/>
      </c>
      <c r="B28" s="550"/>
      <c r="C28" s="550"/>
      <c r="D28" s="550"/>
      <c r="E28" s="165" t="str">
        <f>IF('Hop Calcs'!D14=0,"",'Hop Calcs'!D14)</f>
        <v/>
      </c>
      <c r="F28" s="136" t="str">
        <f>IF('Hop Calcs'!F14=0,"",'Hop Calcs'!F14)</f>
        <v/>
      </c>
      <c r="G28" s="551" t="str">
        <f>IF('Hop Calcs'!G14=0,"",'Hop Calcs'!G14)</f>
        <v/>
      </c>
      <c r="H28" s="552"/>
      <c r="I28" s="135" t="str">
        <f>'Hop Calcs'!H14</f>
        <v/>
      </c>
      <c r="J28" s="536" t="str">
        <f>IF(ISBLANK('Hop Calcs'!C14),"",IF('Hop Calcs'!C14="Hop Stand",CONCATENATE('Hop Calcs'!C14," (",'Hop Calcs'!B14,")"),'Hop Calcs'!C14))</f>
        <v/>
      </c>
      <c r="K28" s="537"/>
      <c r="M28" s="480" t="s">
        <v>1792</v>
      </c>
      <c r="N28" s="487" t="str">
        <f>CONCATENATE(IF(ISBLANK(M27),"",(IF('Brewhouse Setup &amp; Calcs'!$B$4="°C",ROUND(5/9*(VLOOKUP(M27,yeast_table[#All],7,FALSE)-32),1),VLOOKUP(M27,yeast_table[#All],7,FALSE)))),"-",IF(ISBLANK(M27),"",(IF('Brewhouse Setup &amp; Calcs'!$B$4="°C",ROUND(5/9*(VLOOKUP(M27,yeast_table[#All],8,FALSE)-32),1),VLOOKUP(M27,yeast_table[#All],8,FALSE)))))</f>
        <v>-</v>
      </c>
      <c r="O28" s="152" t="str">
        <f>'Brewhouse Setup &amp; Calcs'!$B$4</f>
        <v>°F</v>
      </c>
      <c r="P28" s="131"/>
      <c r="Q28" s="585"/>
      <c r="R28" s="156" t="s">
        <v>1788</v>
      </c>
      <c r="S28" s="559"/>
      <c r="T28" s="143" t="str">
        <f>IF(OR(ISBLANK(T27),ISBLANK(U28)),"",'Brewhouse Setup &amp; Calcs'!$B$35+IF('Brewhouse Setup &amp; Calcs'!$B$2="US Customary", (T27*((1.00130346-0.000134722124*U28+0.00000204052596*U28^2-0.00000000232820948*U28^3)/(1.00130346-0.000134722124*'Brewhouse Setup &amp; Calcs'!$B$34+0.00000204052596*'Brewhouse Setup &amp; Calcs'!$B$34^2-0.00000000232820948*'Brewhouse Setup &amp; Calcs'!$B$34^3))), (T27*((1.00130346-0.000134722124*((U28* 9/5)+32)+0.00000204052596*((U28* 9/5)+32)^2-0.00000000232820948*((U28* 9/5)+32)^3)/(1.00130346-0.000134722124*(('Brewhouse Setup &amp; Calcs'!$B$34* 9/5)+32)+0.00000204052596*(('Brewhouse Setup &amp; Calcs'!$B$34* 9/5)+32)^2-0.00000000232820948*(('Brewhouse Setup &amp; Calcs'!$B$34* 9/5)+32)^3)))))</f>
        <v/>
      </c>
      <c r="U28" s="148"/>
    </row>
    <row r="29" spans="1:33" ht="13.2" customHeight="1" x14ac:dyDescent="0.25">
      <c r="A29" s="550" t="str">
        <f>IF('Hop Calcs'!E15=0,"",'Hop Calcs'!E15)</f>
        <v/>
      </c>
      <c r="B29" s="550"/>
      <c r="C29" s="550"/>
      <c r="D29" s="550"/>
      <c r="E29" s="165" t="str">
        <f>IF('Hop Calcs'!D15=0,"",'Hop Calcs'!D15)</f>
        <v/>
      </c>
      <c r="F29" s="136" t="str">
        <f>IF('Hop Calcs'!F15=0,"",'Hop Calcs'!F15)</f>
        <v/>
      </c>
      <c r="G29" s="551" t="str">
        <f>IF('Hop Calcs'!G15=0,"",'Hop Calcs'!G15)</f>
        <v/>
      </c>
      <c r="H29" s="552"/>
      <c r="I29" s="135" t="str">
        <f>'Hop Calcs'!H15</f>
        <v/>
      </c>
      <c r="J29" s="536" t="str">
        <f>IF(ISBLANK('Hop Calcs'!C15),"",IF('Hop Calcs'!C15="Hop Stand",CONCATENATE('Hop Calcs'!C15," (",'Hop Calcs'!B15,")"),'Hop Calcs'!C15))</f>
        <v/>
      </c>
      <c r="K29" s="537"/>
      <c r="L29" s="131"/>
      <c r="P29" s="131"/>
      <c r="Q29" s="585"/>
      <c r="R29" s="162" t="s">
        <v>1791</v>
      </c>
      <c r="S29" s="559"/>
      <c r="T29" s="142"/>
      <c r="U29" s="147" t="s">
        <v>141</v>
      </c>
      <c r="AD29" s="187"/>
    </row>
    <row r="30" spans="1:33" ht="13.2" customHeight="1" x14ac:dyDescent="0.25">
      <c r="M30" s="556" t="s">
        <v>1633</v>
      </c>
      <c r="N30" s="574"/>
      <c r="O30" s="557"/>
      <c r="P30" s="131"/>
      <c r="Q30" s="585"/>
      <c r="R30" s="156" t="s">
        <v>1788</v>
      </c>
      <c r="S30" s="559"/>
      <c r="T30" s="143" t="str">
        <f>IF(T29="","",(T29/(258.6-((T29/258.2)*227.1)))+1)</f>
        <v/>
      </c>
      <c r="U30" s="141"/>
      <c r="AD30" s="4"/>
    </row>
    <row r="31" spans="1:33" ht="13.2" customHeight="1" x14ac:dyDescent="0.25">
      <c r="A31" s="620" t="s">
        <v>133</v>
      </c>
      <c r="B31" s="620"/>
      <c r="C31" s="620"/>
      <c r="D31" s="620"/>
      <c r="E31" s="556" t="s">
        <v>2016</v>
      </c>
      <c r="F31" s="557"/>
      <c r="G31" s="556" t="s">
        <v>1793</v>
      </c>
      <c r="H31" s="574"/>
      <c r="I31" s="557"/>
      <c r="M31" s="147" t="s">
        <v>2014</v>
      </c>
      <c r="N31" s="490"/>
      <c r="O31" s="141"/>
      <c r="P31" s="131"/>
      <c r="Q31" s="560" t="s">
        <v>1802</v>
      </c>
      <c r="R31" s="561"/>
      <c r="S31" s="135">
        <f>J12+'Brewhouse Setup &amp; Calcs'!B33</f>
        <v>22</v>
      </c>
      <c r="T31" s="149"/>
      <c r="U31" s="136" t="str">
        <f>'Brewhouse Setup &amp; Calcs'!$B$5</f>
        <v>qt</v>
      </c>
      <c r="AD31" s="461"/>
    </row>
    <row r="32" spans="1:33" x14ac:dyDescent="0.25">
      <c r="A32" s="535"/>
      <c r="B32" s="535"/>
      <c r="C32" s="535"/>
      <c r="D32" s="535"/>
      <c r="E32" s="575"/>
      <c r="F32" s="576"/>
      <c r="G32" s="575"/>
      <c r="H32" s="584"/>
      <c r="I32" s="576"/>
      <c r="M32" s="147" t="s">
        <v>1182</v>
      </c>
      <c r="N32" s="490"/>
      <c r="O32" s="136" t="str">
        <f>'Brewhouse Setup &amp; Calcs'!$B$4</f>
        <v>°F</v>
      </c>
      <c r="P32" s="131"/>
      <c r="Q32" s="586" t="s">
        <v>2019</v>
      </c>
      <c r="R32" s="162" t="s">
        <v>1787</v>
      </c>
      <c r="S32" s="558" t="str">
        <f>IF(NOT(ISNUMBER(J13)),"",1+('Grain &amp; Sugar Calcs'!K16*(1-J13)/1000))</f>
        <v/>
      </c>
      <c r="T32" s="155"/>
      <c r="U32" s="154" t="s">
        <v>19</v>
      </c>
    </row>
    <row r="33" spans="1:25" ht="13.2" customHeight="1" x14ac:dyDescent="0.25">
      <c r="A33" s="535"/>
      <c r="B33" s="535"/>
      <c r="C33" s="535"/>
      <c r="D33" s="535"/>
      <c r="E33" s="575"/>
      <c r="F33" s="576"/>
      <c r="G33" s="575"/>
      <c r="H33" s="584"/>
      <c r="I33" s="576"/>
      <c r="M33" s="147" t="s">
        <v>2015</v>
      </c>
      <c r="N33" s="161" t="str">
        <f>IF(OR(ISBLANK(N31),ISBLANK(N32)),"",IF('Brewhouse Setup &amp; Calcs'!$B$2="US Customary",(-16.6999 - 0.0101059*N32 + 0.00116512*N32^2 + 0.173354*N32*N31 + 4.24267*N31 - 0.0684226*N31^2),(-16.6999 - 0.0101059*(9/5*N32+32) + 0.00116512*(9/5*N32+32)^2 + 0.173354*(9/5*N32+32)*N31 + 4.24267*N31 - 0.0684226*N31^2)*6.894757))</f>
        <v/>
      </c>
      <c r="O33" s="136" t="str">
        <f>'Brewhouse Setup &amp; Calcs'!B8</f>
        <v>PSI</v>
      </c>
      <c r="P33" s="131"/>
      <c r="Q33" s="587"/>
      <c r="R33" s="156" t="s">
        <v>1788</v>
      </c>
      <c r="S33" s="559"/>
      <c r="T33" s="143" t="str">
        <f>IF(OR(ISBLANK(T32),ISBLANK(U33)),"",'Brewhouse Setup &amp; Calcs'!$B$35+IF('Brewhouse Setup &amp; Calcs'!$B$2="US Customary", (T32*((1.00130346-0.000134722124*U33+0.00000204052596*U33^2-0.00000000232820948*U33^3)/(1.00130346-0.000134722124*'Brewhouse Setup &amp; Calcs'!$B$34+0.00000204052596*'Brewhouse Setup &amp; Calcs'!$B$34^2-0.00000000232820948*'Brewhouse Setup &amp; Calcs'!$B$34^3))), (T32*((1.00130346-0.000134722124*((U33* 9/5)+32)+0.00000204052596*((U33* 9/5)+32)^2-0.00000000232820948*((U33* 9/5)+32)^3)/(1.00130346-0.000134722124*(('Brewhouse Setup &amp; Calcs'!$B$34* 9/5)+32)+0.00000204052596*(('Brewhouse Setup &amp; Calcs'!$B$34* 9/5)+32)^2-0.00000000232820948*(('Brewhouse Setup &amp; Calcs'!$B$34* 9/5)+32)^3)))))</f>
        <v/>
      </c>
      <c r="U33" s="148"/>
    </row>
    <row r="34" spans="1:25" ht="13.2" customHeight="1" x14ac:dyDescent="0.25">
      <c r="A34" s="535"/>
      <c r="B34" s="535"/>
      <c r="C34" s="535"/>
      <c r="D34" s="535"/>
      <c r="E34" s="575"/>
      <c r="F34" s="576"/>
      <c r="G34" s="575"/>
      <c r="H34" s="584"/>
      <c r="I34" s="576"/>
      <c r="P34" s="131"/>
      <c r="Q34" s="587"/>
      <c r="R34" s="162" t="s">
        <v>1791</v>
      </c>
      <c r="S34" s="559"/>
      <c r="T34" s="142"/>
      <c r="U34" s="147" t="s">
        <v>141</v>
      </c>
    </row>
    <row r="35" spans="1:25" x14ac:dyDescent="0.25">
      <c r="A35" s="535"/>
      <c r="B35" s="535"/>
      <c r="C35" s="535"/>
      <c r="D35" s="535"/>
      <c r="E35" s="575"/>
      <c r="F35" s="576"/>
      <c r="G35" s="575"/>
      <c r="H35" s="584"/>
      <c r="I35" s="576"/>
      <c r="P35" s="131"/>
      <c r="Q35" s="588"/>
      <c r="R35" s="156" t="s">
        <v>1788</v>
      </c>
      <c r="S35" s="559"/>
      <c r="T35" s="143" t="str">
        <f>IF(T34=0, "", 1 - 0.000856829*(T29/'Brewhouse Setup &amp; Calcs'!B36) + 0.00349412*(T34/'Brewhouse Setup &amp; Calcs'!B36))</f>
        <v/>
      </c>
      <c r="U35" s="141"/>
    </row>
    <row r="36" spans="1:25" ht="13.2" customHeight="1" x14ac:dyDescent="0.25">
      <c r="A36" s="535"/>
      <c r="B36" s="535"/>
      <c r="C36" s="535"/>
      <c r="D36" s="535"/>
      <c r="E36" s="575"/>
      <c r="F36" s="576"/>
      <c r="G36" s="575"/>
      <c r="H36" s="584"/>
      <c r="I36" s="576"/>
      <c r="L36" s="131"/>
      <c r="M36" s="131"/>
      <c r="N36" s="131"/>
      <c r="O36" s="131"/>
      <c r="P36" s="131"/>
      <c r="Q36" s="560" t="str">
        <f>'Brewhouse Setup &amp; Calcs'!A12</f>
        <v>Target Batch Size</v>
      </c>
      <c r="R36" s="561"/>
      <c r="S36" s="135">
        <f>'Brewhouse Setup &amp; Calcs'!$B$12</f>
        <v>20</v>
      </c>
      <c r="T36" s="149"/>
      <c r="U36" s="136" t="str">
        <f>'Brewhouse Setup &amp; Calcs'!$B$5</f>
        <v>qt</v>
      </c>
      <c r="V36" s="131"/>
      <c r="W36" s="131"/>
      <c r="X36" s="131"/>
      <c r="Y36" s="131"/>
    </row>
    <row r="37" spans="1:25" ht="6.6" customHeight="1" x14ac:dyDescent="0.25">
      <c r="P37" s="131"/>
      <c r="Q37" s="131"/>
      <c r="R37" s="131"/>
      <c r="S37" s="131"/>
      <c r="T37" s="131"/>
      <c r="U37" s="131"/>
    </row>
    <row r="38" spans="1:25" ht="13.2" customHeight="1" x14ac:dyDescent="0.25">
      <c r="A38" s="611" t="s">
        <v>2147</v>
      </c>
      <c r="B38" s="612"/>
      <c r="C38" s="612"/>
      <c r="D38" s="612"/>
      <c r="E38" s="612"/>
      <c r="F38" s="612"/>
      <c r="G38" s="612"/>
      <c r="H38" s="612"/>
      <c r="I38" s="612"/>
      <c r="J38" s="612"/>
      <c r="K38" s="612"/>
      <c r="L38" s="612"/>
      <c r="M38" s="612"/>
      <c r="N38" s="612"/>
      <c r="O38" s="613"/>
      <c r="P38" s="131"/>
    </row>
    <row r="39" spans="1:25" x14ac:dyDescent="0.25">
      <c r="A39" s="614"/>
      <c r="B39" s="615"/>
      <c r="C39" s="615"/>
      <c r="D39" s="615"/>
      <c r="E39" s="615"/>
      <c r="F39" s="615"/>
      <c r="G39" s="615"/>
      <c r="H39" s="615"/>
      <c r="I39" s="615"/>
      <c r="J39" s="615"/>
      <c r="K39" s="615"/>
      <c r="L39" s="615"/>
      <c r="M39" s="615"/>
      <c r="N39" s="615"/>
      <c r="O39" s="616"/>
      <c r="P39" s="131"/>
    </row>
    <row r="40" spans="1:25" x14ac:dyDescent="0.25">
      <c r="A40" s="614"/>
      <c r="B40" s="615"/>
      <c r="C40" s="615"/>
      <c r="D40" s="615"/>
      <c r="E40" s="615"/>
      <c r="F40" s="615"/>
      <c r="G40" s="615"/>
      <c r="H40" s="615"/>
      <c r="I40" s="615"/>
      <c r="J40" s="615"/>
      <c r="K40" s="615"/>
      <c r="L40" s="615"/>
      <c r="M40" s="615"/>
      <c r="N40" s="615"/>
      <c r="O40" s="616"/>
      <c r="P40" s="131"/>
      <c r="V40" s="131"/>
      <c r="W40" s="131"/>
      <c r="X40" s="131"/>
      <c r="Y40" s="131"/>
    </row>
    <row r="41" spans="1:25" ht="13.2" customHeight="1" x14ac:dyDescent="0.25">
      <c r="A41" s="614"/>
      <c r="B41" s="615"/>
      <c r="C41" s="615"/>
      <c r="D41" s="615"/>
      <c r="E41" s="615"/>
      <c r="F41" s="615"/>
      <c r="G41" s="615"/>
      <c r="H41" s="615"/>
      <c r="I41" s="615"/>
      <c r="J41" s="615"/>
      <c r="K41" s="615"/>
      <c r="L41" s="615"/>
      <c r="M41" s="615"/>
      <c r="N41" s="615"/>
      <c r="O41" s="616"/>
      <c r="P41" s="131"/>
      <c r="Q41" s="131"/>
      <c r="V41" s="131"/>
      <c r="W41" s="131"/>
      <c r="X41" s="131"/>
      <c r="Y41" s="131"/>
    </row>
    <row r="42" spans="1:25" x14ac:dyDescent="0.25">
      <c r="A42" s="617"/>
      <c r="B42" s="618"/>
      <c r="C42" s="618"/>
      <c r="D42" s="618"/>
      <c r="E42" s="618"/>
      <c r="F42" s="618"/>
      <c r="G42" s="618"/>
      <c r="H42" s="618"/>
      <c r="I42" s="618"/>
      <c r="J42" s="618"/>
      <c r="K42" s="618"/>
      <c r="L42" s="618"/>
      <c r="M42" s="618"/>
      <c r="N42" s="618"/>
      <c r="O42" s="619"/>
    </row>
    <row r="50" spans="20:34" x14ac:dyDescent="0.25">
      <c r="AH50" s="40"/>
    </row>
    <row r="51" spans="20:34" x14ac:dyDescent="0.25">
      <c r="V51" s="40"/>
      <c r="W51" s="40"/>
      <c r="X51" s="40"/>
      <c r="Y51" s="40"/>
    </row>
    <row r="53" spans="20:34" x14ac:dyDescent="0.25">
      <c r="Z53" s="40"/>
    </row>
    <row r="54" spans="20:34" x14ac:dyDescent="0.25">
      <c r="Z54" s="40"/>
    </row>
    <row r="55" spans="20:34" x14ac:dyDescent="0.25">
      <c r="Z55" s="40"/>
    </row>
    <row r="56" spans="20:34" x14ac:dyDescent="0.25">
      <c r="T56" s="62"/>
      <c r="U56" s="62"/>
      <c r="V56" s="62"/>
      <c r="W56" s="62"/>
      <c r="X56" s="62"/>
      <c r="Y56" s="62"/>
      <c r="Z56" s="40"/>
    </row>
    <row r="57" spans="20:34" x14ac:dyDescent="0.25">
      <c r="Z57" s="40"/>
    </row>
  </sheetData>
  <sheetProtection sheet="1" objects="1" scenarios="1"/>
  <dataConsolidate/>
  <mergeCells count="119">
    <mergeCell ref="Q26:R26"/>
    <mergeCell ref="Q23:R24"/>
    <mergeCell ref="Q36:R36"/>
    <mergeCell ref="Q19:Q22"/>
    <mergeCell ref="A15:D15"/>
    <mergeCell ref="A38:O42"/>
    <mergeCell ref="G36:I36"/>
    <mergeCell ref="G35:I35"/>
    <mergeCell ref="G34:I34"/>
    <mergeCell ref="G29:H29"/>
    <mergeCell ref="G28:H28"/>
    <mergeCell ref="G27:H27"/>
    <mergeCell ref="G26:H26"/>
    <mergeCell ref="G24:H24"/>
    <mergeCell ref="A24:D24"/>
    <mergeCell ref="G25:H25"/>
    <mergeCell ref="J25:K25"/>
    <mergeCell ref="A34:D34"/>
    <mergeCell ref="A35:D35"/>
    <mergeCell ref="E36:F36"/>
    <mergeCell ref="A29:D29"/>
    <mergeCell ref="A36:D36"/>
    <mergeCell ref="A31:D31"/>
    <mergeCell ref="A32:D32"/>
    <mergeCell ref="Q1:U1"/>
    <mergeCell ref="Q2:U2"/>
    <mergeCell ref="H11:I11"/>
    <mergeCell ref="H12:I12"/>
    <mergeCell ref="Q5:R5"/>
    <mergeCell ref="Q4:U4"/>
    <mergeCell ref="S23:S24"/>
    <mergeCell ref="H9:I9"/>
    <mergeCell ref="H10:I10"/>
    <mergeCell ref="H4:K4"/>
    <mergeCell ref="J23:K23"/>
    <mergeCell ref="J24:K24"/>
    <mergeCell ref="J22:K22"/>
    <mergeCell ref="J21:K21"/>
    <mergeCell ref="H16:I16"/>
    <mergeCell ref="G19:H19"/>
    <mergeCell ref="S18:U18"/>
    <mergeCell ref="S19:S22"/>
    <mergeCell ref="I1:M1"/>
    <mergeCell ref="I2:M2"/>
    <mergeCell ref="M4:O4"/>
    <mergeCell ref="H6:I6"/>
    <mergeCell ref="H7:I7"/>
    <mergeCell ref="G23:H23"/>
    <mergeCell ref="Q6:R6"/>
    <mergeCell ref="Q7:R7"/>
    <mergeCell ref="Q8:R8"/>
    <mergeCell ref="E33:F33"/>
    <mergeCell ref="E35:F35"/>
    <mergeCell ref="E34:F34"/>
    <mergeCell ref="J26:K26"/>
    <mergeCell ref="J27:K27"/>
    <mergeCell ref="F5:F6"/>
    <mergeCell ref="M5:O5"/>
    <mergeCell ref="N6:N7"/>
    <mergeCell ref="O6:O7"/>
    <mergeCell ref="M6:M7"/>
    <mergeCell ref="H8:I8"/>
    <mergeCell ref="G31:I31"/>
    <mergeCell ref="G32:I32"/>
    <mergeCell ref="G33:I33"/>
    <mergeCell ref="E32:F32"/>
    <mergeCell ref="Q31:R31"/>
    <mergeCell ref="Q27:Q30"/>
    <mergeCell ref="Q32:Q35"/>
    <mergeCell ref="Q13:Q16"/>
    <mergeCell ref="Q18:R18"/>
    <mergeCell ref="Q25:R25"/>
    <mergeCell ref="S27:S30"/>
    <mergeCell ref="S32:S35"/>
    <mergeCell ref="Q9:R9"/>
    <mergeCell ref="Q10:R10"/>
    <mergeCell ref="Q11:R11"/>
    <mergeCell ref="Q12:R12"/>
    <mergeCell ref="Q17:R17"/>
    <mergeCell ref="J29:K29"/>
    <mergeCell ref="H14:I14"/>
    <mergeCell ref="H13:I13"/>
    <mergeCell ref="A18:K18"/>
    <mergeCell ref="F19:F20"/>
    <mergeCell ref="E19:E20"/>
    <mergeCell ref="M16:O16"/>
    <mergeCell ref="A25:D25"/>
    <mergeCell ref="A19:D20"/>
    <mergeCell ref="J19:K20"/>
    <mergeCell ref="I19:I20"/>
    <mergeCell ref="A12:D12"/>
    <mergeCell ref="A13:D13"/>
    <mergeCell ref="M25:O25"/>
    <mergeCell ref="M26:O26"/>
    <mergeCell ref="M27:O27"/>
    <mergeCell ref="M30:O30"/>
    <mergeCell ref="A33:D33"/>
    <mergeCell ref="J28:K28"/>
    <mergeCell ref="B1:E1"/>
    <mergeCell ref="B2:E2"/>
    <mergeCell ref="A5:D6"/>
    <mergeCell ref="A4:F4"/>
    <mergeCell ref="A7:D7"/>
    <mergeCell ref="A8:D8"/>
    <mergeCell ref="A9:D9"/>
    <mergeCell ref="A10:D10"/>
    <mergeCell ref="A11:D11"/>
    <mergeCell ref="G22:H22"/>
    <mergeCell ref="G21:H21"/>
    <mergeCell ref="G20:H20"/>
    <mergeCell ref="H15:I15"/>
    <mergeCell ref="A22:D22"/>
    <mergeCell ref="A21:D21"/>
    <mergeCell ref="A23:D23"/>
    <mergeCell ref="A14:D14"/>
    <mergeCell ref="E31:F31"/>
    <mergeCell ref="A26:D26"/>
    <mergeCell ref="A27:D27"/>
    <mergeCell ref="A28:D28"/>
  </mergeCells>
  <conditionalFormatting sqref="S10">
    <cfRule type="expression" dxfId="46" priority="12">
      <formula>AND(S7&lt;&gt;T7,NOT(ISBLANK(T7)))</formula>
    </cfRule>
  </conditionalFormatting>
  <conditionalFormatting sqref="T20">
    <cfRule type="expression" dxfId="45" priority="7">
      <formula>IF($S$18="Hydrometer",TRUE,FALSE)</formula>
    </cfRule>
  </conditionalFormatting>
  <conditionalFormatting sqref="T28">
    <cfRule type="expression" dxfId="44" priority="6">
      <formula>IF($S$18="Hydrometer",TRUE,FALSE)</formula>
    </cfRule>
  </conditionalFormatting>
  <conditionalFormatting sqref="T33">
    <cfRule type="expression" dxfId="43" priority="5">
      <formula>IF($S$18="Hydrometer",TRUE,FALSE)</formula>
    </cfRule>
  </conditionalFormatting>
  <conditionalFormatting sqref="T22">
    <cfRule type="expression" dxfId="42" priority="4">
      <formula>IF($S$18="Refractometer",TRUE,FALSE)</formula>
    </cfRule>
  </conditionalFormatting>
  <conditionalFormatting sqref="T30">
    <cfRule type="expression" dxfId="41" priority="3">
      <formula>IF($S$18="Refractometer",TRUE,FALSE)</formula>
    </cfRule>
  </conditionalFormatting>
  <conditionalFormatting sqref="T35">
    <cfRule type="expression" dxfId="40" priority="2">
      <formula>IF($S$18="Refractometer",TRUE,FALSE)</formula>
    </cfRule>
  </conditionalFormatting>
  <dataValidations xWindow="274" yWindow="299" count="4">
    <dataValidation type="list" showInputMessage="1" showErrorMessage="1" errorTitle="Category" error="Choose a beer category." promptTitle="Beer Category" prompt="Choose beer category." sqref="B1" xr:uid="{00000000-0002-0000-0100-000000000000}">
      <formula1>BeerList_Headers</formula1>
    </dataValidation>
    <dataValidation type="list" showInputMessage="1" showErrorMessage="1" errorTitle="Style" error="Choose beer style for selected category." promptTitle="Beer Style" prompt="Choose beer style for selected category." sqref="B2" xr:uid="{00000000-0002-0000-0100-000001000000}">
      <formula1>BeerList_list2</formula1>
    </dataValidation>
    <dataValidation type="list" allowBlank="1" showInputMessage="1" showErrorMessage="1" sqref="S18" xr:uid="{78058F6E-1241-4ACD-9E15-365D7B01F2EE}">
      <formula1>"Hydrometer,Refractometer"</formula1>
    </dataValidation>
    <dataValidation allowBlank="1" showInputMessage="1" showErrorMessage="1" promptTitle="Hydrometer Sample Temperature" prompt="Temperature of sample in hydrometer flask." sqref="U19 U27" xr:uid="{3DC86975-0BEA-4B25-923C-794D631ED61C}"/>
  </dataValidations>
  <hyperlinks>
    <hyperlink ref="Q2" r:id="rId1" xr:uid="{00000000-0004-0000-0100-000000000000}"/>
  </hyperlinks>
  <printOptions horizontalCentered="1" verticalCentered="1"/>
  <pageMargins left="0.38" right="0.38" top="0.5" bottom="0.5" header="0.2" footer="0.2"/>
  <pageSetup scale="99" orientation="landscape" r:id="rId2"/>
  <headerFooter>
    <oddHeader>&amp;C&amp;"Comic Sans MS,Regular"&amp;16&amp;F</oddHeader>
    <oddFooter>&amp;LYouTube Channel: BEERNBBQBYLARRY
Facebook: BEERNBBQBYLARRY
Twitter: @BEERNBBQbyLarry&amp;CCourtesy of
&amp;"Arial,Bold"&amp;12BEER-N-BBQ by Larry
&amp;10www.beernbbqbylarry.com&amp;RPlease consider donating via the PayPal link above.</oddFooter>
  </headerFooter>
  <ignoredErrors>
    <ignoredError sqref="U9" formula="1"/>
  </ignoredErrors>
  <extLst>
    <ext xmlns:x14="http://schemas.microsoft.com/office/spreadsheetml/2009/9/main" uri="{78C0D931-6437-407d-A8EE-F0AAD7539E65}">
      <x14:conditionalFormattings>
        <x14:conditionalFormatting xmlns:xm="http://schemas.microsoft.com/office/excel/2006/main">
          <x14:cfRule type="expression" priority="1" id="{01623D2D-1FEF-4170-A966-BF23EED05C01}">
            <xm:f>IF('Brewhouse Setup &amp; Calcs'!$B$27="Fly",TRUE,FALSE)</xm:f>
            <x14:dxf>
              <fill>
                <patternFill>
                  <bgColor theme="0" tint="-0.14996795556505021"/>
                </patternFill>
              </fill>
            </x14:dxf>
          </x14:cfRule>
          <xm:sqref>T16</xm:sqref>
        </x14:conditionalFormatting>
      </x14:conditionalFormattings>
    </ext>
    <ext xmlns:x14="http://schemas.microsoft.com/office/spreadsheetml/2009/9/main" uri="{CCE6A557-97BC-4b89-ADB6-D9C93CAAB3DF}">
      <x14:dataValidations xmlns:xm="http://schemas.microsoft.com/office/excel/2006/main" xWindow="274" yWindow="299" count="1">
        <x14:dataValidation type="list" showInputMessage="1" showErrorMessage="1" xr:uid="{00000000-0002-0000-0100-000002000000}">
          <x14:formula1>
            <xm:f>'Yeast List'!$A$2:$A$265</xm:f>
          </x14:formula1>
          <xm:sqref>M27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I74"/>
  <sheetViews>
    <sheetView workbookViewId="0">
      <selection activeCell="B16" sqref="B16"/>
    </sheetView>
  </sheetViews>
  <sheetFormatPr defaultRowHeight="13.2" x14ac:dyDescent="0.25"/>
  <cols>
    <col min="1" max="1" width="32.88671875" customWidth="1"/>
    <col min="2" max="2" width="6.6640625" style="4" customWidth="1"/>
    <col min="3" max="3" width="8.44140625" style="4" bestFit="1" customWidth="1"/>
    <col min="4" max="4" width="6.5546875" style="4" customWidth="1"/>
    <col min="5" max="5" width="10" style="4" customWidth="1"/>
    <col min="6" max="6" width="14.44140625" customWidth="1"/>
    <col min="8" max="8" width="79.5546875" customWidth="1"/>
    <col min="9" max="9" width="86.5546875" customWidth="1"/>
  </cols>
  <sheetData>
    <row r="2" spans="1:9" x14ac:dyDescent="0.25">
      <c r="A2" s="46" t="s">
        <v>1186</v>
      </c>
      <c r="B2" s="629" t="s">
        <v>2018</v>
      </c>
      <c r="C2" s="630"/>
      <c r="D2"/>
      <c r="E2"/>
      <c r="F2" s="636" t="s">
        <v>1635</v>
      </c>
      <c r="G2" s="637"/>
      <c r="H2" s="637"/>
    </row>
    <row r="3" spans="1:9" x14ac:dyDescent="0.25">
      <c r="A3" s="49" t="s">
        <v>132</v>
      </c>
      <c r="B3" s="48" t="s">
        <v>104</v>
      </c>
      <c r="C3"/>
      <c r="D3"/>
      <c r="E3"/>
      <c r="F3" s="638" t="s">
        <v>1345</v>
      </c>
      <c r="G3" s="638"/>
      <c r="H3" s="638"/>
    </row>
    <row r="4" spans="1:9" x14ac:dyDescent="0.25">
      <c r="A4" s="2" t="s">
        <v>1182</v>
      </c>
      <c r="B4" s="55" t="str">
        <f>IF($B$2="US Customary","°F", IF($B$2="Metric","°C",))</f>
        <v>°F</v>
      </c>
    </row>
    <row r="5" spans="1:9" x14ac:dyDescent="0.25">
      <c r="A5" s="2" t="s">
        <v>1183</v>
      </c>
      <c r="B5" s="55" t="str">
        <f>IF($B$2="US Customary","qt", IF($B$2="Metric","Liters",))</f>
        <v>qt</v>
      </c>
      <c r="F5" s="647" t="s">
        <v>1321</v>
      </c>
      <c r="G5" s="647"/>
    </row>
    <row r="6" spans="1:9" x14ac:dyDescent="0.25">
      <c r="A6" s="2" t="s">
        <v>1184</v>
      </c>
      <c r="B6" s="55" t="str">
        <f>IF($B$2="US Customary","lb", IF($B$2="Metric","kg",))</f>
        <v>lb</v>
      </c>
      <c r="F6" s="14" t="s">
        <v>1322</v>
      </c>
      <c r="G6" s="23" t="str">
        <f>IF(B47&lt;=B25*B26,"PASS","FAIL")</f>
        <v>PASS</v>
      </c>
    </row>
    <row r="7" spans="1:9" x14ac:dyDescent="0.25">
      <c r="A7" s="2" t="s">
        <v>1185</v>
      </c>
      <c r="B7" s="55" t="str">
        <f>IF($B$2="US Customary","oz", IF($B$2="Metric","grams",))</f>
        <v>oz</v>
      </c>
      <c r="F7" s="14" t="s">
        <v>1323</v>
      </c>
      <c r="G7" s="23" t="str">
        <f>IF(B60&lt;=(B30*B29),"PASS","FAIL")</f>
        <v>PASS</v>
      </c>
    </row>
    <row r="8" spans="1:9" x14ac:dyDescent="0.25">
      <c r="A8" s="14" t="s">
        <v>1634</v>
      </c>
      <c r="B8" s="71" t="str">
        <f>IF($B$2="US Customary","PSI", IF($B$2="Metric","kPa",))</f>
        <v>PSI</v>
      </c>
    </row>
    <row r="9" spans="1:9" ht="13.8" thickBot="1" x14ac:dyDescent="0.3">
      <c r="A9" s="4"/>
      <c r="B9"/>
    </row>
    <row r="10" spans="1:9" ht="13.8" thickTop="1" x14ac:dyDescent="0.25">
      <c r="A10" s="633" t="s">
        <v>1174</v>
      </c>
      <c r="B10" s="634"/>
      <c r="C10" s="634"/>
      <c r="D10" s="634"/>
      <c r="E10" s="634"/>
      <c r="F10" s="634"/>
      <c r="G10" s="634"/>
      <c r="H10" s="635"/>
      <c r="I10" s="621" t="s">
        <v>1778</v>
      </c>
    </row>
    <row r="11" spans="1:9" x14ac:dyDescent="0.25">
      <c r="A11" s="85" t="s">
        <v>1324</v>
      </c>
      <c r="B11" s="83" t="s">
        <v>104</v>
      </c>
      <c r="C11" s="83" t="s">
        <v>100</v>
      </c>
      <c r="D11" s="83" t="s">
        <v>104</v>
      </c>
      <c r="E11" s="83" t="s">
        <v>100</v>
      </c>
      <c r="F11" s="627" t="s">
        <v>67</v>
      </c>
      <c r="G11" s="627"/>
      <c r="H11" s="628"/>
      <c r="I11" s="622"/>
    </row>
    <row r="12" spans="1:9" x14ac:dyDescent="0.25">
      <c r="A12" s="86" t="s">
        <v>1813</v>
      </c>
      <c r="B12" s="84">
        <v>20</v>
      </c>
      <c r="C12" s="55" t="str">
        <f>$B$5</f>
        <v>qt</v>
      </c>
      <c r="D12" s="56">
        <f>IF($B$2="US Customary",B12/4,"")</f>
        <v>5</v>
      </c>
      <c r="E12" s="71" t="str">
        <f>IF($B$2="US Customary","US Gal","")</f>
        <v>US Gal</v>
      </c>
      <c r="F12" s="631" t="s">
        <v>2029</v>
      </c>
      <c r="G12" s="631"/>
      <c r="H12" s="632"/>
      <c r="I12" s="501"/>
    </row>
    <row r="13" spans="1:9" x14ac:dyDescent="0.25">
      <c r="A13" s="86" t="s">
        <v>103</v>
      </c>
      <c r="B13" s="39">
        <v>68</v>
      </c>
      <c r="C13" s="71" t="str">
        <f>'Brewhouse Setup &amp; Calcs'!$B$4</f>
        <v>°F</v>
      </c>
      <c r="D13" s="639"/>
      <c r="E13" s="640"/>
      <c r="F13" s="631" t="s">
        <v>1815</v>
      </c>
      <c r="G13" s="631"/>
      <c r="H13" s="632"/>
      <c r="I13" s="502"/>
    </row>
    <row r="14" spans="1:9" x14ac:dyDescent="0.25">
      <c r="A14" s="86" t="s">
        <v>147</v>
      </c>
      <c r="B14" s="39">
        <v>150</v>
      </c>
      <c r="C14" s="71" t="str">
        <f>'Brewhouse Setup &amp; Calcs'!$B$4</f>
        <v>°F</v>
      </c>
      <c r="D14" s="641"/>
      <c r="E14" s="642"/>
      <c r="F14" s="631" t="s">
        <v>1816</v>
      </c>
      <c r="G14" s="631"/>
      <c r="H14" s="632"/>
      <c r="I14" s="502"/>
    </row>
    <row r="15" spans="1:9" x14ac:dyDescent="0.25">
      <c r="A15" s="86" t="s">
        <v>101</v>
      </c>
      <c r="B15" s="84">
        <v>1.375</v>
      </c>
      <c r="C15" s="71" t="str">
        <f>IF($B$2="Metric","L/kg","qt/lb")</f>
        <v>qt/lb</v>
      </c>
      <c r="D15" s="56">
        <f>IF($B$2="US Customary",B15/4,"")</f>
        <v>0.34375</v>
      </c>
      <c r="E15" s="71" t="str">
        <f>IF($B$2="US Customary","USGal/lb","")</f>
        <v>USGal/lb</v>
      </c>
      <c r="F15" s="631" t="s">
        <v>146</v>
      </c>
      <c r="G15" s="631"/>
      <c r="H15" s="632"/>
      <c r="I15" s="502"/>
    </row>
    <row r="16" spans="1:9" x14ac:dyDescent="0.25">
      <c r="A16" s="86" t="s">
        <v>1814</v>
      </c>
      <c r="B16" s="84">
        <v>0.55000000000000004</v>
      </c>
      <c r="C16" s="71" t="str">
        <f>IF($B$2="Metric","L/kg","qt/lb")</f>
        <v>qt/lb</v>
      </c>
      <c r="D16" s="56">
        <f>IF($B$2="US Customary",B16/4,"")</f>
        <v>0.13750000000000001</v>
      </c>
      <c r="E16" s="71" t="str">
        <f>IF($B$2="US Customary","USGal/lb","")</f>
        <v>USGal/lb</v>
      </c>
      <c r="F16" s="631" t="s">
        <v>1817</v>
      </c>
      <c r="G16" s="631"/>
      <c r="H16" s="632"/>
      <c r="I16" s="508" t="s">
        <v>1818</v>
      </c>
    </row>
    <row r="17" spans="1:9" x14ac:dyDescent="0.25">
      <c r="A17" s="87" t="s">
        <v>96</v>
      </c>
      <c r="B17" s="33">
        <v>0.78600000000000003</v>
      </c>
      <c r="C17" s="71" t="s">
        <v>105</v>
      </c>
      <c r="D17" s="639"/>
      <c r="E17" s="640"/>
      <c r="F17" s="631" t="s">
        <v>1819</v>
      </c>
      <c r="G17" s="631"/>
      <c r="H17" s="632"/>
      <c r="I17" s="502"/>
    </row>
    <row r="18" spans="1:9" x14ac:dyDescent="0.25">
      <c r="A18" s="86" t="s">
        <v>111</v>
      </c>
      <c r="B18" s="34">
        <v>75</v>
      </c>
      <c r="C18" s="71" t="s">
        <v>1197</v>
      </c>
      <c r="D18" s="643"/>
      <c r="E18" s="644"/>
      <c r="F18" s="631" t="s">
        <v>1820</v>
      </c>
      <c r="G18" s="631"/>
      <c r="H18" s="632"/>
      <c r="I18" s="502"/>
    </row>
    <row r="19" spans="1:9" x14ac:dyDescent="0.25">
      <c r="A19" s="86" t="s">
        <v>109</v>
      </c>
      <c r="B19" s="126">
        <v>2</v>
      </c>
      <c r="C19" s="71" t="str">
        <f>IF($B$2="Metric","L/hr","qt/hr")</f>
        <v>qt/hr</v>
      </c>
      <c r="D19" s="643"/>
      <c r="E19" s="644"/>
      <c r="F19" s="631" t="s">
        <v>1777</v>
      </c>
      <c r="G19" s="631"/>
      <c r="H19" s="632"/>
      <c r="I19" s="508" t="s">
        <v>2028</v>
      </c>
    </row>
    <row r="20" spans="1:9" x14ac:dyDescent="0.25">
      <c r="A20" s="86" t="s">
        <v>1201</v>
      </c>
      <c r="B20" s="35">
        <v>210.6</v>
      </c>
      <c r="C20" s="71" t="str">
        <f>$B$4</f>
        <v>°F</v>
      </c>
      <c r="D20" s="641"/>
      <c r="E20" s="642"/>
      <c r="F20" s="631" t="s">
        <v>1178</v>
      </c>
      <c r="G20" s="631"/>
      <c r="H20" s="632"/>
      <c r="I20" s="502"/>
    </row>
    <row r="21" spans="1:9" ht="13.8" thickBot="1" x14ac:dyDescent="0.3">
      <c r="A21" s="88" t="s">
        <v>1785</v>
      </c>
      <c r="B21" s="167">
        <v>0.1</v>
      </c>
      <c r="C21" s="91" t="str">
        <f>IF($B$2="Metric","L/g","qt/oz")</f>
        <v>qt/oz</v>
      </c>
      <c r="D21" s="110">
        <f>IF($B$2="US Customary",B21/4*16,"")</f>
        <v>0.4</v>
      </c>
      <c r="E21" s="91" t="str">
        <f>IF($B$2="US Customary","USGal/lb","")</f>
        <v>USGal/lb</v>
      </c>
      <c r="F21" s="625" t="s">
        <v>1821</v>
      </c>
      <c r="G21" s="625"/>
      <c r="H21" s="626"/>
      <c r="I21" s="507" t="s">
        <v>2030</v>
      </c>
    </row>
    <row r="22" spans="1:9" ht="14.4" thickTop="1" thickBot="1" x14ac:dyDescent="0.3">
      <c r="B22"/>
      <c r="I22" s="127"/>
    </row>
    <row r="23" spans="1:9" ht="13.8" thickTop="1" x14ac:dyDescent="0.25">
      <c r="A23" s="633" t="s">
        <v>1325</v>
      </c>
      <c r="B23" s="634"/>
      <c r="C23" s="634"/>
      <c r="D23" s="634"/>
      <c r="E23" s="634"/>
      <c r="F23" s="634"/>
      <c r="G23" s="634"/>
      <c r="H23" s="649"/>
      <c r="I23" s="621" t="s">
        <v>1778</v>
      </c>
    </row>
    <row r="24" spans="1:9" x14ac:dyDescent="0.25">
      <c r="A24" s="85" t="s">
        <v>1324</v>
      </c>
      <c r="B24" s="83" t="s">
        <v>104</v>
      </c>
      <c r="C24" s="83" t="s">
        <v>100</v>
      </c>
      <c r="D24" s="83" t="s">
        <v>104</v>
      </c>
      <c r="E24" s="83" t="s">
        <v>100</v>
      </c>
      <c r="F24" s="627" t="s">
        <v>67</v>
      </c>
      <c r="G24" s="627"/>
      <c r="H24" s="628"/>
      <c r="I24" s="622"/>
    </row>
    <row r="25" spans="1:9" x14ac:dyDescent="0.25">
      <c r="A25" s="89" t="s">
        <v>108</v>
      </c>
      <c r="B25" s="31">
        <v>32</v>
      </c>
      <c r="C25" s="55" t="str">
        <f>$B$5</f>
        <v>qt</v>
      </c>
      <c r="D25" s="55">
        <f>IF($B$2="US Customary",B25/4,"")</f>
        <v>8</v>
      </c>
      <c r="E25" s="71" t="str">
        <f>IF($B$2="US Customary","US Gal","")</f>
        <v>US Gal</v>
      </c>
      <c r="F25" s="623" t="s">
        <v>1175</v>
      </c>
      <c r="G25" s="623"/>
      <c r="H25" s="624"/>
      <c r="I25" s="503" t="s">
        <v>1826</v>
      </c>
    </row>
    <row r="26" spans="1:9" x14ac:dyDescent="0.25">
      <c r="A26" s="89" t="s">
        <v>124</v>
      </c>
      <c r="B26" s="32">
        <v>0.95</v>
      </c>
      <c r="C26" s="2" t="s">
        <v>105</v>
      </c>
      <c r="D26" s="645"/>
      <c r="E26" s="646"/>
      <c r="F26" s="623" t="s">
        <v>1176</v>
      </c>
      <c r="G26" s="623"/>
      <c r="H26" s="624"/>
      <c r="I26" s="503"/>
    </row>
    <row r="27" spans="1:9" ht="12.6" customHeight="1" x14ac:dyDescent="0.25">
      <c r="A27" s="89" t="s">
        <v>2020</v>
      </c>
      <c r="B27" s="491" t="s">
        <v>2086</v>
      </c>
      <c r="C27" s="645"/>
      <c r="D27" s="648"/>
      <c r="E27" s="646"/>
      <c r="F27" s="623" t="s">
        <v>2022</v>
      </c>
      <c r="G27" s="623"/>
      <c r="H27" s="624"/>
      <c r="I27" s="503"/>
    </row>
    <row r="28" spans="1:9" ht="12.6" customHeight="1" x14ac:dyDescent="0.25">
      <c r="A28" s="86" t="str">
        <f>IF(B27="Fly","Fly Sparge Flow Rate","-")</f>
        <v>Fly Sparge Flow Rate</v>
      </c>
      <c r="B28" s="31">
        <v>1</v>
      </c>
      <c r="C28" s="55" t="str">
        <f>IF(B27="Fly",CONCATENATE($B$5,"/min"),"")</f>
        <v>qt/min</v>
      </c>
      <c r="D28" s="55">
        <f>IF(B27="Fly",IF($B$2="US Customary",B28/4,""),"")</f>
        <v>0.25</v>
      </c>
      <c r="E28" s="71" t="str">
        <f>IF(B27="Fly",IF($B$2="US Customary","US Gal/min",""),"")</f>
        <v>US Gal/min</v>
      </c>
      <c r="F28" s="623" t="s">
        <v>2021</v>
      </c>
      <c r="G28" s="623"/>
      <c r="H28" s="624"/>
      <c r="I28" s="503"/>
    </row>
    <row r="29" spans="1:9" x14ac:dyDescent="0.25">
      <c r="A29" s="86" t="s">
        <v>110</v>
      </c>
      <c r="B29" s="31">
        <v>32</v>
      </c>
      <c r="C29" s="55" t="str">
        <f>$B$5</f>
        <v>qt</v>
      </c>
      <c r="D29" s="55">
        <f>IF($B$2="US Customary",B29/4,"")</f>
        <v>8</v>
      </c>
      <c r="E29" s="71" t="str">
        <f>IF($B$2="US Customary","US Gal","")</f>
        <v>US Gal</v>
      </c>
      <c r="F29" s="623" t="s">
        <v>1177</v>
      </c>
      <c r="G29" s="623"/>
      <c r="H29" s="624"/>
      <c r="I29" s="503" t="s">
        <v>1827</v>
      </c>
    </row>
    <row r="30" spans="1:9" x14ac:dyDescent="0.25">
      <c r="A30" s="86" t="s">
        <v>1171</v>
      </c>
      <c r="B30" s="32">
        <v>0.9</v>
      </c>
      <c r="C30" s="2" t="s">
        <v>105</v>
      </c>
      <c r="D30" s="645"/>
      <c r="E30" s="646"/>
      <c r="F30" s="623" t="s">
        <v>1179</v>
      </c>
      <c r="G30" s="623"/>
      <c r="H30" s="624"/>
      <c r="I30" s="503"/>
    </row>
    <row r="31" spans="1:9" x14ac:dyDescent="0.25">
      <c r="A31" s="86" t="s">
        <v>112</v>
      </c>
      <c r="B31" s="84">
        <v>0</v>
      </c>
      <c r="C31" s="55" t="str">
        <f t="shared" ref="C31:C33" si="0">$B$5</f>
        <v>qt</v>
      </c>
      <c r="D31" s="56">
        <f>IF($B$2="US Customary",B31/4,"")</f>
        <v>0</v>
      </c>
      <c r="E31" s="71" t="str">
        <f>IF($B$2="US Customary","US Gal","")</f>
        <v>US Gal</v>
      </c>
      <c r="F31" s="623" t="s">
        <v>1830</v>
      </c>
      <c r="G31" s="623"/>
      <c r="H31" s="624"/>
      <c r="I31" s="506" t="s">
        <v>1805</v>
      </c>
    </row>
    <row r="32" spans="1:9" x14ac:dyDescent="0.25">
      <c r="A32" s="86" t="s">
        <v>1172</v>
      </c>
      <c r="B32" s="84">
        <v>2.25</v>
      </c>
      <c r="C32" s="55" t="str">
        <f t="shared" si="0"/>
        <v>qt</v>
      </c>
      <c r="D32" s="56">
        <f>IF($B$2="US Customary",B32/4,"")</f>
        <v>0.5625</v>
      </c>
      <c r="E32" s="71" t="str">
        <f>IF($B$2="US Customary","US Gal","")</f>
        <v>US Gal</v>
      </c>
      <c r="F32" s="623" t="s">
        <v>1803</v>
      </c>
      <c r="G32" s="623"/>
      <c r="H32" s="624"/>
      <c r="I32" s="503" t="s">
        <v>1804</v>
      </c>
    </row>
    <row r="33" spans="1:9" x14ac:dyDescent="0.25">
      <c r="A33" s="86" t="s">
        <v>1173</v>
      </c>
      <c r="B33" s="84">
        <v>2</v>
      </c>
      <c r="C33" s="55" t="str">
        <f t="shared" si="0"/>
        <v>qt</v>
      </c>
      <c r="D33" s="56">
        <f>IF($B$2="US Customary",B33/4,"")</f>
        <v>0.5</v>
      </c>
      <c r="E33" s="71" t="str">
        <f>IF($B$2="US Customary","US Gal","")</f>
        <v>US Gal</v>
      </c>
      <c r="F33" s="623" t="s">
        <v>1758</v>
      </c>
      <c r="G33" s="623"/>
      <c r="H33" s="624"/>
      <c r="I33" s="503" t="s">
        <v>1779</v>
      </c>
    </row>
    <row r="34" spans="1:9" x14ac:dyDescent="0.25">
      <c r="A34" s="86" t="s">
        <v>1780</v>
      </c>
      <c r="B34" s="84">
        <v>60</v>
      </c>
      <c r="C34" s="71" t="str">
        <f>$B$4</f>
        <v>°F</v>
      </c>
      <c r="D34" s="655"/>
      <c r="E34" s="640"/>
      <c r="F34" s="623" t="s">
        <v>1781</v>
      </c>
      <c r="G34" s="623"/>
      <c r="H34" s="624"/>
      <c r="I34" s="503"/>
    </row>
    <row r="35" spans="1:9" x14ac:dyDescent="0.25">
      <c r="A35" s="86" t="s">
        <v>1776</v>
      </c>
      <c r="B35" s="84">
        <v>0</v>
      </c>
      <c r="C35" s="639"/>
      <c r="D35" s="637"/>
      <c r="E35" s="644"/>
      <c r="F35" s="631" t="s">
        <v>1831</v>
      </c>
      <c r="G35" s="631"/>
      <c r="H35" s="632"/>
      <c r="I35" s="503"/>
    </row>
    <row r="36" spans="1:9" ht="13.8" thickBot="1" x14ac:dyDescent="0.3">
      <c r="A36" s="88" t="s">
        <v>1338</v>
      </c>
      <c r="B36" s="128">
        <v>1.04</v>
      </c>
      <c r="C36" s="674"/>
      <c r="D36" s="666"/>
      <c r="E36" s="667"/>
      <c r="F36" s="653" t="s">
        <v>1339</v>
      </c>
      <c r="G36" s="653"/>
      <c r="H36" s="654"/>
      <c r="I36" s="504"/>
    </row>
    <row r="37" spans="1:9" ht="14.4" thickTop="1" thickBot="1" x14ac:dyDescent="0.3">
      <c r="I37" s="127"/>
    </row>
    <row r="38" spans="1:9" ht="13.8" thickTop="1" x14ac:dyDescent="0.25">
      <c r="A38" s="650" t="s">
        <v>1326</v>
      </c>
      <c r="B38" s="651"/>
      <c r="C38" s="651"/>
      <c r="D38" s="651"/>
      <c r="E38" s="651"/>
      <c r="F38" s="651"/>
      <c r="G38" s="651"/>
      <c r="H38" s="652"/>
      <c r="I38" s="621" t="s">
        <v>1778</v>
      </c>
    </row>
    <row r="39" spans="1:9" x14ac:dyDescent="0.25">
      <c r="A39" s="85" t="s">
        <v>132</v>
      </c>
      <c r="B39" s="83" t="s">
        <v>104</v>
      </c>
      <c r="C39" s="83" t="s">
        <v>100</v>
      </c>
      <c r="D39" s="83" t="s">
        <v>104</v>
      </c>
      <c r="E39" s="83" t="s">
        <v>100</v>
      </c>
      <c r="F39" s="627" t="s">
        <v>67</v>
      </c>
      <c r="G39" s="627"/>
      <c r="H39" s="628"/>
      <c r="I39" s="622"/>
    </row>
    <row r="40" spans="1:9" x14ac:dyDescent="0.25">
      <c r="A40" s="86" t="s">
        <v>1810</v>
      </c>
      <c r="B40" s="56">
        <f>B43+B55+B57+B58</f>
        <v>27.72</v>
      </c>
      <c r="C40" s="55" t="str">
        <f t="shared" ref="C40:C63" si="1">$B$5</f>
        <v>qt</v>
      </c>
      <c r="D40" s="56">
        <f>IF($B$2="US Customary",B40/4,"")</f>
        <v>6.93</v>
      </c>
      <c r="E40" s="71" t="str">
        <f>IF($B$2="US Customary","US Gal","")</f>
        <v>US Gal</v>
      </c>
      <c r="F40" s="631" t="s">
        <v>1784</v>
      </c>
      <c r="G40" s="631"/>
      <c r="H40" s="632"/>
      <c r="I40" s="503"/>
    </row>
    <row r="41" spans="1:9" x14ac:dyDescent="0.25">
      <c r="A41" s="86" t="s">
        <v>126</v>
      </c>
      <c r="B41" s="124">
        <f>IF(C41="qt",0.3125*'Grain &amp; Sugar Calcs'!C14,IF(C41="Liters",0.652*'Grain &amp; Sugar Calcs'!C14,""))</f>
        <v>0</v>
      </c>
      <c r="C41" s="71" t="str">
        <f>'Brewhouse Setup &amp; Calcs'!$B$5</f>
        <v>qt</v>
      </c>
      <c r="D41" s="56">
        <f>IF($B$2="US Customary",B41/4,"")</f>
        <v>0</v>
      </c>
      <c r="E41" s="71" t="str">
        <f>IF($B$2="US Customary","US Gal","")</f>
        <v>US Gal</v>
      </c>
      <c r="F41" s="1" t="s">
        <v>1181</v>
      </c>
      <c r="G41" s="1"/>
      <c r="H41" s="93"/>
      <c r="I41" s="503"/>
    </row>
    <row r="42" spans="1:9" x14ac:dyDescent="0.25">
      <c r="A42" s="111" t="s">
        <v>1676</v>
      </c>
      <c r="B42" s="645"/>
      <c r="C42" s="648"/>
      <c r="D42" s="648"/>
      <c r="E42" s="648"/>
      <c r="F42" s="648"/>
      <c r="G42" s="648"/>
      <c r="H42" s="660"/>
      <c r="I42" s="503"/>
    </row>
    <row r="43" spans="1:9" x14ac:dyDescent="0.25">
      <c r="A43" s="86" t="s">
        <v>1808</v>
      </c>
      <c r="B43" s="124">
        <f>'Grain &amp; Sugar Calcs'!C14*B15</f>
        <v>0</v>
      </c>
      <c r="C43" s="71" t="str">
        <f>'Brewhouse Setup &amp; Calcs'!$B$5</f>
        <v>qt</v>
      </c>
      <c r="D43" s="56">
        <f>IF($B$2="US Customary",B43/4,"")</f>
        <v>0</v>
      </c>
      <c r="E43" s="71" t="str">
        <f>IF($B$2="US Customary","US Gal","")</f>
        <v>US Gal</v>
      </c>
      <c r="F43" s="664" t="s">
        <v>1180</v>
      </c>
      <c r="G43" s="664"/>
      <c r="H43" s="665"/>
      <c r="I43" s="503"/>
    </row>
    <row r="44" spans="1:9" x14ac:dyDescent="0.25">
      <c r="A44" s="86" t="s">
        <v>102</v>
      </c>
      <c r="B44" s="112">
        <f>(IF(B2="US Customary",0.2,0.41)/B15)*(B14-B13)+B14</f>
        <v>161.92727272727274</v>
      </c>
      <c r="C44" s="113" t="str">
        <f>'Brewhouse Setup &amp; Calcs'!$B$4</f>
        <v>°F</v>
      </c>
      <c r="D44" s="645"/>
      <c r="E44" s="646"/>
      <c r="F44" s="661" t="s">
        <v>1782</v>
      </c>
      <c r="G44" s="662"/>
      <c r="H44" s="663"/>
      <c r="I44" s="503"/>
    </row>
    <row r="45" spans="1:9" x14ac:dyDescent="0.25">
      <c r="A45" s="111" t="s">
        <v>1677</v>
      </c>
      <c r="B45" s="645"/>
      <c r="C45" s="648"/>
      <c r="D45" s="648"/>
      <c r="E45" s="648"/>
      <c r="F45" s="648"/>
      <c r="G45" s="648"/>
      <c r="H45" s="660"/>
      <c r="I45" s="503"/>
    </row>
    <row r="46" spans="1:9" x14ac:dyDescent="0.25">
      <c r="A46" s="86" t="s">
        <v>1317</v>
      </c>
      <c r="B46" s="90">
        <f>B16*'Grain &amp; Sugar Calcs'!C14</f>
        <v>0</v>
      </c>
      <c r="C46" s="71" t="str">
        <f>'Brewhouse Setup &amp; Calcs'!$B$5</f>
        <v>qt</v>
      </c>
      <c r="D46" s="56">
        <f>IF($B$2="US Customary",B46/4,"")</f>
        <v>0</v>
      </c>
      <c r="E46" s="71" t="str">
        <f>IF($B$2="US Customary","US Gal","")</f>
        <v>US Gal</v>
      </c>
      <c r="F46" s="631" t="s">
        <v>1316</v>
      </c>
      <c r="G46" s="631"/>
      <c r="H46" s="632"/>
      <c r="I46" s="503"/>
    </row>
    <row r="47" spans="1:9" x14ac:dyDescent="0.25">
      <c r="A47" s="86" t="s">
        <v>121</v>
      </c>
      <c r="B47" s="124">
        <f>(B41+B43)</f>
        <v>0</v>
      </c>
      <c r="C47" s="71" t="str">
        <f>'Brewhouse Setup &amp; Calcs'!$B$5</f>
        <v>qt</v>
      </c>
      <c r="D47" s="56">
        <f>IF($B$2="US Customary",B47/4,"")</f>
        <v>0</v>
      </c>
      <c r="E47" s="71" t="str">
        <f>IF($B$2="US Customary","US Gal","")</f>
        <v>US Gal</v>
      </c>
      <c r="F47" s="631" t="s">
        <v>1318</v>
      </c>
      <c r="G47" s="631"/>
      <c r="H47" s="632"/>
      <c r="I47" s="503"/>
    </row>
    <row r="48" spans="1:9" x14ac:dyDescent="0.25">
      <c r="A48" s="163" t="s">
        <v>1809</v>
      </c>
      <c r="B48" s="170">
        <f>B40-B43</f>
        <v>27.72</v>
      </c>
      <c r="C48" s="71" t="str">
        <f>'Brewhouse Setup &amp; Calcs'!$B$5</f>
        <v>qt</v>
      </c>
      <c r="D48" s="56">
        <f>IF($B$2="US Customary",B48/4,"")</f>
        <v>6.93</v>
      </c>
      <c r="E48" s="71" t="str">
        <f>IF($B$2="US Customary","US Gal","")</f>
        <v>US Gal</v>
      </c>
      <c r="F48" s="657" t="s">
        <v>1811</v>
      </c>
      <c r="G48" s="658"/>
      <c r="H48" s="659"/>
      <c r="I48" s="503"/>
    </row>
    <row r="49" spans="1:9" x14ac:dyDescent="0.25">
      <c r="A49" s="94" t="s">
        <v>122</v>
      </c>
      <c r="B49" s="96">
        <f>B25*B26-B41-B46</f>
        <v>30.4</v>
      </c>
      <c r="C49" s="92" t="str">
        <f>'Brewhouse Setup &amp; Calcs'!$B$5</f>
        <v>qt</v>
      </c>
      <c r="D49" s="56">
        <f>IF($B$2="US Customary",B49/4,"")</f>
        <v>7.6</v>
      </c>
      <c r="E49" s="71" t="str">
        <f>IF($B$2="US Customary","US Gal","")</f>
        <v>US Gal</v>
      </c>
      <c r="F49" s="631" t="s">
        <v>1319</v>
      </c>
      <c r="G49" s="631"/>
      <c r="H49" s="632"/>
      <c r="I49" s="503"/>
    </row>
    <row r="50" spans="1:9" x14ac:dyDescent="0.25">
      <c r="A50" s="95" t="s">
        <v>123</v>
      </c>
      <c r="B50" s="124">
        <f>B60/B49</f>
        <v>0.9118421052631579</v>
      </c>
      <c r="C50" s="639"/>
      <c r="D50" s="655"/>
      <c r="E50" s="640"/>
      <c r="F50" s="631" t="s">
        <v>1199</v>
      </c>
      <c r="G50" s="631"/>
      <c r="H50" s="632"/>
      <c r="I50" s="503"/>
    </row>
    <row r="51" spans="1:9" x14ac:dyDescent="0.25">
      <c r="A51" s="95" t="s">
        <v>125</v>
      </c>
      <c r="B51" s="55">
        <f>ROUNDUP(B50,0)</f>
        <v>1</v>
      </c>
      <c r="C51" s="641"/>
      <c r="D51" s="656"/>
      <c r="E51" s="642"/>
      <c r="F51" s="631" t="s">
        <v>1200</v>
      </c>
      <c r="G51" s="631"/>
      <c r="H51" s="632"/>
      <c r="I51" s="503"/>
    </row>
    <row r="52" spans="1:9" ht="13.2" customHeight="1" x14ac:dyDescent="0.25">
      <c r="A52" s="86" t="s">
        <v>1320</v>
      </c>
      <c r="B52" s="124">
        <f>B60/B51</f>
        <v>27.72</v>
      </c>
      <c r="C52" s="71" t="str">
        <f>'Brewhouse Setup &amp; Calcs'!$B$5</f>
        <v>qt</v>
      </c>
      <c r="D52" s="56">
        <f>IF($B$2="US Customary",B52/4,"")</f>
        <v>6.93</v>
      </c>
      <c r="E52" s="71" t="str">
        <f>IF($B$2="US Customary","US Gal","")</f>
        <v>US Gal</v>
      </c>
      <c r="F52" s="671" t="s">
        <v>1331</v>
      </c>
      <c r="G52" s="672"/>
      <c r="H52" s="673"/>
      <c r="I52" s="503"/>
    </row>
    <row r="53" spans="1:9" x14ac:dyDescent="0.25">
      <c r="A53" s="86" t="s">
        <v>1198</v>
      </c>
      <c r="B53" s="124">
        <f>B43-B46-B31</f>
        <v>0</v>
      </c>
      <c r="C53" s="71" t="str">
        <f>'Brewhouse Setup &amp; Calcs'!$B$5</f>
        <v>qt</v>
      </c>
      <c r="D53" s="56">
        <f>IF($B$2="US Customary",B53/4,"")</f>
        <v>0</v>
      </c>
      <c r="E53" s="71" t="str">
        <f>IF($B$2="US Customary","US Gal","")</f>
        <v>US Gal</v>
      </c>
      <c r="F53" s="671" t="s">
        <v>1332</v>
      </c>
      <c r="G53" s="672"/>
      <c r="H53" s="673"/>
      <c r="I53" s="503"/>
    </row>
    <row r="54" spans="1:9" x14ac:dyDescent="0.25">
      <c r="A54" s="111" t="s">
        <v>1678</v>
      </c>
      <c r="B54" s="645"/>
      <c r="C54" s="648"/>
      <c r="D54" s="648"/>
      <c r="E54" s="648"/>
      <c r="F54" s="648"/>
      <c r="G54" s="648"/>
      <c r="H54" s="660"/>
      <c r="I54" s="503"/>
    </row>
    <row r="55" spans="1:9" x14ac:dyDescent="0.25">
      <c r="A55" s="86" t="s">
        <v>1328</v>
      </c>
      <c r="B55" s="124">
        <f>IF(B52&gt;=B53,B52-B53,0)</f>
        <v>27.72</v>
      </c>
      <c r="C55" s="71" t="str">
        <f>'Brewhouse Setup &amp; Calcs'!$B$5</f>
        <v>qt</v>
      </c>
      <c r="D55" s="56">
        <f>IF($B$2="US Customary",B55/4,"")</f>
        <v>6.93</v>
      </c>
      <c r="E55" s="71" t="str">
        <f>IF($B$2="US Customary","US Gal","")</f>
        <v>US Gal</v>
      </c>
      <c r="F55" s="671" t="s">
        <v>1333</v>
      </c>
      <c r="G55" s="672"/>
      <c r="H55" s="673"/>
      <c r="I55" s="503"/>
    </row>
    <row r="56" spans="1:9" x14ac:dyDescent="0.25">
      <c r="A56" s="86" t="s">
        <v>1327</v>
      </c>
      <c r="B56" s="90">
        <f>IF(B52&gt;B53,B52,B53)</f>
        <v>27.72</v>
      </c>
      <c r="C56" s="71" t="str">
        <f>'Brewhouse Setup &amp; Calcs'!$B$5</f>
        <v>qt</v>
      </c>
      <c r="D56" s="56">
        <f>IF($B$2="US Customary",B56/4,"")</f>
        <v>6.93</v>
      </c>
      <c r="E56" s="71" t="str">
        <f>IF($B$2="US Customary","US Gal","")</f>
        <v>US Gal</v>
      </c>
      <c r="F56" s="671" t="s">
        <v>1334</v>
      </c>
      <c r="G56" s="672"/>
      <c r="H56" s="673"/>
      <c r="I56" s="503"/>
    </row>
    <row r="57" spans="1:9" x14ac:dyDescent="0.25">
      <c r="A57" s="86" t="s">
        <v>1329</v>
      </c>
      <c r="B57" s="124">
        <f>IF(B51&gt;1,B52,0)</f>
        <v>0</v>
      </c>
      <c r="C57" s="71" t="str">
        <f>'Brewhouse Setup &amp; Calcs'!$B$5</f>
        <v>qt</v>
      </c>
      <c r="D57" s="56">
        <f>IF($B$2="US Customary",B57/4,"")</f>
        <v>0</v>
      </c>
      <c r="E57" s="71" t="str">
        <f>IF($B$2="US Customary","US Gal","")</f>
        <v>US Gal</v>
      </c>
      <c r="F57" s="671" t="s">
        <v>1335</v>
      </c>
      <c r="G57" s="672"/>
      <c r="H57" s="673"/>
      <c r="I57" s="503"/>
    </row>
    <row r="58" spans="1:9" x14ac:dyDescent="0.25">
      <c r="A58" s="86" t="s">
        <v>1330</v>
      </c>
      <c r="B58" s="124">
        <f>IF(B51&gt;2,B60-B56-B57,0)</f>
        <v>0</v>
      </c>
      <c r="C58" s="71" t="str">
        <f>'Brewhouse Setup &amp; Calcs'!$B$5</f>
        <v>qt</v>
      </c>
      <c r="D58" s="56">
        <f>IF($B$2="US Customary",B58/4,"")</f>
        <v>0</v>
      </c>
      <c r="E58" s="71" t="str">
        <f>IF($B$2="US Customary","US Gal","")</f>
        <v>US Gal</v>
      </c>
      <c r="F58" s="668" t="s">
        <v>1336</v>
      </c>
      <c r="G58" s="669"/>
      <c r="H58" s="670"/>
      <c r="I58" s="503"/>
    </row>
    <row r="59" spans="1:9" x14ac:dyDescent="0.25">
      <c r="A59" s="111" t="s">
        <v>1823</v>
      </c>
      <c r="B59" s="645"/>
      <c r="C59" s="648"/>
      <c r="D59" s="648"/>
      <c r="E59" s="648"/>
      <c r="F59" s="648"/>
      <c r="G59" s="648"/>
      <c r="H59" s="660"/>
      <c r="I59" s="503"/>
    </row>
    <row r="60" spans="1:9" x14ac:dyDescent="0.25">
      <c r="A60" s="86" t="s">
        <v>106</v>
      </c>
      <c r="B60" s="124">
        <f>B63+B61+B62</f>
        <v>27.72</v>
      </c>
      <c r="C60" s="55" t="str">
        <f t="shared" si="1"/>
        <v>qt</v>
      </c>
      <c r="D60" s="56">
        <f>IF($B$2="US Customary",B60/4,"")</f>
        <v>6.93</v>
      </c>
      <c r="E60" s="71" t="str">
        <f>IF($B$2="US Customary","US Gal","")</f>
        <v>US Gal</v>
      </c>
      <c r="F60" s="631" t="s">
        <v>113</v>
      </c>
      <c r="G60" s="631"/>
      <c r="H60" s="632"/>
      <c r="I60" s="503"/>
    </row>
    <row r="61" spans="1:9" x14ac:dyDescent="0.25">
      <c r="A61" s="86" t="s">
        <v>115</v>
      </c>
      <c r="B61" s="171">
        <f>B18/60*B19</f>
        <v>2.5</v>
      </c>
      <c r="C61" s="55" t="str">
        <f t="shared" ref="C61:C64" si="2">$B$5</f>
        <v>qt</v>
      </c>
      <c r="D61" s="56">
        <f>IF($B$2="US Customary",B61/4,"")</f>
        <v>0.625</v>
      </c>
      <c r="E61" s="71" t="str">
        <f>IF($B$2="US Customary","US Gal","")</f>
        <v>US Gal</v>
      </c>
      <c r="F61" s="631" t="s">
        <v>1337</v>
      </c>
      <c r="G61" s="631"/>
      <c r="H61" s="632"/>
      <c r="I61" s="503"/>
    </row>
    <row r="62" spans="1:9" x14ac:dyDescent="0.25">
      <c r="A62" s="86" t="s">
        <v>116</v>
      </c>
      <c r="B62" s="124">
        <f>B63*0.04</f>
        <v>0.97</v>
      </c>
      <c r="C62" s="55" t="str">
        <f t="shared" si="2"/>
        <v>qt</v>
      </c>
      <c r="D62" s="56">
        <f>IF($B$2="US Customary",B62/4,"")</f>
        <v>0.24249999999999999</v>
      </c>
      <c r="E62" s="71" t="str">
        <f>IF($B$2="US Customary","US Gal","")</f>
        <v>US Gal</v>
      </c>
      <c r="F62" s="631" t="s">
        <v>114</v>
      </c>
      <c r="G62" s="631"/>
      <c r="H62" s="632"/>
      <c r="I62" s="503"/>
    </row>
    <row r="63" spans="1:9" x14ac:dyDescent="0.25">
      <c r="A63" s="86" t="s">
        <v>107</v>
      </c>
      <c r="B63" s="124">
        <f>B12+B32+B33+B64</f>
        <v>24.25</v>
      </c>
      <c r="C63" s="55" t="str">
        <f t="shared" si="1"/>
        <v>qt</v>
      </c>
      <c r="D63" s="56">
        <f>IF($B$2="US Customary",B63/4,"")</f>
        <v>6.0625</v>
      </c>
      <c r="E63" s="71" t="str">
        <f>IF($B$2="US Customary","US Gal","")</f>
        <v>US Gal</v>
      </c>
      <c r="F63" s="631" t="s">
        <v>1824</v>
      </c>
      <c r="G63" s="631"/>
      <c r="H63" s="632"/>
      <c r="I63" s="503"/>
    </row>
    <row r="64" spans="1:9" ht="13.8" thickBot="1" x14ac:dyDescent="0.3">
      <c r="A64" s="88" t="s">
        <v>1822</v>
      </c>
      <c r="B64" s="168">
        <f>B21*'Hop Calcs'!G17</f>
        <v>0</v>
      </c>
      <c r="C64" s="169" t="str">
        <f t="shared" si="2"/>
        <v>qt</v>
      </c>
      <c r="D64" s="110">
        <f>IF($B$2="US Customary",B64/4,"")</f>
        <v>0</v>
      </c>
      <c r="E64" s="91" t="str">
        <f>IF($B$2="US Customary","US Gal","")</f>
        <v>US Gal</v>
      </c>
      <c r="F64" s="625" t="s">
        <v>1825</v>
      </c>
      <c r="G64" s="625"/>
      <c r="H64" s="626"/>
      <c r="I64" s="504"/>
    </row>
    <row r="65" spans="2:5" ht="13.8" thickTop="1" x14ac:dyDescent="0.25"/>
    <row r="68" spans="2:5" x14ac:dyDescent="0.25">
      <c r="B68"/>
      <c r="C68"/>
      <c r="D68"/>
      <c r="E68"/>
    </row>
    <row r="69" spans="2:5" x14ac:dyDescent="0.25">
      <c r="B69"/>
      <c r="C69"/>
      <c r="D69"/>
      <c r="E69"/>
    </row>
    <row r="70" spans="2:5" x14ac:dyDescent="0.25">
      <c r="B70"/>
      <c r="C70"/>
      <c r="D70"/>
      <c r="E70"/>
    </row>
    <row r="71" spans="2:5" x14ac:dyDescent="0.25">
      <c r="B71"/>
      <c r="C71"/>
      <c r="D71"/>
      <c r="E71"/>
    </row>
    <row r="72" spans="2:5" x14ac:dyDescent="0.25">
      <c r="B72"/>
      <c r="C72"/>
      <c r="D72"/>
      <c r="E72"/>
    </row>
    <row r="73" spans="2:5" x14ac:dyDescent="0.25">
      <c r="B73"/>
      <c r="C73"/>
      <c r="D73"/>
      <c r="E73"/>
    </row>
    <row r="74" spans="2:5" x14ac:dyDescent="0.25">
      <c r="B74"/>
      <c r="C74"/>
      <c r="D74"/>
      <c r="E74"/>
    </row>
  </sheetData>
  <sheetProtection sheet="1" objects="1" scenarios="1"/>
  <dataConsolidate/>
  <mergeCells count="68">
    <mergeCell ref="F64:H64"/>
    <mergeCell ref="F35:H35"/>
    <mergeCell ref="F34:H34"/>
    <mergeCell ref="D34:E36"/>
    <mergeCell ref="F62:H62"/>
    <mergeCell ref="F58:H58"/>
    <mergeCell ref="F57:H57"/>
    <mergeCell ref="F56:H56"/>
    <mergeCell ref="F61:H61"/>
    <mergeCell ref="B59:H59"/>
    <mergeCell ref="B54:H54"/>
    <mergeCell ref="F60:H60"/>
    <mergeCell ref="F55:H55"/>
    <mergeCell ref="F53:H53"/>
    <mergeCell ref="F52:H52"/>
    <mergeCell ref="C35:C36"/>
    <mergeCell ref="B45:H45"/>
    <mergeCell ref="F44:H44"/>
    <mergeCell ref="B42:H42"/>
    <mergeCell ref="D44:E44"/>
    <mergeCell ref="F43:H43"/>
    <mergeCell ref="F49:H49"/>
    <mergeCell ref="F50:H50"/>
    <mergeCell ref="F51:H51"/>
    <mergeCell ref="F48:H48"/>
    <mergeCell ref="F47:H47"/>
    <mergeCell ref="F63:H63"/>
    <mergeCell ref="A23:H23"/>
    <mergeCell ref="F24:H24"/>
    <mergeCell ref="F25:H25"/>
    <mergeCell ref="F26:H26"/>
    <mergeCell ref="F29:H29"/>
    <mergeCell ref="F30:H30"/>
    <mergeCell ref="F31:H31"/>
    <mergeCell ref="F32:H32"/>
    <mergeCell ref="F33:H33"/>
    <mergeCell ref="A38:H38"/>
    <mergeCell ref="D30:E30"/>
    <mergeCell ref="F36:H36"/>
    <mergeCell ref="F40:H40"/>
    <mergeCell ref="C50:E51"/>
    <mergeCell ref="F46:H46"/>
    <mergeCell ref="D26:E26"/>
    <mergeCell ref="F5:G5"/>
    <mergeCell ref="F11:H11"/>
    <mergeCell ref="F12:H12"/>
    <mergeCell ref="F27:H27"/>
    <mergeCell ref="C27:E27"/>
    <mergeCell ref="B2:C2"/>
    <mergeCell ref="F18:H18"/>
    <mergeCell ref="F19:H19"/>
    <mergeCell ref="F20:H20"/>
    <mergeCell ref="A10:H10"/>
    <mergeCell ref="F13:H13"/>
    <mergeCell ref="F14:H14"/>
    <mergeCell ref="F15:H15"/>
    <mergeCell ref="F16:H16"/>
    <mergeCell ref="F17:H17"/>
    <mergeCell ref="F2:H2"/>
    <mergeCell ref="F3:H3"/>
    <mergeCell ref="D13:E14"/>
    <mergeCell ref="D17:E20"/>
    <mergeCell ref="I38:I39"/>
    <mergeCell ref="F28:H28"/>
    <mergeCell ref="I10:I11"/>
    <mergeCell ref="I23:I24"/>
    <mergeCell ref="F21:H21"/>
    <mergeCell ref="F39:H39"/>
  </mergeCells>
  <conditionalFormatting sqref="G7">
    <cfRule type="cellIs" dxfId="38" priority="11" operator="equal">
      <formula>"PASS"</formula>
    </cfRule>
    <cfRule type="cellIs" dxfId="37" priority="12" operator="equal">
      <formula>"FAIL"</formula>
    </cfRule>
  </conditionalFormatting>
  <conditionalFormatting sqref="G6">
    <cfRule type="cellIs" dxfId="36" priority="9" operator="equal">
      <formula>"PASS"</formula>
    </cfRule>
    <cfRule type="cellIs" dxfId="35" priority="10" operator="equal">
      <formula>"FAIL"</formula>
    </cfRule>
  </conditionalFormatting>
  <conditionalFormatting sqref="B25">
    <cfRule type="expression" dxfId="34" priority="6">
      <formula>AND(IF(B47&lt;=B25*B26,FALSE,TRUE),NOT(ISBLANK($B$25)))</formula>
    </cfRule>
  </conditionalFormatting>
  <conditionalFormatting sqref="B29">
    <cfRule type="expression" dxfId="33" priority="5">
      <formula>AND(IF(B60&lt;=(B30*B29),FALSE,TRUE),NOT(ISBLANK(B29)))</formula>
    </cfRule>
  </conditionalFormatting>
  <conditionalFormatting sqref="B28">
    <cfRule type="expression" dxfId="32" priority="1">
      <formula>AND(IF(B27="Fly",TRUE,FALSE),NOT($B$28&gt;0))</formula>
    </cfRule>
    <cfRule type="expression" dxfId="31" priority="2">
      <formula>IF(B27="Fly",FALSE,TRUE)</formula>
    </cfRule>
  </conditionalFormatting>
  <dataValidations count="19">
    <dataValidation type="decimal" operator="lessThan" showInputMessage="1" showErrorMessage="1" sqref="B26 B13" xr:uid="{00000000-0002-0000-0200-000000000000}">
      <formula1>100</formula1>
    </dataValidation>
    <dataValidation showInputMessage="1" showErrorMessage="1" promptTitle="Suggested Values" prompt="Coleman 70 qt: 65 qt_x000a_Grainfather: 32 qt" sqref="B25" xr:uid="{00000000-0002-0000-0200-000001000000}"/>
    <dataValidation type="list" showInputMessage="1" showErrorMessage="1" errorTitle="System of Measure" error="Select from the list" promptTitle="System Units" prompt="Select units system for this spreadsheet." sqref="B2:C2" xr:uid="{00000000-0002-0000-0200-000002000000}">
      <formula1>"US Customary,Metric"</formula1>
    </dataValidation>
    <dataValidation type="list" allowBlank="1" showInputMessage="1" showErrorMessage="1" promptTitle="Units" prompt="Select Units" sqref="C13:C14" xr:uid="{00000000-0002-0000-0200-000003000000}">
      <formula1>"°F,°C"</formula1>
    </dataValidation>
    <dataValidation type="list" showInputMessage="1" showErrorMessage="1" errorTitle="Units" error="Select a unit of measure" promptTitle="Units" prompt="Select unit of measure" sqref="C15:C16" xr:uid="{00000000-0002-0000-0200-000004000000}">
      <formula1>"qt/lb,L/kg"</formula1>
    </dataValidation>
    <dataValidation showInputMessage="1" showErrorMessage="1" errorTitle="Units" error="Select a unit of measure" promptTitle="Units" prompt="Select unit of measure" sqref="C21" xr:uid="{910D14BF-C17C-4154-BF0B-6CB995420526}"/>
    <dataValidation type="list" showInputMessage="1" showErrorMessage="1" sqref="B27" xr:uid="{8CCCB4C1-1144-4B35-81F6-5363537B69D5}">
      <formula1>"Batch,Fly,BIAB,Extract"</formula1>
    </dataValidation>
    <dataValidation type="list" operator="lessThan" showInputMessage="1" showErrorMessage="1" sqref="B27" xr:uid="{69992A6F-6BD1-4921-A937-45C52ACB1D55}">
      <formula1>"Batch,Fly"</formula1>
    </dataValidation>
    <dataValidation allowBlank="1" showInputMessage="1" showErrorMessage="1" promptTitle="Suggested Values" prompt="Spike 20G kettle: 5 qt when pumped, 8 qt when gravity drained. Grainfather: 2.25 qt" sqref="B32" xr:uid="{255B9D34-9845-4101-A28B-823854FFEC83}"/>
    <dataValidation allowBlank="1" showInputMessage="1" showErrorMessage="1" promptTitle="Suggested Values" prompt="Coleman 70qt: 1.5 when pumped, 3.5 when gravity drained. Grainfather: 0" sqref="B31" xr:uid="{54049D58-E5DE-422F-87B4-CEC8F0470D16}"/>
    <dataValidation allowBlank="1" showInputMessage="1" showErrorMessage="1" promptTitle="Suggested Values" prompt="2 qt per 6.5 gal carboy" sqref="B33" xr:uid="{4175EB4F-7749-4312-9739-05C71108A121}"/>
    <dataValidation allowBlank="1" showInputMessage="1" showErrorMessage="1" promptTitle="Suggested Values" prompt="Spike 20G: 80 qt_x000a_Grainfather: 32 qt" sqref="B29" xr:uid="{72D02445-CAF9-473C-AF85-C442FEE289FE}"/>
    <dataValidation allowBlank="1" showInputMessage="1" showErrorMessage="1" promptTitle="Suggested Values" prompt="Grainfather: 2 qt/hr. Spike 20 gal kettle: TBD" sqref="B19" xr:uid="{4DE4E253-C9BE-4BBD-BA9F-318F28CFCF32}"/>
    <dataValidation type="decimal" operator="lessThan" showInputMessage="1" showErrorMessage="1" promptTitle="Suggested Values" prompt="Grain bill &gt;80% 2-row pale malt: .5 qt/lb (1.043 Metric)_x000a_Large ratios of kilned/roasted malts (such as Vienna) require a larger value approaching .7 qt/lb" sqref="B16" xr:uid="{FF1DA645-20AF-4D83-9833-F4B159BF4AF2}">
      <formula1>100</formula1>
    </dataValidation>
    <dataValidation type="decimal" operator="lessThan" showInputMessage="1" showErrorMessage="1" promptTitle="Suggested Values" prompt="Typical range: 1.25-1.5 qt/lb (2.6-3.1 L/kg)" sqref="B15" xr:uid="{FA0A5DC3-7014-4E39-A49F-4FB1159C0600}">
      <formula1>100</formula1>
    </dataValidation>
    <dataValidation allowBlank="1" showInputMessage="1" showErrorMessage="1" promptTitle="Mash Temperature" prompt="Typical range: 148-156°F (64-69°C)._x000a_Higher temp promotes a fuller bodied beer. Lower temp promotes a lighter bodied beer." sqref="B14" xr:uid="{92D4475F-C9A4-433A-B92D-596C2DEB4063}"/>
    <dataValidation type="decimal" operator="lessThan" showInputMessage="1" showErrorMessage="1" promptTitle="Extract Efficiency" prompt="65-80% for batch sparging &amp; BIAB._x000a_75-90% for fly sparging." sqref="B17" xr:uid="{E3DBD657-59E3-4410-8557-5E632ED7E919}">
      <formula1>100</formula1>
    </dataValidation>
    <dataValidation allowBlank="1" showInputMessage="1" showErrorMessage="1" promptTitle="Hop Absorption Rate" prompt="May vary. If not known, try .1 qt/oz." sqref="B21" xr:uid="{2E091B22-6DC8-4421-A10C-35C16940C7C9}"/>
    <dataValidation allowBlank="1" showInputMessage="1" showErrorMessage="1" promptTitle="Hydrometer Calibration Temp" prompt="Typical US Value: 60 deg F_x000a_Check your hydrometer." sqref="B34" xr:uid="{3EAEFCF7-DE5F-4133-81D0-A74F50E36DA3}"/>
  </dataValidations>
  <hyperlinks>
    <hyperlink ref="F3" r:id="rId1" display="Brewing Recipe Calculator Template Update: Overview, Deep Dive, &amp; Walkthrough Example" xr:uid="{00000000-0004-0000-0200-000000000000}"/>
    <hyperlink ref="F3:H3" r:id="rId2" display="Brewing Recipe Template Playlist" xr:uid="{00000000-0004-0000-0200-000001000000}"/>
  </hyperlinks>
  <pageMargins left="0.7" right="0.7" top="0.75" bottom="0.75" header="0.3" footer="0.3"/>
  <pageSetup scale="66"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N21"/>
  <sheetViews>
    <sheetView workbookViewId="0">
      <selection activeCell="B5" sqref="B5:C8"/>
    </sheetView>
  </sheetViews>
  <sheetFormatPr defaultRowHeight="13.2" x14ac:dyDescent="0.25"/>
  <cols>
    <col min="1" max="1" width="5.77734375" customWidth="1"/>
    <col min="2" max="2" width="51.88671875" customWidth="1"/>
    <col min="3" max="3" width="7.77734375" bestFit="1" customWidth="1"/>
    <col min="4" max="4" width="7.77734375" customWidth="1"/>
    <col min="5" max="5" width="7.21875" customWidth="1"/>
    <col min="6" max="6" width="9.5546875" customWidth="1"/>
    <col min="7" max="7" width="6.44140625" customWidth="1"/>
    <col min="8" max="8" width="8.6640625" customWidth="1"/>
    <col min="9" max="9" width="7.88671875" customWidth="1"/>
    <col min="10" max="10" width="9" customWidth="1"/>
    <col min="11" max="12" width="9.44140625" customWidth="1"/>
    <col min="13" max="13" width="9.33203125" customWidth="1"/>
    <col min="15" max="15" width="11" customWidth="1"/>
  </cols>
  <sheetData>
    <row r="1" spans="2:14" x14ac:dyDescent="0.25">
      <c r="B1" s="27"/>
      <c r="C1" s="27"/>
      <c r="D1" s="27"/>
      <c r="F1" s="28"/>
      <c r="G1" s="28"/>
      <c r="H1" s="27"/>
      <c r="I1" s="27"/>
      <c r="J1" s="27"/>
      <c r="K1" s="27"/>
      <c r="L1" s="27"/>
    </row>
    <row r="2" spans="2:14" x14ac:dyDescent="0.25">
      <c r="B2" s="677" t="s">
        <v>136</v>
      </c>
      <c r="C2" s="678"/>
      <c r="D2" s="678"/>
      <c r="E2" s="678"/>
      <c r="F2" s="678"/>
      <c r="G2" s="678"/>
      <c r="H2" s="678"/>
      <c r="I2" s="678"/>
      <c r="J2" s="678"/>
      <c r="K2" s="678"/>
      <c r="L2" s="678"/>
      <c r="M2" s="678"/>
    </row>
    <row r="3" spans="2:14" s="24" customFormat="1" ht="26.4" customHeight="1" x14ac:dyDescent="0.25">
      <c r="B3" s="675" t="s">
        <v>775</v>
      </c>
      <c r="C3" s="50" t="s">
        <v>144</v>
      </c>
      <c r="D3" s="679" t="s">
        <v>95</v>
      </c>
      <c r="E3" s="675" t="s">
        <v>66</v>
      </c>
      <c r="F3" s="675" t="s">
        <v>777</v>
      </c>
      <c r="G3" s="50" t="s">
        <v>1213</v>
      </c>
      <c r="H3" s="675" t="s">
        <v>1193</v>
      </c>
      <c r="I3" s="675" t="s">
        <v>97</v>
      </c>
      <c r="J3" s="675" t="s">
        <v>1211</v>
      </c>
      <c r="K3" s="675" t="s">
        <v>1212</v>
      </c>
      <c r="L3" s="50" t="s">
        <v>2033</v>
      </c>
      <c r="M3"/>
      <c r="N3"/>
    </row>
    <row r="4" spans="2:14" s="24" customFormat="1" x14ac:dyDescent="0.25">
      <c r="B4" s="676"/>
      <c r="C4" s="52" t="str">
        <f>'Brewhouse Setup &amp; Calcs'!$B$6</f>
        <v>lb</v>
      </c>
      <c r="D4" s="680"/>
      <c r="E4" s="676"/>
      <c r="F4" s="676"/>
      <c r="G4" s="51" t="s">
        <v>1192</v>
      </c>
      <c r="H4" s="676"/>
      <c r="I4" s="676"/>
      <c r="J4" s="676"/>
      <c r="K4" s="676"/>
      <c r="L4" s="100"/>
      <c r="M4"/>
      <c r="N4"/>
    </row>
    <row r="5" spans="2:14" x14ac:dyDescent="0.25">
      <c r="B5" s="53"/>
      <c r="C5" s="37"/>
      <c r="D5" s="67" t="str">
        <f t="shared" ref="D5:D13" si="0">IF(ISBLANK(C5),"",C5/$C$16)</f>
        <v/>
      </c>
      <c r="E5" s="68" t="str">
        <f>IF(ISBLANK(B5),"",VLOOKUP(B5,grains_table[#All],3))</f>
        <v/>
      </c>
      <c r="F5" s="30" t="str">
        <f>IF(ISBLANK(B5),"",VLOOKUP(B5,grains_table[#All],6,FALSE))</f>
        <v/>
      </c>
      <c r="G5" s="23" t="str">
        <f t="shared" ref="G5:G13" si="1">IF(ISBLANK(B5),"",(F5-1)*1000)</f>
        <v/>
      </c>
      <c r="H5" s="69" t="str">
        <f>IF(ISBLANK(B5),"",IF('Brewhouse Setup &amp; Calcs'!$B$2="Metric",2.20462262185*G5*C5,G5*C5))</f>
        <v/>
      </c>
      <c r="I5" s="70" t="str">
        <f>IF(ISBLANK(B5),"",IF(E5="Grain",'Brewhouse Setup &amp; Calcs'!$B$17,IF(E5="Sugar",1,)))</f>
        <v/>
      </c>
      <c r="J5" s="69" t="str">
        <f>IF(ISBLANK(B5),"",IF('Brewhouse Setup &amp; Calcs'!$B$2="Metric",H5*I5/(0.264172*'Brewhouse Setup &amp; Calcs'!$B$60),H5*I5/'Brewhouse Setup &amp; Calcs'!$B$60*4))</f>
        <v/>
      </c>
      <c r="K5" s="69" t="str">
        <f>IF(ISBLANK(B5),"",IF('Brewhouse Setup &amp; Calcs'!$B$2="Metric",H5*I5/(0.264172*'Brewhouse Setup &amp; Calcs'!$B$63),H5*I5/'Brewhouse Setup &amp; Calcs'!$B$63*4))</f>
        <v/>
      </c>
      <c r="L5" s="25" t="str">
        <f>IF(ISBLANK(C5),"",(IF('Brewhouse Setup &amp; Calcs'!$B$2="US Customary",((VLOOKUP(B5,grains_table[#All],7,FALSE)*C5)/('Brewhouse Setup &amp; Calcs'!$B$63/4)),((VLOOKUP(B5,grains_table[#All],7,FALSE)*C5*2.204623)/('Brewhouse Setup &amp; Calcs'!$B$63*1.056688/4)))))</f>
        <v/>
      </c>
    </row>
    <row r="6" spans="2:14" x14ac:dyDescent="0.25">
      <c r="B6" s="53"/>
      <c r="C6" s="37"/>
      <c r="D6" s="67" t="str">
        <f t="shared" si="0"/>
        <v/>
      </c>
      <c r="E6" s="68" t="str">
        <f>IF(ISBLANK(B6),"",VLOOKUP(B6,grains_table[#All],3))</f>
        <v/>
      </c>
      <c r="F6" s="30" t="str">
        <f>IF(ISBLANK(B6),"",VLOOKUP(B6,grains_table[#All],6,FALSE))</f>
        <v/>
      </c>
      <c r="G6" s="23" t="str">
        <f t="shared" si="1"/>
        <v/>
      </c>
      <c r="H6" s="69" t="str">
        <f>IF(ISBLANK(B6),"",IF('Brewhouse Setup &amp; Calcs'!$B$2="Metric",2.20462262185*G6*C6,G6*C6))</f>
        <v/>
      </c>
      <c r="I6" s="70" t="str">
        <f>IF(ISBLANK(B6),"",IF(E6="Grain",'Brewhouse Setup &amp; Calcs'!$B$17,IF(E6="Sugar",1,)))</f>
        <v/>
      </c>
      <c r="J6" s="69" t="str">
        <f>IF(ISBLANK(B6),"",IF('Brewhouse Setup &amp; Calcs'!$B$2="Metric",H6*I6/(0.264172*'Brewhouse Setup &amp; Calcs'!$B$60),H6*I6/'Brewhouse Setup &amp; Calcs'!$B$60*4))</f>
        <v/>
      </c>
      <c r="K6" s="69" t="str">
        <f>IF(ISBLANK(B6),"",IF('Brewhouse Setup &amp; Calcs'!$B$2="Metric",H6*I6/(0.264172*'Brewhouse Setup &amp; Calcs'!$B$63),H6*I6/'Brewhouse Setup &amp; Calcs'!$B$63*4))</f>
        <v/>
      </c>
      <c r="L6" s="25" t="str">
        <f>IF(ISBLANK(C6),"",(IF('Brewhouse Setup &amp; Calcs'!$B$2="US Customary",((VLOOKUP(B6,grains_table[#All],7,FALSE)*C6)/('Brewhouse Setup &amp; Calcs'!$B$63/4)),((VLOOKUP(B6,grains_table[#All],7,FALSE)*C6*2.204623)/('Brewhouse Setup &amp; Calcs'!$B$63*1.056688/4)))))</f>
        <v/>
      </c>
    </row>
    <row r="7" spans="2:14" x14ac:dyDescent="0.25">
      <c r="B7" s="53"/>
      <c r="C7" s="37"/>
      <c r="D7" s="67" t="str">
        <f t="shared" si="0"/>
        <v/>
      </c>
      <c r="E7" s="68" t="str">
        <f>IF(ISBLANK(B7),"",VLOOKUP(B7,grains_table[#All],3))</f>
        <v/>
      </c>
      <c r="F7" s="30" t="str">
        <f>IF(ISBLANK(B7),"",VLOOKUP(B7,grains_table[#All],6,FALSE))</f>
        <v/>
      </c>
      <c r="G7" s="23" t="str">
        <f t="shared" si="1"/>
        <v/>
      </c>
      <c r="H7" s="69" t="str">
        <f>IF(ISBLANK(B7),"",IF('Brewhouse Setup &amp; Calcs'!$B$2="Metric",2.20462262185*G7*C7,G7*C7))</f>
        <v/>
      </c>
      <c r="I7" s="70" t="str">
        <f>IF(ISBLANK(B7),"",IF(E7="Grain",'Brewhouse Setup &amp; Calcs'!$B$17,IF(E7="Sugar",1,)))</f>
        <v/>
      </c>
      <c r="J7" s="69" t="str">
        <f>IF(ISBLANK(B7),"",IF('Brewhouse Setup &amp; Calcs'!$B$2="Metric",H7*I7/(0.264172*'Brewhouse Setup &amp; Calcs'!$B$60),H7*I7/'Brewhouse Setup &amp; Calcs'!$B$60*4))</f>
        <v/>
      </c>
      <c r="K7" s="69" t="str">
        <f>IF(ISBLANK(B7),"",IF('Brewhouse Setup &amp; Calcs'!$B$2="Metric",H7*I7/(0.264172*'Brewhouse Setup &amp; Calcs'!$B$63),H7*I7/'Brewhouse Setup &amp; Calcs'!$B$63*4))</f>
        <v/>
      </c>
      <c r="L7" s="25" t="str">
        <f>IF(ISBLANK(C7),"",(IF('Brewhouse Setup &amp; Calcs'!$B$2="US Customary",((VLOOKUP(B7,grains_table[#All],7,FALSE)*C7)/('Brewhouse Setup &amp; Calcs'!$B$63/4)),((VLOOKUP(B7,grains_table[#All],7,FALSE)*C7*2.204623)/('Brewhouse Setup &amp; Calcs'!$B$63*1.056688/4)))))</f>
        <v/>
      </c>
    </row>
    <row r="8" spans="2:14" x14ac:dyDescent="0.25">
      <c r="B8" s="53"/>
      <c r="C8" s="37"/>
      <c r="D8" s="67" t="str">
        <f t="shared" si="0"/>
        <v/>
      </c>
      <c r="E8" s="68" t="str">
        <f>IF(ISBLANK(B8),"",VLOOKUP(B8,grains_table[#All],3))</f>
        <v/>
      </c>
      <c r="F8" s="30" t="str">
        <f>IF(ISBLANK(B8),"",VLOOKUP(B8,grains_table[#All],6,FALSE))</f>
        <v/>
      </c>
      <c r="G8" s="23" t="str">
        <f t="shared" si="1"/>
        <v/>
      </c>
      <c r="H8" s="69" t="str">
        <f>IF(ISBLANK(B8),"",IF('Brewhouse Setup &amp; Calcs'!$B$2="Metric",2.20462262185*G8*C8,G8*C8))</f>
        <v/>
      </c>
      <c r="I8" s="70" t="str">
        <f>IF(ISBLANK(B8),"",IF(E8="Grain",'Brewhouse Setup &amp; Calcs'!$B$17,IF(E8="Sugar",1,)))</f>
        <v/>
      </c>
      <c r="J8" s="69" t="str">
        <f>IF(ISBLANK(B8),"",IF('Brewhouse Setup &amp; Calcs'!$B$2="Metric",H8*I8/(0.264172*'Brewhouse Setup &amp; Calcs'!$B$60),H8*I8/'Brewhouse Setup &amp; Calcs'!$B$60*4))</f>
        <v/>
      </c>
      <c r="K8" s="69" t="str">
        <f>IF(ISBLANK(B8),"",IF('Brewhouse Setup &amp; Calcs'!$B$2="Metric",H8*I8/(0.264172*'Brewhouse Setup &amp; Calcs'!$B$63),H8*I8/'Brewhouse Setup &amp; Calcs'!$B$63*4))</f>
        <v/>
      </c>
      <c r="L8" s="69" t="str">
        <f>IF(ISBLANK(C8),"",(IF('Brewhouse Setup &amp; Calcs'!$B$2="US Customary",((VLOOKUP(B8,grains_table[#All],7,FALSE)*C8)/('Brewhouse Setup &amp; Calcs'!$B$63/4)),((VLOOKUP(B8,grains_table[#All],7,FALSE)*C8*2.204623)/('Brewhouse Setup &amp; Calcs'!$B$63*1.056688/4)))))</f>
        <v/>
      </c>
    </row>
    <row r="9" spans="2:14" x14ac:dyDescent="0.25">
      <c r="B9" s="53"/>
      <c r="C9" s="37"/>
      <c r="D9" s="67" t="str">
        <f t="shared" si="0"/>
        <v/>
      </c>
      <c r="E9" s="68" t="str">
        <f>IF(ISBLANK(B9),"",VLOOKUP(B9,grains_table[#All],3))</f>
        <v/>
      </c>
      <c r="F9" s="30" t="str">
        <f>IF(ISBLANK(B9),"",VLOOKUP(B9,grains_table[#All],6,FALSE))</f>
        <v/>
      </c>
      <c r="G9" s="23" t="str">
        <f t="shared" si="1"/>
        <v/>
      </c>
      <c r="H9" s="69" t="str">
        <f>IF(ISBLANK(B9),"",IF('Brewhouse Setup &amp; Calcs'!$B$2="Metric",2.20462262185*G9*C9,G9*C9))</f>
        <v/>
      </c>
      <c r="I9" s="70" t="str">
        <f>IF(ISBLANK(B9),"",IF(E9="Grain",'Brewhouse Setup &amp; Calcs'!$B$17,IF(E9="Sugar",1,)))</f>
        <v/>
      </c>
      <c r="J9" s="69" t="str">
        <f>IF(ISBLANK(B9),"",IF('Brewhouse Setup &amp; Calcs'!$B$2="Metric",H9*I9/(0.264172*'Brewhouse Setup &amp; Calcs'!$B$60),H9*I9/'Brewhouse Setup &amp; Calcs'!$B$60*4))</f>
        <v/>
      </c>
      <c r="K9" s="69" t="str">
        <f>IF(ISBLANK(B9),"",IF('Brewhouse Setup &amp; Calcs'!$B$2="Metric",H9*I9/(0.264172*'Brewhouse Setup &amp; Calcs'!$B$63),H9*I9/'Brewhouse Setup &amp; Calcs'!$B$63*4))</f>
        <v/>
      </c>
      <c r="L9" s="69" t="str">
        <f>IF(ISBLANK(C9),"",(IF('Brewhouse Setup &amp; Calcs'!$B$2="US Customary",((VLOOKUP(B9,grains_table[#All],7,FALSE)*C9)/('Brewhouse Setup &amp; Calcs'!$B$63/4)),((VLOOKUP(B9,grains_table[#All],7,FALSE)*C9*2.204623)/('Brewhouse Setup &amp; Calcs'!$B$63*1.056688/4)))))</f>
        <v/>
      </c>
    </row>
    <row r="10" spans="2:14" x14ac:dyDescent="0.25">
      <c r="B10" s="53"/>
      <c r="C10" s="37"/>
      <c r="D10" s="67" t="str">
        <f t="shared" si="0"/>
        <v/>
      </c>
      <c r="E10" s="68" t="str">
        <f>IF(ISBLANK(B10),"",VLOOKUP(B10,grains_table[#All],3))</f>
        <v/>
      </c>
      <c r="F10" s="30" t="str">
        <f>IF(ISBLANK(B10),"",VLOOKUP(B10,grains_table[#All],6,FALSE))</f>
        <v/>
      </c>
      <c r="G10" s="23" t="str">
        <f t="shared" si="1"/>
        <v/>
      </c>
      <c r="H10" s="69" t="str">
        <f>IF(ISBLANK(B10),"",IF('Brewhouse Setup &amp; Calcs'!$B$2="Metric",2.20462262185*G10*C10,G10*C10))</f>
        <v/>
      </c>
      <c r="I10" s="70" t="str">
        <f>IF(ISBLANK(B10),"",IF(E10="Grain",'Brewhouse Setup &amp; Calcs'!$B$17,IF(E10="Sugar",1,)))</f>
        <v/>
      </c>
      <c r="J10" s="69" t="str">
        <f>IF(ISBLANK(B10),"",IF('Brewhouse Setup &amp; Calcs'!$B$2="Metric",H10*I10/(0.264172*'Brewhouse Setup &amp; Calcs'!$B$60),H10*I10/'Brewhouse Setup &amp; Calcs'!$B$60*4))</f>
        <v/>
      </c>
      <c r="K10" s="69" t="str">
        <f>IF(ISBLANK(B10),"",IF('Brewhouse Setup &amp; Calcs'!$B$2="Metric",H10*I10/(0.264172*'Brewhouse Setup &amp; Calcs'!$B$63),H10*I10/'Brewhouse Setup &amp; Calcs'!$B$63*4))</f>
        <v/>
      </c>
      <c r="L10" s="69" t="str">
        <f>IF(ISBLANK(C10),"",(IF('Brewhouse Setup &amp; Calcs'!$B$2="US Customary",((VLOOKUP(B10,grains_table[#All],7,FALSE)*C10)/('Brewhouse Setup &amp; Calcs'!$B$63/4)),((VLOOKUP(B10,grains_table[#All],7,FALSE)*C10*2.204623)/('Brewhouse Setup &amp; Calcs'!$B$63*1.056688/4)))))</f>
        <v/>
      </c>
    </row>
    <row r="11" spans="2:14" x14ac:dyDescent="0.25">
      <c r="B11" s="53"/>
      <c r="C11" s="37"/>
      <c r="D11" s="67" t="str">
        <f t="shared" si="0"/>
        <v/>
      </c>
      <c r="E11" s="68" t="str">
        <f>IF(ISBLANK(B11),"",VLOOKUP(B11,grains_table[#All],3))</f>
        <v/>
      </c>
      <c r="F11" s="30" t="str">
        <f>IF(ISBLANK(B11),"",VLOOKUP(B11,grains_table[#All],6,FALSE))</f>
        <v/>
      </c>
      <c r="G11" s="23" t="str">
        <f t="shared" si="1"/>
        <v/>
      </c>
      <c r="H11" s="69" t="str">
        <f>IF(ISBLANK(B11),"",IF('Brewhouse Setup &amp; Calcs'!$B$2="Metric",2.20462262185*G11*C11,G11*C11))</f>
        <v/>
      </c>
      <c r="I11" s="70" t="str">
        <f>IF(ISBLANK(B11),"",IF(E11="Grain",'Brewhouse Setup &amp; Calcs'!$B$17,IF(E11="Sugar",1,)))</f>
        <v/>
      </c>
      <c r="J11" s="69" t="str">
        <f>IF(ISBLANK(B11),"",IF('Brewhouse Setup &amp; Calcs'!$B$2="Metric",H11*I11/(0.264172*'Brewhouse Setup &amp; Calcs'!$B$60),H11*I11/'Brewhouse Setup &amp; Calcs'!$B$60*4))</f>
        <v/>
      </c>
      <c r="K11" s="69" t="str">
        <f>IF(ISBLANK(B11),"",IF('Brewhouse Setup &amp; Calcs'!$B$2="Metric",H11*I11/(0.264172*'Brewhouse Setup &amp; Calcs'!$B$63),H11*I11/'Brewhouse Setup &amp; Calcs'!$B$63*4))</f>
        <v/>
      </c>
      <c r="L11" s="69" t="str">
        <f>IF(ISBLANK(C11),"",(IF('Brewhouse Setup &amp; Calcs'!$B$2="US Customary",((VLOOKUP(B11,grains_table[#All],7,FALSE)*C11)/('Brewhouse Setup &amp; Calcs'!$B$63/4)),((VLOOKUP(B11,grains_table[#All],7,FALSE)*C11*2.204623)/('Brewhouse Setup &amp; Calcs'!$B$63*1.056688/4)))))</f>
        <v/>
      </c>
    </row>
    <row r="12" spans="2:14" x14ac:dyDescent="0.25">
      <c r="B12" s="53"/>
      <c r="C12" s="37"/>
      <c r="D12" s="67" t="str">
        <f t="shared" si="0"/>
        <v/>
      </c>
      <c r="E12" s="68" t="str">
        <f>IF(ISBLANK(B12),"",VLOOKUP(B12,grains_table[#All],3))</f>
        <v/>
      </c>
      <c r="F12" s="30" t="str">
        <f>IF(ISBLANK(B12),"",VLOOKUP(B12,grains_table[#All],6,FALSE))</f>
        <v/>
      </c>
      <c r="G12" s="23" t="str">
        <f t="shared" si="1"/>
        <v/>
      </c>
      <c r="H12" s="69" t="str">
        <f>IF(ISBLANK(B12),"",IF('Brewhouse Setup &amp; Calcs'!$B$2="Metric",2.20462262185*G12*C12,G12*C12))</f>
        <v/>
      </c>
      <c r="I12" s="70" t="str">
        <f>IF(ISBLANK(B12),"",IF(E12="Grain",'Brewhouse Setup &amp; Calcs'!$B$17,IF(E12="Sugar",1,)))</f>
        <v/>
      </c>
      <c r="J12" s="69" t="str">
        <f>IF(ISBLANK(B12),"",IF('Brewhouse Setup &amp; Calcs'!$B$2="Metric",H12*I12/(0.264172*'Brewhouse Setup &amp; Calcs'!$B$60),H12*I12/'Brewhouse Setup &amp; Calcs'!$B$60*4))</f>
        <v/>
      </c>
      <c r="K12" s="69" t="str">
        <f>IF(ISBLANK(B12),"",IF('Brewhouse Setup &amp; Calcs'!$B$2="Metric",H12*I12/(0.264172*'Brewhouse Setup &amp; Calcs'!$B$63),H12*I12/'Brewhouse Setup &amp; Calcs'!$B$63*4))</f>
        <v/>
      </c>
      <c r="L12" s="69" t="str">
        <f>IF(ISBLANK(C12),"",(IF('Brewhouse Setup &amp; Calcs'!$B$2="US Customary",((VLOOKUP(B12,grains_table[#All],7,FALSE)*C12)/('Brewhouse Setup &amp; Calcs'!$B$63/4)),((VLOOKUP(B12,grains_table[#All],7,FALSE)*C12*2.204623)/('Brewhouse Setup &amp; Calcs'!$B$63*1.056688/4)))))</f>
        <v/>
      </c>
    </row>
    <row r="13" spans="2:14" x14ac:dyDescent="0.25">
      <c r="B13" s="53"/>
      <c r="C13" s="37"/>
      <c r="D13" s="67" t="str">
        <f t="shared" si="0"/>
        <v/>
      </c>
      <c r="E13" s="68" t="str">
        <f>IF(ISBLANK(B13),"",VLOOKUP(B13,grains_table[#All],3))</f>
        <v/>
      </c>
      <c r="F13" s="30" t="str">
        <f>IF(ISBLANK(B13),"",VLOOKUP(B13,grains_table[#All],6,FALSE))</f>
        <v/>
      </c>
      <c r="G13" s="23" t="str">
        <f t="shared" si="1"/>
        <v/>
      </c>
      <c r="H13" s="69" t="str">
        <f>IF(ISBLANK(B13),"",IF('Brewhouse Setup &amp; Calcs'!$B$2="Metric",2.20462262185*G13*C13,G13*C13))</f>
        <v/>
      </c>
      <c r="I13" s="70" t="str">
        <f>IF(ISBLANK(B13),"",IF(E13="Grain",'Brewhouse Setup &amp; Calcs'!$B$17,IF(E13="Sugar",1,)))</f>
        <v/>
      </c>
      <c r="J13" s="69" t="str">
        <f>IF(ISBLANK(B13),"",IF('Brewhouse Setup &amp; Calcs'!$B$2="Metric",H13*I13/(0.264172*'Brewhouse Setup &amp; Calcs'!$B$60),H13*I13/'Brewhouse Setup &amp; Calcs'!$B$60*4))</f>
        <v/>
      </c>
      <c r="K13" s="69" t="str">
        <f>IF(ISBLANK(B13),"",IF('Brewhouse Setup &amp; Calcs'!$B$2="Metric",H13*I13/(0.264172*'Brewhouse Setup &amp; Calcs'!$B$63),H13*I13/'Brewhouse Setup &amp; Calcs'!$B$63*4))</f>
        <v/>
      </c>
      <c r="L13" s="69" t="str">
        <f>IF(ISBLANK(C13),"",(IF('Brewhouse Setup &amp; Calcs'!$B$2="US Customary",((VLOOKUP(B13,grains_table[#All],7,FALSE)*C13)/('Brewhouse Setup &amp; Calcs'!$B$63/4)),((VLOOKUP(B13,grains_table[#All],7,FALSE)*C13*2.204623)/('Brewhouse Setup &amp; Calcs'!$B$63*1.056688/4)))))</f>
        <v/>
      </c>
    </row>
    <row r="14" spans="2:14" x14ac:dyDescent="0.25">
      <c r="B14" s="21" t="s">
        <v>99</v>
      </c>
      <c r="C14" s="47">
        <f>SUMIF($E$5:$E$13,"Grain",$C$5:$C$13)</f>
        <v>0</v>
      </c>
      <c r="D14" s="59">
        <f>SUMIF($E$5:$E$13,"Grain",$D$5:$D$13)</f>
        <v>0</v>
      </c>
      <c r="G14" s="21" t="s">
        <v>1187</v>
      </c>
      <c r="H14" s="57">
        <f>SUMIF($E$5:$E$13,"Grain",$H$5:$H$13)</f>
        <v>0</v>
      </c>
      <c r="I14" s="21"/>
      <c r="J14" s="57">
        <f>SUMIF($E$5:$E$13,"Grain",$J$5:$J$13)</f>
        <v>0</v>
      </c>
      <c r="K14" s="57">
        <f>SUMIF($E$5:$E$13,"Grain",$K$5:$K$13)</f>
        <v>0</v>
      </c>
      <c r="L14" s="524"/>
    </row>
    <row r="15" spans="2:14" x14ac:dyDescent="0.25">
      <c r="B15" s="21" t="s">
        <v>931</v>
      </c>
      <c r="C15" s="47">
        <f>SUMIF($E$5:$E$13,"Sugar",$C$5:$C$13)</f>
        <v>0</v>
      </c>
      <c r="D15" s="59">
        <f>SUMIF($E$5:$E$13,"Sugar",$D$5:$D$13)</f>
        <v>0</v>
      </c>
      <c r="G15" s="21" t="s">
        <v>1188</v>
      </c>
      <c r="H15" s="57">
        <f>SUMIF($E$5:$E$13,"Sugar",$H$5:$H$13)</f>
        <v>0</v>
      </c>
      <c r="I15" s="21"/>
      <c r="J15" s="57">
        <f>SUMIF($E$5:$E$13,"Sugar",$J$5:$J$13)</f>
        <v>0</v>
      </c>
      <c r="K15" s="57">
        <f>SUMIF($E$5:$E$13,"Sugar",$K$5:$K$13)</f>
        <v>0</v>
      </c>
      <c r="L15" s="525" t="s">
        <v>2034</v>
      </c>
    </row>
    <row r="16" spans="2:14" x14ac:dyDescent="0.25">
      <c r="B16" s="21" t="s">
        <v>137</v>
      </c>
      <c r="C16" s="47">
        <f>C14+C15</f>
        <v>0</v>
      </c>
      <c r="D16" s="59">
        <f>D14+D15</f>
        <v>0</v>
      </c>
      <c r="G16" s="21" t="s">
        <v>137</v>
      </c>
      <c r="H16" s="57">
        <f>SUM(H5:H13)</f>
        <v>0</v>
      </c>
      <c r="J16" s="57">
        <f>SUM(J5:J13)</f>
        <v>0</v>
      </c>
      <c r="K16" s="57">
        <f>SUM(K5:K13)</f>
        <v>0</v>
      </c>
      <c r="L16" s="523">
        <f>SUM(L5:L13)</f>
        <v>0</v>
      </c>
    </row>
    <row r="17" spans="5:12" x14ac:dyDescent="0.25">
      <c r="L17" s="527" t="s">
        <v>1346</v>
      </c>
    </row>
    <row r="18" spans="5:12" x14ac:dyDescent="0.25">
      <c r="I18" s="21" t="s">
        <v>138</v>
      </c>
      <c r="J18" s="30">
        <f>SUMIF($E$5:$E$13,"Grain",$J$5:$J$13)*(IF(H4="PKL",2.205,1))/1000+1</f>
        <v>1</v>
      </c>
      <c r="L18" s="526">
        <f>1.4922*L16^0.6859</f>
        <v>0</v>
      </c>
    </row>
    <row r="19" spans="5:12" x14ac:dyDescent="0.25">
      <c r="I19" s="21" t="s">
        <v>1189</v>
      </c>
      <c r="J19" s="58">
        <f>SUMIF($E$5:$E$13,"Sugar",$J$5:$J$13)/1000+1</f>
        <v>1</v>
      </c>
    </row>
    <row r="20" spans="5:12" x14ac:dyDescent="0.25">
      <c r="I20" s="21" t="s">
        <v>140</v>
      </c>
      <c r="J20" s="58">
        <f>SUM(J5:J13)/1000+1</f>
        <v>1</v>
      </c>
      <c r="K20" s="30">
        <f>SUM(K5:K13)/1000+1</f>
        <v>1</v>
      </c>
    </row>
    <row r="21" spans="5:12" x14ac:dyDescent="0.25">
      <c r="E21" s="20"/>
    </row>
  </sheetData>
  <sheetProtection sheet="1" objects="1" scenarios="1"/>
  <mergeCells count="9">
    <mergeCell ref="K3:K4"/>
    <mergeCell ref="H3:H4"/>
    <mergeCell ref="F3:F4"/>
    <mergeCell ref="B2:M2"/>
    <mergeCell ref="B3:B4"/>
    <mergeCell ref="D3:D4"/>
    <mergeCell ref="E3:E4"/>
    <mergeCell ref="I3:I4"/>
    <mergeCell ref="J3:J4"/>
  </mergeCells>
  <dataValidations count="1">
    <dataValidation type="list" showInputMessage="1" showErrorMessage="1" sqref="E5:E13" xr:uid="{00000000-0002-0000-0300-000000000000}">
      <formula1>"Grain,Sugar"</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'Grain &amp; Sugar List'!$A$3:$A$236</xm:f>
          </x14:formula1>
          <xm:sqref>B6:B13</xm:sqref>
        </x14:dataValidation>
        <x14:dataValidation type="list" allowBlank="1" showInputMessage="1" showErrorMessage="1" xr:uid="{D5F2FB99-9269-4B3B-8C8A-DBB29B40D0B6}">
          <x14:formula1>
            <xm:f>'Grain &amp; Sugar List'!$A$2:$A$236</xm:f>
          </x14:formula1>
          <xm:sqref>B5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1"/>
  <sheetViews>
    <sheetView workbookViewId="0">
      <selection activeCell="F13" sqref="F13"/>
    </sheetView>
  </sheetViews>
  <sheetFormatPr defaultRowHeight="13.2" x14ac:dyDescent="0.25"/>
  <cols>
    <col min="1" max="1" width="10.21875" bestFit="1" customWidth="1"/>
    <col min="2" max="2" width="7.5546875" customWidth="1"/>
    <col min="3" max="3" width="10.6640625" customWidth="1"/>
    <col min="4" max="4" width="7.21875" customWidth="1"/>
    <col min="5" max="5" width="36.33203125" customWidth="1"/>
    <col min="6" max="6" width="6.5546875" style="26" customWidth="1"/>
    <col min="7" max="7" width="8.33203125" customWidth="1"/>
    <col min="8" max="8" width="7.21875" customWidth="1"/>
    <col min="9" max="9" width="7.88671875" customWidth="1"/>
    <col min="10" max="10" width="8" customWidth="1"/>
    <col min="11" max="11" width="8.77734375" customWidth="1"/>
  </cols>
  <sheetData>
    <row r="1" spans="1:12" x14ac:dyDescent="0.25">
      <c r="C1" s="647" t="s">
        <v>117</v>
      </c>
      <c r="D1" s="647"/>
      <c r="E1" s="647"/>
      <c r="F1" s="647"/>
      <c r="G1" s="647"/>
      <c r="H1" s="647"/>
      <c r="I1" s="647"/>
      <c r="J1" s="647"/>
      <c r="K1" s="647"/>
    </row>
    <row r="2" spans="1:12" x14ac:dyDescent="0.25">
      <c r="C2" s="29" t="s">
        <v>131</v>
      </c>
      <c r="D2" s="499">
        <v>0.1</v>
      </c>
      <c r="E2" s="21" t="s">
        <v>120</v>
      </c>
      <c r="F2" s="38">
        <v>0</v>
      </c>
      <c r="H2" s="498" t="s">
        <v>118</v>
      </c>
      <c r="I2" s="499">
        <v>0.1</v>
      </c>
      <c r="J2" s="498" t="s">
        <v>119</v>
      </c>
      <c r="K2" s="499">
        <v>0.05</v>
      </c>
    </row>
    <row r="3" spans="1:12" x14ac:dyDescent="0.25">
      <c r="C3" s="500" t="s">
        <v>2023</v>
      </c>
      <c r="D3" s="513">
        <v>0.5</v>
      </c>
    </row>
    <row r="4" spans="1:12" x14ac:dyDescent="0.25">
      <c r="C4" s="647" t="s">
        <v>94</v>
      </c>
      <c r="D4" s="647"/>
      <c r="E4" s="647"/>
      <c r="F4" s="647"/>
      <c r="G4" s="681"/>
      <c r="H4" s="647"/>
      <c r="I4" s="647"/>
      <c r="J4" s="647"/>
      <c r="K4" s="647"/>
    </row>
    <row r="5" spans="1:12" ht="30.6" customHeight="1" x14ac:dyDescent="0.25">
      <c r="C5" s="675" t="s">
        <v>93</v>
      </c>
      <c r="D5" s="675" t="s">
        <v>66</v>
      </c>
      <c r="E5" s="675" t="s">
        <v>91</v>
      </c>
      <c r="F5" s="679" t="s">
        <v>92</v>
      </c>
      <c r="G5" s="50" t="s">
        <v>145</v>
      </c>
      <c r="H5" s="675" t="s">
        <v>1194</v>
      </c>
      <c r="I5" s="675" t="s">
        <v>98</v>
      </c>
      <c r="J5" s="675" t="s">
        <v>88</v>
      </c>
      <c r="K5" s="675" t="s">
        <v>87</v>
      </c>
    </row>
    <row r="6" spans="1:12" x14ac:dyDescent="0.25">
      <c r="C6" s="676"/>
      <c r="D6" s="676"/>
      <c r="E6" s="676"/>
      <c r="F6" s="680"/>
      <c r="G6" s="52" t="str">
        <f>'Brewhouse Setup &amp; Calcs'!$B$7</f>
        <v>oz</v>
      </c>
      <c r="H6" s="676"/>
      <c r="I6" s="676"/>
      <c r="J6" s="676"/>
      <c r="K6" s="676"/>
    </row>
    <row r="7" spans="1:12" x14ac:dyDescent="0.25">
      <c r="A7" s="497" t="str">
        <f t="shared" ref="A7:A8" si="0">IF(C7="Hop Stand","Time (min):","")</f>
        <v/>
      </c>
      <c r="B7" s="505"/>
      <c r="C7" s="53"/>
      <c r="D7" s="53"/>
      <c r="E7" s="53"/>
      <c r="F7" s="39"/>
      <c r="G7" s="37"/>
      <c r="H7" s="65" t="str">
        <f>IF(ISBLANK(G7),"",IF($G$6="grams",F7*G7/28.346,F7*G7))</f>
        <v/>
      </c>
      <c r="I7" s="66">
        <f>1+IF(D7="Leaf",0,IF(D7="Pellet",$I$2,IF(D7="Plug",$K$2,)))+IF(C7="FWH",$D$2,)</f>
        <v>1</v>
      </c>
      <c r="J7" s="30">
        <f>(1.65*0.000125^(('Grain &amp; Sugar Calcs'!$J$20+'Grain &amp; Sugar Calcs'!$K$20)/2-1))*((1-EXP(-0.04*IF(C7="Hop Stand",$D$3*B7,IF(C7="Dry Hop",0,IF(C7="FWH",'Brewhouse Setup &amp; Calcs'!$B$18,C7)))))/4.15)*I7</f>
        <v>0</v>
      </c>
      <c r="K7" s="25">
        <f>(F7*IF('Brewhouse Setup &amp; Calcs'!$B$7="grams",G7/28.349523,G7)*J7*74.89/IF($G$6="grams",'Brewhouse Setup &amp; Calcs'!$B$63*1.056688/4,'Brewhouse Setup &amp; Calcs'!$B$63/4))</f>
        <v>0</v>
      </c>
    </row>
    <row r="8" spans="1:12" x14ac:dyDescent="0.25">
      <c r="A8" s="497" t="str">
        <f t="shared" si="0"/>
        <v/>
      </c>
      <c r="B8" s="505"/>
      <c r="C8" s="53"/>
      <c r="D8" s="53"/>
      <c r="E8" s="53"/>
      <c r="F8" s="39"/>
      <c r="G8" s="37"/>
      <c r="H8" s="65" t="str">
        <f t="shared" ref="H8:H15" si="1">IF(ISBLANK(G8),"",IF($G$6="grams",F8*G8/28.346,F8*G8))</f>
        <v/>
      </c>
      <c r="I8" s="66">
        <f t="shared" ref="I8:I15" si="2">1+IF(D8="Leaf",0,IF(D8="Pellet",$I$2,IF(D8="Plug",$K$2,)))+IF(C8="FWH",$D$2,)</f>
        <v>1</v>
      </c>
      <c r="J8" s="30">
        <f>(1.65*0.000125^(('Grain &amp; Sugar Calcs'!$J$20+'Grain &amp; Sugar Calcs'!$K$20)/2-1))*((1-EXP(-0.04*IF(C8="Hop Stand",$D$3*B8,IF(C8="Dry Hop",0,IF(C8="FWH",'Brewhouse Setup &amp; Calcs'!$B$18,C8)))))/4.15)*I8</f>
        <v>0</v>
      </c>
      <c r="K8" s="25">
        <f>(F8*IF('Brewhouse Setup &amp; Calcs'!$B$7="grams",G8/28.349523,G8)*J8*74.89/IF($G$6="grams",'Brewhouse Setup &amp; Calcs'!$B$63*1.056688/4,'Brewhouse Setup &amp; Calcs'!$B$63/4))</f>
        <v>0</v>
      </c>
    </row>
    <row r="9" spans="1:12" x14ac:dyDescent="0.25">
      <c r="A9" s="497" t="str">
        <f>IF(C9="Hop Stand","Time (min):","")</f>
        <v/>
      </c>
      <c r="B9" s="505"/>
      <c r="C9" s="53"/>
      <c r="D9" s="53"/>
      <c r="E9" s="53"/>
      <c r="F9" s="39"/>
      <c r="G9" s="37"/>
      <c r="H9" s="65" t="str">
        <f t="shared" si="1"/>
        <v/>
      </c>
      <c r="I9" s="66">
        <f t="shared" si="2"/>
        <v>1</v>
      </c>
      <c r="J9" s="30">
        <f>(1.65*0.000125^(('Grain &amp; Sugar Calcs'!$J$20+'Grain &amp; Sugar Calcs'!$K$20)/2-1))*((1-EXP(-0.04*IF(C9="Hop Stand",$D$3*B9,IF(C9="Dry Hop",0,IF(C9="FWH",'Brewhouse Setup &amp; Calcs'!$B$18,C9)))))/4.15)*I9</f>
        <v>0</v>
      </c>
      <c r="K9" s="25">
        <f>(F9*IF('Brewhouse Setup &amp; Calcs'!$B$7="grams",G9/28.349523,G9)*J9*74.89/IF($G$6="grams",'Brewhouse Setup &amp; Calcs'!$B$63*1.056688/4,'Brewhouse Setup &amp; Calcs'!$B$63/4))</f>
        <v>0</v>
      </c>
    </row>
    <row r="10" spans="1:12" x14ac:dyDescent="0.25">
      <c r="A10" s="497" t="str">
        <f t="shared" ref="A10:A15" si="3">IF(C10="Hop Stand","Time (min):","")</f>
        <v/>
      </c>
      <c r="B10" s="505"/>
      <c r="C10" s="53"/>
      <c r="D10" s="53"/>
      <c r="E10" s="53"/>
      <c r="F10" s="39"/>
      <c r="G10" s="37"/>
      <c r="H10" s="65" t="str">
        <f t="shared" si="1"/>
        <v/>
      </c>
      <c r="I10" s="66">
        <f t="shared" ref="I10:I11" si="4">1+IF(D10="Leaf",0,IF(D10="Pellet",$I$2,IF(D10="Plug",$K$2,)))+IF(C10="FWH",$D$2,)</f>
        <v>1</v>
      </c>
      <c r="J10" s="30">
        <f>(1.65*0.000125^(('Grain &amp; Sugar Calcs'!$J$20+'Grain &amp; Sugar Calcs'!$K$20)/2-1))*((1-EXP(-0.04*IF(C10="Hop Stand",$D$3*B10,IF(C10="Dry Hop",0,IF(C10="FWH",'Brewhouse Setup &amp; Calcs'!$B$18,C10)))))/4.15)*I10</f>
        <v>0</v>
      </c>
      <c r="K10" s="25">
        <f>(F10*IF('Brewhouse Setup &amp; Calcs'!$B$7="grams",G10/28.349523,G10)*J10*74.89/IF($G$6="grams",'Brewhouse Setup &amp; Calcs'!$B$63*1.056688/4,'Brewhouse Setup &amp; Calcs'!$B$63/4))</f>
        <v>0</v>
      </c>
    </row>
    <row r="11" spans="1:12" x14ac:dyDescent="0.25">
      <c r="A11" s="497" t="str">
        <f t="shared" si="3"/>
        <v/>
      </c>
      <c r="B11" s="505"/>
      <c r="C11" s="53"/>
      <c r="D11" s="53"/>
      <c r="E11" s="53"/>
      <c r="F11" s="39"/>
      <c r="G11" s="37"/>
      <c r="H11" s="65" t="str">
        <f t="shared" si="1"/>
        <v/>
      </c>
      <c r="I11" s="66">
        <f t="shared" si="4"/>
        <v>1</v>
      </c>
      <c r="J11" s="30">
        <f>(1.65*0.000125^(('Grain &amp; Sugar Calcs'!$J$20+'Grain &amp; Sugar Calcs'!$K$20)/2-1))*((1-EXP(-0.04*IF(C11="Hop Stand",$D$3*B11,IF(C11="Dry Hop",0,IF(C11="FWH",'Brewhouse Setup &amp; Calcs'!$B$18,C11)))))/4.15)*I11</f>
        <v>0</v>
      </c>
      <c r="K11" s="25">
        <f>(F11*IF('Brewhouse Setup &amp; Calcs'!$B$7="grams",G11/28.349523,G11)*J11*74.89/IF($G$6="grams",'Brewhouse Setup &amp; Calcs'!$B$63*1.056688/4,'Brewhouse Setup &amp; Calcs'!$B$63/4))</f>
        <v>0</v>
      </c>
    </row>
    <row r="12" spans="1:12" x14ac:dyDescent="0.25">
      <c r="A12" s="497" t="str">
        <f t="shared" si="3"/>
        <v/>
      </c>
      <c r="B12" s="505"/>
      <c r="C12" s="53"/>
      <c r="D12" s="53"/>
      <c r="E12" s="53"/>
      <c r="F12" s="39"/>
      <c r="G12" s="37"/>
      <c r="H12" s="65" t="str">
        <f t="shared" si="1"/>
        <v/>
      </c>
      <c r="I12" s="66">
        <f t="shared" si="2"/>
        <v>1</v>
      </c>
      <c r="J12" s="30">
        <f>(1.65*0.000125^(('Grain &amp; Sugar Calcs'!$J$20+'Grain &amp; Sugar Calcs'!$K$20)/2-1))*((1-EXP(-0.04*IF(C12="Hop Stand",$D$3*B12,IF(C12="Dry Hop",0,IF(C12="FWH",'Brewhouse Setup &amp; Calcs'!$B$18,C12)))))/4.15)*I12</f>
        <v>0</v>
      </c>
      <c r="K12" s="25">
        <f>(F12*IF('Brewhouse Setup &amp; Calcs'!$B$7="grams",G12/28.349523,G12)*J12*74.89/IF($G$6="grams",'Brewhouse Setup &amp; Calcs'!$B$63*1.056688/4,'Brewhouse Setup &amp; Calcs'!$B$63/4))</f>
        <v>0</v>
      </c>
    </row>
    <row r="13" spans="1:12" x14ac:dyDescent="0.25">
      <c r="A13" s="497" t="str">
        <f t="shared" si="3"/>
        <v/>
      </c>
      <c r="B13" s="505"/>
      <c r="C13" s="53"/>
      <c r="D13" s="53"/>
      <c r="E13" s="53"/>
      <c r="F13" s="39"/>
      <c r="G13" s="37"/>
      <c r="H13" s="65" t="str">
        <f t="shared" si="1"/>
        <v/>
      </c>
      <c r="I13" s="66">
        <f t="shared" si="2"/>
        <v>1</v>
      </c>
      <c r="J13" s="30">
        <f>(1.65*0.000125^(('Grain &amp; Sugar Calcs'!$J$20+'Grain &amp; Sugar Calcs'!$K$20)/2-1))*((1-EXP(-0.04*IF(C13="Hop Stand",$D$3*B13,IF(C13="Dry Hop",0,IF(C13="FWH",'Brewhouse Setup &amp; Calcs'!$B$18,C13)))))/4.15)*I13</f>
        <v>0</v>
      </c>
      <c r="K13" s="25">
        <f>(F13*IF('Brewhouse Setup &amp; Calcs'!$B$7="grams",G13/28.349523,G13)*J13*74.89/IF($G$6="grams",'Brewhouse Setup &amp; Calcs'!$B$63*1.056688/4,'Brewhouse Setup &amp; Calcs'!$B$63/4))</f>
        <v>0</v>
      </c>
    </row>
    <row r="14" spans="1:12" x14ac:dyDescent="0.25">
      <c r="A14" s="497" t="str">
        <f t="shared" si="3"/>
        <v/>
      </c>
      <c r="B14" s="505"/>
      <c r="C14" s="53"/>
      <c r="D14" s="53"/>
      <c r="E14" s="53"/>
      <c r="F14" s="39"/>
      <c r="G14" s="37"/>
      <c r="H14" s="65" t="str">
        <f t="shared" si="1"/>
        <v/>
      </c>
      <c r="I14" s="66">
        <f t="shared" si="2"/>
        <v>1</v>
      </c>
      <c r="J14" s="30">
        <f>(1.65*0.000125^(('Grain &amp; Sugar Calcs'!$J$20+'Grain &amp; Sugar Calcs'!$K$20)/2-1))*((1-EXP(-0.04*IF(C14="Hop Stand",$D$3*B14,IF(C14="Dry Hop",0,IF(C14="FWH",'Brewhouse Setup &amp; Calcs'!$B$18,C14)))))/4.15)*I14</f>
        <v>0</v>
      </c>
      <c r="K14" s="25">
        <f>(F14*IF('Brewhouse Setup &amp; Calcs'!$B$7="grams",G14/28.349523,G14)*J14*74.89/IF($G$6="grams",'Brewhouse Setup &amp; Calcs'!$B$63*1.056688/4,'Brewhouse Setup &amp; Calcs'!$B$63/4))</f>
        <v>0</v>
      </c>
    </row>
    <row r="15" spans="1:12" x14ac:dyDescent="0.25">
      <c r="A15" s="497" t="str">
        <f t="shared" si="3"/>
        <v/>
      </c>
      <c r="B15" s="505"/>
      <c r="C15" s="53"/>
      <c r="D15" s="53"/>
      <c r="E15" s="53"/>
      <c r="F15" s="39"/>
      <c r="G15" s="37"/>
      <c r="H15" s="65" t="str">
        <f t="shared" si="1"/>
        <v/>
      </c>
      <c r="I15" s="66">
        <f t="shared" si="2"/>
        <v>1</v>
      </c>
      <c r="J15" s="30">
        <f>(1.65*0.000125^(('Grain &amp; Sugar Calcs'!$J$20+'Grain &amp; Sugar Calcs'!$K$20)/2-1))*((1-EXP(-0.04*IF(C15="Hop Stand",$D$3*B15,IF(C15="Dry Hop",0,IF(C15="FWH",'Brewhouse Setup &amp; Calcs'!$B$18,C15)))))/4.15)*I15</f>
        <v>0</v>
      </c>
      <c r="K15" s="25">
        <f>(F15*IF('Brewhouse Setup &amp; Calcs'!$B$7="grams",G15/28.349523,G15)*J15*74.89/IF($G$6="grams",'Brewhouse Setup &amp; Calcs'!$B$63*1.056688/4,'Brewhouse Setup &amp; Calcs'!$B$63/4))</f>
        <v>0</v>
      </c>
    </row>
    <row r="16" spans="1:12" x14ac:dyDescent="0.25">
      <c r="D16" s="4"/>
      <c r="K16" s="25">
        <f>SUM(K7:K15)</f>
        <v>0</v>
      </c>
      <c r="L16" s="22" t="s">
        <v>90</v>
      </c>
    </row>
    <row r="17" spans="4:7" x14ac:dyDescent="0.25">
      <c r="D17" s="4"/>
      <c r="F17" s="129" t="s">
        <v>1789</v>
      </c>
      <c r="G17" s="65">
        <f>SUM(G7:G16)</f>
        <v>0</v>
      </c>
    </row>
    <row r="18" spans="4:7" x14ac:dyDescent="0.25">
      <c r="D18" s="4"/>
    </row>
    <row r="19" spans="4:7" x14ac:dyDescent="0.25">
      <c r="D19" s="4"/>
    </row>
    <row r="20" spans="4:7" x14ac:dyDescent="0.25">
      <c r="D20" s="4"/>
    </row>
    <row r="21" spans="4:7" x14ac:dyDescent="0.25">
      <c r="D21" s="4"/>
    </row>
  </sheetData>
  <sheetProtection sheet="1" objects="1" scenarios="1"/>
  <dataConsolidate/>
  <mergeCells count="10">
    <mergeCell ref="C4:K4"/>
    <mergeCell ref="C1:K1"/>
    <mergeCell ref="C5:C6"/>
    <mergeCell ref="D5:D6"/>
    <mergeCell ref="E5:E6"/>
    <mergeCell ref="F5:F6"/>
    <mergeCell ref="H5:H6"/>
    <mergeCell ref="I5:I6"/>
    <mergeCell ref="J5:J6"/>
    <mergeCell ref="K5:K6"/>
  </mergeCells>
  <conditionalFormatting sqref="B7:B15">
    <cfRule type="expression" dxfId="30" priority="1">
      <formula>IF(C7="Hop Stand",TRUE,FALSE)</formula>
    </cfRule>
  </conditionalFormatting>
  <dataValidations count="7">
    <dataValidation type="list" allowBlank="1" showInputMessage="1" showErrorMessage="1" sqref="D7:D15" xr:uid="{00000000-0002-0000-0400-000000000000}">
      <formula1>"Leaf,Pellet,Plug"</formula1>
    </dataValidation>
    <dataValidation type="list" allowBlank="1" showInputMessage="1" showErrorMessage="1" sqref="C7:C15" xr:uid="{00000000-0002-0000-0400-000001000000}">
      <formula1>"FWH,60,45,30,20,15,10,5,2,1,0,Hop Stand,Dry Hop"</formula1>
    </dataValidation>
    <dataValidation allowBlank="1" showInputMessage="1" showErrorMessage="1" promptTitle="Hop Stand Adj Factor" prompt="A &quot;fudge&quot; factor to the hop stand time since the formulas in this tab normally uses boil times that account for higher Utilization. E.G. A value of 0.33 for a 10 min hop stand is somewhat similar to a 30 min boil." sqref="D3" xr:uid="{2D44C617-926E-44CA-B0C5-194DBEED27E1}"/>
    <dataValidation allowBlank="1" showInputMessage="1" showErrorMessage="1" promptTitle="First Wort Hops Adj Factor" prompt="A &quot;fudge&quot; factor to account for a FWH addition." sqref="D2" xr:uid="{04831FE1-691D-4D39-9523-72F79B1A73CC}"/>
    <dataValidation allowBlank="1" showInputMessage="1" showErrorMessage="1" promptTitle="Hop Leaf Adj Factor" prompt="Since all IBU calcs are based on leaf hops, this should always be zero." sqref="F2" xr:uid="{2CD9B595-D27A-49B3-84A5-2C31BBDEC265}"/>
    <dataValidation allowBlank="1" showInputMessage="1" showErrorMessage="1" promptTitle="Pellet Hops Adj Factor" prompt="Additional bitterness contribution due to the use of pellets instead of whole leaf hops." sqref="I2" xr:uid="{FCB41294-C06D-458E-83DD-0AB1B2340508}"/>
    <dataValidation allowBlank="1" showInputMessage="1" showErrorMessage="1" promptTitle="Plug Hops Adj Factor" prompt="Additional bitterness contribution due to the use of plugs instead of whole leaf hops." sqref="K2" xr:uid="{7E3B596D-B454-44EC-9F2A-137A3E735B4B}"/>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Title="Unlisted Hops Entered" error="The pulldown list was manually overridden." promptTitle="Hops Species" prompt="Select hops" xr:uid="{00000000-0002-0000-0400-000002000000}">
          <x14:formula1>
            <xm:f>'Hops List'!$A$2:$A$141</xm:f>
          </x14:formula1>
          <xm:sqref>E7:E15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675C3-8D22-435E-951C-6C103D22B0C1}">
  <sheetPr codeName="Sheet6">
    <pageSetUpPr fitToPage="1"/>
  </sheetPr>
  <dimension ref="B1:N77"/>
  <sheetViews>
    <sheetView showGridLines="0" topLeftCell="A16" zoomScale="85" workbookViewId="0">
      <selection activeCell="E36" sqref="E36"/>
    </sheetView>
  </sheetViews>
  <sheetFormatPr defaultRowHeight="13.2" x14ac:dyDescent="0.25"/>
  <cols>
    <col min="1" max="2" width="1.6640625" customWidth="1"/>
    <col min="3" max="3" width="29.6640625" style="4" customWidth="1"/>
    <col min="4" max="9" width="14.6640625" customWidth="1"/>
    <col min="10" max="10" width="14.88671875" customWidth="1"/>
    <col min="11" max="11" width="5.44140625" customWidth="1"/>
    <col min="12" max="12" width="9.5546875" customWidth="1"/>
    <col min="14" max="14" width="13.44140625" bestFit="1" customWidth="1"/>
  </cols>
  <sheetData>
    <row r="1" spans="2:12" ht="21.6" thickBot="1" x14ac:dyDescent="0.45">
      <c r="C1" s="683" t="s">
        <v>1950</v>
      </c>
      <c r="D1" s="683"/>
      <c r="E1" s="683"/>
      <c r="F1" s="683"/>
      <c r="G1" s="683"/>
      <c r="H1" s="683"/>
      <c r="I1" s="683"/>
      <c r="J1" s="683"/>
      <c r="K1" s="683"/>
      <c r="L1" s="4"/>
    </row>
    <row r="2" spans="2:12" ht="15" customHeight="1" x14ac:dyDescent="0.25">
      <c r="B2" s="174"/>
      <c r="C2" s="175" t="s">
        <v>1832</v>
      </c>
      <c r="D2" s="176"/>
      <c r="E2" s="176"/>
      <c r="F2" s="176"/>
      <c r="G2" s="176"/>
      <c r="H2" s="176"/>
      <c r="I2" s="176"/>
      <c r="J2" s="176"/>
      <c r="K2" s="177"/>
      <c r="L2" s="4"/>
    </row>
    <row r="3" spans="2:12" ht="15" customHeight="1" x14ac:dyDescent="0.35">
      <c r="B3" s="178"/>
      <c r="C3" s="179"/>
      <c r="D3" s="180" t="s">
        <v>1833</v>
      </c>
      <c r="E3" s="180" t="s">
        <v>1834</v>
      </c>
      <c r="F3" s="180" t="s">
        <v>1835</v>
      </c>
      <c r="G3" s="180" t="s">
        <v>1836</v>
      </c>
      <c r="H3" s="180" t="s">
        <v>1837</v>
      </c>
      <c r="I3" s="684" t="s">
        <v>1838</v>
      </c>
      <c r="J3" s="684"/>
      <c r="K3" s="685">
        <v>2</v>
      </c>
      <c r="L3" s="4"/>
    </row>
    <row r="4" spans="2:12" ht="15" customHeight="1" x14ac:dyDescent="0.35">
      <c r="B4" s="178"/>
      <c r="C4" s="181" t="s">
        <v>1839</v>
      </c>
      <c r="D4" s="182" t="s">
        <v>1840</v>
      </c>
      <c r="E4" s="182" t="s">
        <v>1841</v>
      </c>
      <c r="F4" s="182" t="s">
        <v>1842</v>
      </c>
      <c r="G4" s="182" t="s">
        <v>1843</v>
      </c>
      <c r="H4" s="182" t="s">
        <v>1844</v>
      </c>
      <c r="I4" s="686" t="s">
        <v>1845</v>
      </c>
      <c r="J4" s="686"/>
      <c r="K4" s="685"/>
      <c r="L4" s="4"/>
    </row>
    <row r="5" spans="2:12" s="187" customFormat="1" ht="18" customHeight="1" x14ac:dyDescent="0.25">
      <c r="B5" s="183"/>
      <c r="C5" s="184" t="s">
        <v>1846</v>
      </c>
      <c r="D5" s="489">
        <f>'Recipe Sheet'!N8</f>
        <v>0</v>
      </c>
      <c r="E5" s="489">
        <f>'Recipe Sheet'!N9</f>
        <v>0</v>
      </c>
      <c r="F5" s="489">
        <f>'Recipe Sheet'!N10</f>
        <v>0</v>
      </c>
      <c r="G5" s="489">
        <f>'Recipe Sheet'!N11</f>
        <v>0</v>
      </c>
      <c r="H5" s="489">
        <f>'Recipe Sheet'!N12</f>
        <v>0</v>
      </c>
      <c r="I5" s="489">
        <f>'Recipe Sheet'!N13</f>
        <v>0</v>
      </c>
      <c r="J5" s="185"/>
      <c r="K5" s="186"/>
    </row>
    <row r="6" spans="2:12" ht="15" customHeight="1" x14ac:dyDescent="0.25">
      <c r="B6" s="178"/>
      <c r="C6" s="188" t="s">
        <v>1847</v>
      </c>
      <c r="D6" s="180"/>
      <c r="E6" s="189"/>
      <c r="F6" s="190"/>
      <c r="G6" s="190"/>
      <c r="H6" s="191"/>
      <c r="I6" s="191"/>
      <c r="J6" s="192"/>
      <c r="K6" s="193"/>
      <c r="L6" s="4"/>
    </row>
    <row r="7" spans="2:12" ht="15" customHeight="1" x14ac:dyDescent="0.25">
      <c r="B7" s="178"/>
      <c r="C7" s="181" t="s">
        <v>1848</v>
      </c>
      <c r="D7" s="180" t="s">
        <v>1849</v>
      </c>
      <c r="E7" s="180" t="s">
        <v>1850</v>
      </c>
      <c r="F7" s="180"/>
      <c r="G7" s="194"/>
      <c r="H7" s="192"/>
      <c r="I7" s="687" t="s">
        <v>1851</v>
      </c>
      <c r="J7" s="687"/>
      <c r="K7" s="688"/>
      <c r="L7" s="4"/>
    </row>
    <row r="8" spans="2:12" s="187" customFormat="1" ht="18" customHeight="1" x14ac:dyDescent="0.25">
      <c r="B8" s="183"/>
      <c r="C8" s="195" t="s">
        <v>1852</v>
      </c>
      <c r="D8" s="459">
        <f>IF('Brewhouse Setup &amp; Calcs'!$B$2="US Customary",'Brewhouse Setup &amp; Calcs'!B43/4,"NA")</f>
        <v>0</v>
      </c>
      <c r="E8" s="459">
        <f>IF('Brewhouse Setup &amp; Calcs'!$B$2="US Customary",'Brewhouse Setup &amp; Calcs'!B48/4,"NA")</f>
        <v>6.93</v>
      </c>
      <c r="F8" s="194"/>
      <c r="G8" s="194"/>
      <c r="H8" s="192"/>
      <c r="I8" s="687"/>
      <c r="J8" s="687"/>
      <c r="K8" s="688"/>
    </row>
    <row r="9" spans="2:12" s="187" customFormat="1" ht="18" customHeight="1" x14ac:dyDescent="0.25">
      <c r="B9" s="183"/>
      <c r="C9" s="195" t="s">
        <v>1853</v>
      </c>
      <c r="D9" s="528">
        <v>0</v>
      </c>
      <c r="E9" s="528">
        <v>0</v>
      </c>
      <c r="F9" s="194"/>
      <c r="G9" s="194"/>
      <c r="H9" s="192"/>
      <c r="I9" s="687"/>
      <c r="J9" s="687"/>
      <c r="K9" s="688"/>
    </row>
    <row r="10" spans="2:12" s="187" customFormat="1" ht="15" customHeight="1" thickBot="1" x14ac:dyDescent="0.3">
      <c r="B10" s="196"/>
      <c r="C10" s="197"/>
      <c r="D10" s="198"/>
      <c r="E10" s="198"/>
      <c r="F10" s="198"/>
      <c r="G10" s="198"/>
      <c r="H10" s="199"/>
      <c r="I10" s="689"/>
      <c r="J10" s="689"/>
      <c r="K10" s="690"/>
    </row>
    <row r="11" spans="2:12" s="187" customFormat="1" ht="15" customHeight="1" x14ac:dyDescent="0.25">
      <c r="B11" s="200"/>
      <c r="C11" s="201" t="s">
        <v>1854</v>
      </c>
      <c r="D11" s="202"/>
      <c r="E11" s="202"/>
      <c r="F11" s="202"/>
      <c r="G11" s="203" t="s">
        <v>1855</v>
      </c>
      <c r="H11" s="204"/>
      <c r="I11" s="204" t="s">
        <v>1856</v>
      </c>
      <c r="J11" s="204" t="s">
        <v>1857</v>
      </c>
      <c r="K11" s="205"/>
    </row>
    <row r="12" spans="2:12" s="187" customFormat="1" ht="15" customHeight="1" x14ac:dyDescent="0.25">
      <c r="B12" s="206"/>
      <c r="C12" s="207"/>
      <c r="D12" s="208" t="s">
        <v>1858</v>
      </c>
      <c r="E12" s="208" t="s">
        <v>1859</v>
      </c>
      <c r="F12" s="208" t="s">
        <v>1860</v>
      </c>
      <c r="G12" s="204" t="s">
        <v>1783</v>
      </c>
      <c r="H12" s="209">
        <v>1</v>
      </c>
      <c r="I12" s="210" t="s">
        <v>1861</v>
      </c>
      <c r="J12" s="211"/>
      <c r="K12" s="212"/>
    </row>
    <row r="13" spans="2:12" s="187" customFormat="1" ht="15" customHeight="1" x14ac:dyDescent="0.25">
      <c r="B13" s="206"/>
      <c r="C13" s="213"/>
      <c r="D13" s="494" t="s">
        <v>66</v>
      </c>
      <c r="E13" s="208" t="s">
        <v>1862</v>
      </c>
      <c r="F13" s="214" t="s">
        <v>1863</v>
      </c>
      <c r="G13" s="204" t="s">
        <v>1864</v>
      </c>
      <c r="H13" s="209">
        <v>2</v>
      </c>
      <c r="I13" s="215" t="s">
        <v>1865</v>
      </c>
      <c r="J13" s="216">
        <v>5.7</v>
      </c>
      <c r="K13" s="217"/>
    </row>
    <row r="14" spans="2:12" s="187" customFormat="1" ht="18" customHeight="1" x14ac:dyDescent="0.25">
      <c r="B14" s="206"/>
      <c r="C14" s="682" t="s">
        <v>1866</v>
      </c>
      <c r="D14" s="493">
        <v>2</v>
      </c>
      <c r="E14" s="459">
        <f>IF('Brewhouse Setup &amp; Calcs'!$B$2="US Customary",'Grain &amp; Sugar Calcs'!C5,"NA")</f>
        <v>0</v>
      </c>
      <c r="F14" s="492">
        <v>0</v>
      </c>
      <c r="G14" s="218">
        <f t="shared" ref="G14:G22" si="0">IF(D14=10,5.22-0.00504*F14,VLOOKUP(D14,H$12:J$22,3,FALSE))</f>
        <v>5.7</v>
      </c>
      <c r="H14" s="209">
        <v>3</v>
      </c>
      <c r="I14" s="215" t="s">
        <v>1867</v>
      </c>
      <c r="J14" s="216">
        <v>5.79</v>
      </c>
      <c r="K14" s="217"/>
    </row>
    <row r="15" spans="2:12" s="187" customFormat="1" ht="18" customHeight="1" x14ac:dyDescent="0.25">
      <c r="B15" s="206"/>
      <c r="C15" s="682"/>
      <c r="D15" s="493">
        <v>2</v>
      </c>
      <c r="E15" s="459">
        <f>IF('Brewhouse Setup &amp; Calcs'!$B$2="US Customary",'Grain &amp; Sugar Calcs'!C6,"NA")</f>
        <v>0</v>
      </c>
      <c r="F15" s="492">
        <v>0</v>
      </c>
      <c r="G15" s="218">
        <f t="shared" si="0"/>
        <v>5.7</v>
      </c>
      <c r="H15" s="209">
        <v>4</v>
      </c>
      <c r="I15" s="215" t="s">
        <v>1868</v>
      </c>
      <c r="J15" s="216">
        <v>5.77</v>
      </c>
      <c r="K15" s="217"/>
    </row>
    <row r="16" spans="2:12" s="187" customFormat="1" ht="18" customHeight="1" x14ac:dyDescent="0.25">
      <c r="B16" s="206"/>
      <c r="C16" s="682"/>
      <c r="D16" s="493">
        <v>10</v>
      </c>
      <c r="E16" s="459">
        <f>IF('Brewhouse Setup &amp; Calcs'!$B$2="US Customary",'Grain &amp; Sugar Calcs'!C7,"NA")</f>
        <v>0</v>
      </c>
      <c r="F16" s="492">
        <v>40</v>
      </c>
      <c r="G16" s="218">
        <f t="shared" si="0"/>
        <v>5.0183999999999997</v>
      </c>
      <c r="H16" s="209">
        <v>5</v>
      </c>
      <c r="I16" s="215" t="s">
        <v>1869</v>
      </c>
      <c r="J16" s="216">
        <v>5.43</v>
      </c>
      <c r="K16" s="217"/>
    </row>
    <row r="17" spans="2:12" s="187" customFormat="1" ht="18" customHeight="1" x14ac:dyDescent="0.25">
      <c r="B17" s="206"/>
      <c r="C17" s="682"/>
      <c r="D17" s="493">
        <v>1</v>
      </c>
      <c r="E17" s="459">
        <f>IF('Brewhouse Setup &amp; Calcs'!$B$2="US Customary",'Grain &amp; Sugar Calcs'!C8,"NA")</f>
        <v>0</v>
      </c>
      <c r="F17" s="492">
        <v>0</v>
      </c>
      <c r="G17" s="218">
        <f t="shared" si="0"/>
        <v>0</v>
      </c>
      <c r="H17" s="209">
        <v>6</v>
      </c>
      <c r="I17" s="215" t="s">
        <v>1870</v>
      </c>
      <c r="J17" s="216">
        <v>5.75</v>
      </c>
      <c r="K17" s="217"/>
    </row>
    <row r="18" spans="2:12" s="187" customFormat="1" ht="18" customHeight="1" x14ac:dyDescent="0.25">
      <c r="B18" s="206"/>
      <c r="C18" s="682"/>
      <c r="D18" s="493">
        <v>1</v>
      </c>
      <c r="E18" s="459">
        <f>IF('Brewhouse Setup &amp; Calcs'!$B$2="US Customary",'Grain &amp; Sugar Calcs'!C9,"NA")</f>
        <v>0</v>
      </c>
      <c r="F18" s="492">
        <v>0</v>
      </c>
      <c r="G18" s="218">
        <f t="shared" si="0"/>
        <v>0</v>
      </c>
      <c r="H18" s="209">
        <v>7</v>
      </c>
      <c r="I18" s="215" t="s">
        <v>1871</v>
      </c>
      <c r="J18" s="216">
        <v>6.04</v>
      </c>
      <c r="K18" s="217"/>
    </row>
    <row r="19" spans="2:12" s="187" customFormat="1" ht="18" customHeight="1" x14ac:dyDescent="0.25">
      <c r="B19" s="206"/>
      <c r="C19" s="682"/>
      <c r="D19" s="493">
        <v>1</v>
      </c>
      <c r="E19" s="459">
        <f>IF('Brewhouse Setup &amp; Calcs'!$B$2="US Customary",'Grain &amp; Sugar Calcs'!C10,"NA")</f>
        <v>0</v>
      </c>
      <c r="F19" s="492">
        <v>0</v>
      </c>
      <c r="G19" s="218">
        <f t="shared" si="0"/>
        <v>0</v>
      </c>
      <c r="H19" s="209">
        <v>8</v>
      </c>
      <c r="I19" s="215" t="s">
        <v>1872</v>
      </c>
      <c r="J19" s="216">
        <v>5.56</v>
      </c>
      <c r="K19" s="217"/>
    </row>
    <row r="20" spans="2:12" s="187" customFormat="1" ht="18" customHeight="1" x14ac:dyDescent="0.25">
      <c r="B20" s="206"/>
      <c r="C20" s="682"/>
      <c r="D20" s="493">
        <v>1</v>
      </c>
      <c r="E20" s="459">
        <f>IF('Brewhouse Setup &amp; Calcs'!$B$2="US Customary",'Grain &amp; Sugar Calcs'!C11,"NA")</f>
        <v>0</v>
      </c>
      <c r="F20" s="492">
        <v>0</v>
      </c>
      <c r="G20" s="218">
        <f t="shared" si="0"/>
        <v>0</v>
      </c>
      <c r="H20" s="209">
        <v>9</v>
      </c>
      <c r="I20" s="215" t="s">
        <v>1873</v>
      </c>
      <c r="J20" s="216">
        <v>5.7</v>
      </c>
      <c r="K20" s="217"/>
    </row>
    <row r="21" spans="2:12" s="187" customFormat="1" ht="18" customHeight="1" x14ac:dyDescent="0.25">
      <c r="B21" s="206"/>
      <c r="C21" s="682"/>
      <c r="D21" s="493">
        <v>1</v>
      </c>
      <c r="E21" s="459">
        <f>IF('Brewhouse Setup &amp; Calcs'!$B$2="US Customary",'Grain &amp; Sugar Calcs'!C12,"NA")</f>
        <v>0</v>
      </c>
      <c r="F21" s="492">
        <v>0</v>
      </c>
      <c r="G21" s="218">
        <f t="shared" si="0"/>
        <v>0</v>
      </c>
      <c r="H21" s="209">
        <v>10</v>
      </c>
      <c r="I21" s="215" t="s">
        <v>1874</v>
      </c>
      <c r="J21" s="216" t="s">
        <v>1875</v>
      </c>
      <c r="K21" s="217"/>
    </row>
    <row r="22" spans="2:12" s="187" customFormat="1" ht="18" customHeight="1" x14ac:dyDescent="0.25">
      <c r="B22" s="206"/>
      <c r="C22" s="682"/>
      <c r="D22" s="493">
        <v>1</v>
      </c>
      <c r="E22" s="459">
        <f>IF('Brewhouse Setup &amp; Calcs'!$B$2="US Customary",'Grain &amp; Sugar Calcs'!C13,"NA")</f>
        <v>0</v>
      </c>
      <c r="F22" s="492">
        <v>0</v>
      </c>
      <c r="G22" s="218">
        <f t="shared" si="0"/>
        <v>0</v>
      </c>
      <c r="H22" s="209">
        <v>11</v>
      </c>
      <c r="I22" s="219" t="s">
        <v>1876</v>
      </c>
      <c r="J22" s="220">
        <v>4.71</v>
      </c>
      <c r="K22" s="217"/>
    </row>
    <row r="23" spans="2:12" s="187" customFormat="1" ht="15" customHeight="1" x14ac:dyDescent="0.25">
      <c r="B23" s="206"/>
      <c r="C23" s="221"/>
      <c r="D23" s="222" t="s">
        <v>1877</v>
      </c>
      <c r="E23" s="223">
        <f>SUM(E14:E22)</f>
        <v>0</v>
      </c>
      <c r="F23" s="224"/>
      <c r="G23" s="225"/>
      <c r="H23" s="693" t="s">
        <v>1878</v>
      </c>
      <c r="I23" s="694"/>
      <c r="J23" s="694"/>
      <c r="K23" s="695"/>
    </row>
    <row r="24" spans="2:12" s="187" customFormat="1" ht="15" customHeight="1" x14ac:dyDescent="0.25">
      <c r="B24" s="206"/>
      <c r="C24" s="221"/>
      <c r="D24" s="222" t="s">
        <v>1879</v>
      </c>
      <c r="E24" s="223" t="e">
        <f>ROUND(D8*4/E23,2)&amp;" qt/lb"</f>
        <v>#DIV/0!</v>
      </c>
      <c r="F24" s="226"/>
      <c r="G24" s="225"/>
      <c r="H24" s="694"/>
      <c r="I24" s="694"/>
      <c r="J24" s="694"/>
      <c r="K24" s="695"/>
    </row>
    <row r="25" spans="2:12" s="187" customFormat="1" ht="15" customHeight="1" x14ac:dyDescent="0.25">
      <c r="B25" s="206"/>
      <c r="C25" s="221"/>
      <c r="D25" s="222"/>
      <c r="E25" s="223"/>
      <c r="F25" s="226"/>
      <c r="G25" s="225"/>
      <c r="H25" s="694"/>
      <c r="I25" s="694"/>
      <c r="J25" s="694"/>
      <c r="K25" s="695"/>
    </row>
    <row r="26" spans="2:12" ht="15" customHeight="1" thickBot="1" x14ac:dyDescent="0.3">
      <c r="B26" s="227"/>
      <c r="C26" s="228"/>
      <c r="D26" s="228"/>
      <c r="E26" s="228"/>
      <c r="F26" s="229"/>
      <c r="G26" s="229"/>
      <c r="H26" s="696"/>
      <c r="I26" s="696"/>
      <c r="J26" s="696"/>
      <c r="K26" s="697"/>
      <c r="L26" s="4"/>
    </row>
    <row r="27" spans="2:12" ht="14.25" customHeight="1" x14ac:dyDescent="0.25">
      <c r="B27" s="230"/>
      <c r="C27" s="231" t="s">
        <v>1880</v>
      </c>
      <c r="D27" s="232"/>
      <c r="E27" s="233"/>
      <c r="F27" s="234"/>
      <c r="G27" s="234"/>
      <c r="H27" s="698" t="s">
        <v>1881</v>
      </c>
      <c r="I27" s="698"/>
      <c r="J27" s="698"/>
      <c r="K27" s="699"/>
      <c r="L27" s="4"/>
    </row>
    <row r="28" spans="2:12" ht="15" customHeight="1" x14ac:dyDescent="0.25">
      <c r="B28" s="235"/>
      <c r="C28" s="236"/>
      <c r="D28" s="702" t="s">
        <v>1882</v>
      </c>
      <c r="E28" s="704" t="s">
        <v>1883</v>
      </c>
      <c r="F28" s="707" t="s">
        <v>1884</v>
      </c>
      <c r="G28" s="709" t="s">
        <v>1885</v>
      </c>
      <c r="H28" s="700"/>
      <c r="I28" s="700"/>
      <c r="J28" s="700"/>
      <c r="K28" s="701"/>
      <c r="L28" s="4"/>
    </row>
    <row r="29" spans="2:12" ht="15" customHeight="1" x14ac:dyDescent="0.25">
      <c r="B29" s="235"/>
      <c r="C29" s="237"/>
      <c r="D29" s="702"/>
      <c r="E29" s="705"/>
      <c r="F29" s="707"/>
      <c r="G29" s="709"/>
      <c r="H29" s="700"/>
      <c r="I29" s="700"/>
      <c r="J29" s="700"/>
      <c r="K29" s="701"/>
      <c r="L29" s="4"/>
    </row>
    <row r="30" spans="2:12" ht="15" customHeight="1" thickBot="1" x14ac:dyDescent="0.3">
      <c r="B30" s="235"/>
      <c r="C30" s="238"/>
      <c r="D30" s="703"/>
      <c r="E30" s="706"/>
      <c r="F30" s="708"/>
      <c r="G30" s="710"/>
      <c r="H30" s="239"/>
      <c r="I30" s="239"/>
      <c r="J30" s="239"/>
      <c r="K30" s="240"/>
      <c r="L30" s="4"/>
    </row>
    <row r="31" spans="2:12" ht="27.75" customHeight="1" thickTop="1" thickBot="1" x14ac:dyDescent="0.3">
      <c r="B31" s="235"/>
      <c r="C31" s="241"/>
      <c r="D31" s="242" t="e">
        <f>(1-D$9)*I$5*IF(K$3=1,50/61,IF(OR(K$3=0,K$3=2),1,"ERROR"))+(F$43*130+E$43*157-176.1*J36*J35*2-4160.4*H35*H36*2.5+D$43*357)/D$8</f>
        <v>#DIV/0!</v>
      </c>
      <c r="E31" s="243" t="e">
        <f>D31-((D50/1.4)+(E50/1.7))</f>
        <v>#DIV/0!</v>
      </c>
      <c r="F31" s="244" t="e">
        <f>(E14*G14+E15*G15+E16*G16+E17*G17+E18*G18+E19*G19+E20*G20+E21*G21+E22*G22)/E23+(0.1085*D8/E23+0.013)*E31/50</f>
        <v>#DIV/0!</v>
      </c>
      <c r="G31" s="245" t="s">
        <v>1886</v>
      </c>
      <c r="H31" s="700" t="s">
        <v>1887</v>
      </c>
      <c r="I31" s="711"/>
      <c r="J31" s="711"/>
      <c r="K31" s="712"/>
      <c r="L31" s="4"/>
    </row>
    <row r="32" spans="2:12" ht="15" customHeight="1" thickTop="1" thickBot="1" x14ac:dyDescent="0.3">
      <c r="B32" s="246"/>
      <c r="C32" s="247"/>
      <c r="D32" s="247"/>
      <c r="E32" s="247"/>
      <c r="F32" s="247"/>
      <c r="G32" s="248"/>
      <c r="H32" s="713"/>
      <c r="I32" s="713"/>
      <c r="J32" s="713"/>
      <c r="K32" s="714"/>
      <c r="L32" s="4"/>
    </row>
    <row r="33" spans="2:12" ht="15" customHeight="1" x14ac:dyDescent="0.25">
      <c r="B33" s="249"/>
      <c r="C33" s="250" t="s">
        <v>1888</v>
      </c>
      <c r="D33" s="251"/>
      <c r="E33" s="251"/>
      <c r="F33" s="251"/>
      <c r="G33" s="251"/>
      <c r="H33" s="251"/>
      <c r="I33" s="252"/>
      <c r="J33" s="253"/>
      <c r="K33" s="254"/>
      <c r="L33" s="4"/>
    </row>
    <row r="34" spans="2:12" ht="15" customHeight="1" x14ac:dyDescent="0.25">
      <c r="B34" s="255"/>
      <c r="C34" s="256"/>
      <c r="D34" s="257" t="s">
        <v>1889</v>
      </c>
      <c r="E34" s="257" t="s">
        <v>1890</v>
      </c>
      <c r="F34" s="257" t="s">
        <v>1891</v>
      </c>
      <c r="G34" s="258"/>
      <c r="H34" s="258" t="s">
        <v>1892</v>
      </c>
      <c r="I34" s="259"/>
      <c r="J34" s="258" t="s">
        <v>1893</v>
      </c>
      <c r="K34" s="260"/>
      <c r="L34" s="4"/>
    </row>
    <row r="35" spans="2:12" ht="15" customHeight="1" x14ac:dyDescent="0.25">
      <c r="B35" s="255"/>
      <c r="C35" s="261" t="s">
        <v>1894</v>
      </c>
      <c r="D35" s="258" t="s">
        <v>1895</v>
      </c>
      <c r="E35" s="258" t="s">
        <v>1896</v>
      </c>
      <c r="F35" s="258" t="s">
        <v>1897</v>
      </c>
      <c r="G35" s="262" t="s">
        <v>1898</v>
      </c>
      <c r="H35" s="263">
        <v>0.02</v>
      </c>
      <c r="I35" s="264" t="s">
        <v>1898</v>
      </c>
      <c r="J35" s="265">
        <v>0.88</v>
      </c>
      <c r="K35" s="260"/>
      <c r="L35" s="4"/>
    </row>
    <row r="36" spans="2:12" s="187" customFormat="1" ht="18" customHeight="1" x14ac:dyDescent="0.25">
      <c r="B36" s="266"/>
      <c r="C36" s="262" t="s">
        <v>1899</v>
      </c>
      <c r="D36" s="495">
        <v>0</v>
      </c>
      <c r="E36" s="495"/>
      <c r="F36" s="495">
        <v>1.5</v>
      </c>
      <c r="G36" s="264" t="s">
        <v>1900</v>
      </c>
      <c r="H36" s="496">
        <v>0</v>
      </c>
      <c r="I36" s="264" t="s">
        <v>1901</v>
      </c>
      <c r="J36" s="495">
        <v>0</v>
      </c>
      <c r="K36" s="267"/>
    </row>
    <row r="37" spans="2:12" ht="18" customHeight="1" x14ac:dyDescent="0.25">
      <c r="B37" s="255"/>
      <c r="C37" s="262" t="s">
        <v>1902</v>
      </c>
      <c r="D37" s="509" t="b">
        <v>1</v>
      </c>
      <c r="E37" s="509" t="b">
        <v>1</v>
      </c>
      <c r="F37" s="509" t="b">
        <v>1</v>
      </c>
      <c r="G37" s="268"/>
      <c r="H37" s="269" t="e">
        <f>"("&amp;ROUND(100*H36/E23/16,1)&amp;"% of total wt)"</f>
        <v>#DIV/0!</v>
      </c>
      <c r="I37" s="270" t="s">
        <v>1903</v>
      </c>
      <c r="J37" s="259"/>
      <c r="K37" s="260"/>
      <c r="L37" s="4"/>
    </row>
    <row r="38" spans="2:12" s="187" customFormat="1" ht="18" customHeight="1" x14ac:dyDescent="0.25">
      <c r="B38" s="266"/>
      <c r="C38" s="262" t="s">
        <v>1904</v>
      </c>
      <c r="D38" s="271" t="e">
        <f>IF(D37,D36/$D8*$E8,0)</f>
        <v>#DIV/0!</v>
      </c>
      <c r="E38" s="271" t="e">
        <f>IF(E37,E36/$D8*$E8,0)</f>
        <v>#DIV/0!</v>
      </c>
      <c r="F38" s="271" t="e">
        <f>IF(F37,F36/$D8*$E8,0)</f>
        <v>#DIV/0!</v>
      </c>
      <c r="G38" s="268"/>
      <c r="H38" s="272" t="s">
        <v>1905</v>
      </c>
      <c r="I38" s="273"/>
      <c r="J38" s="274"/>
      <c r="K38" s="275"/>
    </row>
    <row r="39" spans="2:12" s="187" customFormat="1" ht="15" customHeight="1" thickBot="1" x14ac:dyDescent="0.3">
      <c r="B39" s="266"/>
      <c r="C39" s="276" t="s">
        <v>1906</v>
      </c>
      <c r="D39" s="268"/>
      <c r="E39" s="268"/>
      <c r="F39" s="268"/>
      <c r="G39" s="268"/>
      <c r="H39" s="277"/>
      <c r="I39" s="273"/>
      <c r="J39" s="278"/>
      <c r="K39" s="279"/>
    </row>
    <row r="40" spans="2:12" s="187" customFormat="1" ht="15" customHeight="1" x14ac:dyDescent="0.25">
      <c r="B40" s="280"/>
      <c r="C40" s="250" t="s">
        <v>1907</v>
      </c>
      <c r="D40" s="281"/>
      <c r="E40" s="281"/>
      <c r="F40" s="281"/>
      <c r="G40" s="715" t="s">
        <v>1908</v>
      </c>
      <c r="H40" s="715"/>
      <c r="I40" s="715"/>
      <c r="J40" s="715"/>
      <c r="K40" s="716"/>
    </row>
    <row r="41" spans="2:12" s="187" customFormat="1" ht="15" customHeight="1" x14ac:dyDescent="0.25">
      <c r="B41" s="266"/>
      <c r="C41" s="262"/>
      <c r="D41" s="257" t="s">
        <v>1909</v>
      </c>
      <c r="E41" s="257" t="s">
        <v>1910</v>
      </c>
      <c r="F41" s="282" t="s">
        <v>1911</v>
      </c>
      <c r="G41" s="717"/>
      <c r="H41" s="717"/>
      <c r="I41" s="717"/>
      <c r="J41" s="717"/>
      <c r="K41" s="718"/>
    </row>
    <row r="42" spans="2:12" s="187" customFormat="1" ht="15" customHeight="1" x14ac:dyDescent="0.25">
      <c r="B42" s="255"/>
      <c r="C42" s="261" t="s">
        <v>1894</v>
      </c>
      <c r="D42" s="258" t="s">
        <v>1912</v>
      </c>
      <c r="E42" s="258" t="s">
        <v>1913</v>
      </c>
      <c r="F42" s="283" t="s">
        <v>1914</v>
      </c>
      <c r="G42" s="717"/>
      <c r="H42" s="717"/>
      <c r="I42" s="717"/>
      <c r="J42" s="717"/>
      <c r="K42" s="718"/>
    </row>
    <row r="43" spans="2:12" s="187" customFormat="1" ht="18" customHeight="1" x14ac:dyDescent="0.25">
      <c r="B43" s="266"/>
      <c r="C43" s="262" t="s">
        <v>1899</v>
      </c>
      <c r="D43" s="495">
        <v>2</v>
      </c>
      <c r="E43" s="495">
        <v>2</v>
      </c>
      <c r="F43" s="495"/>
      <c r="G43" s="284"/>
      <c r="H43" s="284"/>
      <c r="I43" s="284"/>
      <c r="J43" s="268"/>
      <c r="K43" s="267"/>
    </row>
    <row r="44" spans="2:12" s="187" customFormat="1" ht="18" customHeight="1" x14ac:dyDescent="0.25">
      <c r="B44" s="255"/>
      <c r="C44" s="262" t="s">
        <v>1902</v>
      </c>
      <c r="D44" s="509" t="b">
        <v>1</v>
      </c>
      <c r="E44" s="509" t="b">
        <v>1</v>
      </c>
      <c r="F44" s="509" t="b">
        <v>1</v>
      </c>
      <c r="G44" s="284"/>
      <c r="H44" s="284"/>
      <c r="I44" s="284"/>
      <c r="J44" s="268"/>
      <c r="K44" s="267"/>
    </row>
    <row r="45" spans="2:12" s="187" customFormat="1" ht="18" customHeight="1" x14ac:dyDescent="0.25">
      <c r="B45" s="266"/>
      <c r="C45" s="262" t="s">
        <v>1904</v>
      </c>
      <c r="D45" s="271" t="e">
        <f>IF(D44,D43/$D8*$E8,0)</f>
        <v>#DIV/0!</v>
      </c>
      <c r="E45" s="271" t="e">
        <f>IF(E44,E43/$D8*$E8,0)</f>
        <v>#DIV/0!</v>
      </c>
      <c r="F45" s="271" t="e">
        <f>IF(F44,F43/$D8*$E8,0)</f>
        <v>#DIV/0!</v>
      </c>
      <c r="G45" s="268"/>
      <c r="H45" s="258"/>
      <c r="I45" s="258"/>
      <c r="J45" s="268"/>
      <c r="K45" s="267"/>
    </row>
    <row r="46" spans="2:12" ht="15" customHeight="1" thickBot="1" x14ac:dyDescent="0.3">
      <c r="B46" s="266"/>
      <c r="C46" s="276" t="s">
        <v>1906</v>
      </c>
      <c r="D46" s="285"/>
      <c r="E46" s="285"/>
      <c r="F46" s="286"/>
      <c r="G46" s="287"/>
      <c r="H46" s="285"/>
      <c r="I46" s="286"/>
      <c r="J46" s="286"/>
      <c r="K46" s="288"/>
      <c r="L46" s="4"/>
    </row>
    <row r="47" spans="2:12" ht="15" customHeight="1" x14ac:dyDescent="0.25">
      <c r="B47" s="174"/>
      <c r="C47" s="175" t="s">
        <v>1915</v>
      </c>
      <c r="D47" s="176"/>
      <c r="E47" s="176"/>
      <c r="F47" s="176"/>
      <c r="G47" s="176"/>
      <c r="H47" s="176"/>
      <c r="I47" s="176"/>
      <c r="J47" s="176"/>
      <c r="K47" s="289"/>
      <c r="L47" s="4"/>
    </row>
    <row r="48" spans="2:12" ht="15" customHeight="1" x14ac:dyDescent="0.25">
      <c r="B48" s="178"/>
      <c r="C48" s="179"/>
      <c r="D48" s="180" t="s">
        <v>1833</v>
      </c>
      <c r="E48" s="180" t="s">
        <v>1834</v>
      </c>
      <c r="F48" s="180" t="s">
        <v>1835</v>
      </c>
      <c r="G48" s="180" t="s">
        <v>1836</v>
      </c>
      <c r="H48" s="180" t="s">
        <v>1837</v>
      </c>
      <c r="I48" s="719" t="s">
        <v>1916</v>
      </c>
      <c r="J48" s="719"/>
      <c r="K48" s="290"/>
      <c r="L48" s="4"/>
    </row>
    <row r="49" spans="2:14" s="291" customFormat="1" ht="15" customHeight="1" x14ac:dyDescent="0.35">
      <c r="B49" s="292"/>
      <c r="C49" s="293"/>
      <c r="D49" s="182" t="s">
        <v>1840</v>
      </c>
      <c r="E49" s="182" t="s">
        <v>1841</v>
      </c>
      <c r="F49" s="182" t="s">
        <v>1842</v>
      </c>
      <c r="G49" s="182" t="s">
        <v>1843</v>
      </c>
      <c r="H49" s="182" t="s">
        <v>1844</v>
      </c>
      <c r="I49" s="720" t="s">
        <v>1917</v>
      </c>
      <c r="J49" s="720"/>
      <c r="K49" s="294"/>
      <c r="L49" s="295"/>
      <c r="M49" s="187"/>
    </row>
    <row r="50" spans="2:14" s="187" customFormat="1" ht="18" customHeight="1" thickBot="1" x14ac:dyDescent="0.3">
      <c r="B50" s="183"/>
      <c r="C50" s="195" t="s">
        <v>1918</v>
      </c>
      <c r="D50" s="296" t="e">
        <f>(1-D$9)*D$5+(F$43*105.89+D$36*60+E$36*72+D$43*143)/D$8</f>
        <v>#DIV/0!</v>
      </c>
      <c r="E50" s="296" t="e">
        <f>(1-D$9)*E$5+F$36*24.6/D$8</f>
        <v>#DIV/0!</v>
      </c>
      <c r="F50" s="296" t="e">
        <f>(1-D$9)*F$5+E$43*72.3/D$8</f>
        <v>#DIV/0!</v>
      </c>
      <c r="G50" s="296" t="e">
        <f>(1-D$9)*G$5+E$36*127.47/D$8</f>
        <v>#DIV/0!</v>
      </c>
      <c r="H50" s="296" t="e">
        <f>(1-D$9)*H$5+(D$36*147.4+F$36*103)/D$8</f>
        <v>#DIV/0!</v>
      </c>
      <c r="I50" s="721" t="e">
        <f>G50/H50</f>
        <v>#DIV/0!</v>
      </c>
      <c r="J50" s="722"/>
      <c r="K50" s="186"/>
    </row>
    <row r="51" spans="2:14" s="187" customFormat="1" ht="18" customHeight="1" thickBot="1" x14ac:dyDescent="0.3">
      <c r="B51" s="183"/>
      <c r="C51" s="195" t="s">
        <v>1919</v>
      </c>
      <c r="D51" s="297" t="e">
        <f>IF(E8=0,D50,(1-(((D$9*D$8)+(E$9*E$8))/(D$8+E$8)))*D$5+((F$43+F$45)*105.89+(D$36+D$38)*60+(E$36+E$38)*72+(D$43+D$45)*143)/(D$8+E$8))</f>
        <v>#DIV/0!</v>
      </c>
      <c r="E51" s="297" t="e">
        <f>IF(E8=0,E50,(1-(((D$9*D$8)+(E$9*E$8))/(D$8+E$8)))*E$5+(F$36+F$38)*24.6/(D$8+E$8))</f>
        <v>#DIV/0!</v>
      </c>
      <c r="F51" s="297" t="e">
        <f>IF(E8=0,F50,(1-(((D$9*D$8)+(E$9*E$8))/(D$8+E$8)))*F$5+(E$43+E$45)*72.3/(D$8+E$8))</f>
        <v>#DIV/0!</v>
      </c>
      <c r="G51" s="297" t="e">
        <f>IF(E8=0,G50,(1-(((D$9*D$8)+(E$9*E$8))/(D$8+E$8)))*G$5+(E$36+E$38)*127.47/(D$8+E$8))</f>
        <v>#DIV/0!</v>
      </c>
      <c r="H51" s="297" t="e">
        <f>IF(E8=0,H50,(1-(((D$9*D$8)+(E$9*E$8))/(D$8+E$8)))*H$5+((D$36+D$38)*147.4+(F$36+F$38)*103)/(D$8+E$8))</f>
        <v>#DIV/0!</v>
      </c>
      <c r="I51" s="691" t="e">
        <f>G51/H51</f>
        <v>#DIV/0!</v>
      </c>
      <c r="J51" s="692"/>
      <c r="K51" s="186"/>
      <c r="M51" s="4"/>
    </row>
    <row r="52" spans="2:14" ht="18" customHeight="1" x14ac:dyDescent="0.25">
      <c r="B52" s="178"/>
      <c r="C52" s="298" t="s">
        <v>1920</v>
      </c>
      <c r="D52" s="299" t="s">
        <v>1921</v>
      </c>
      <c r="E52" s="300" t="s">
        <v>1922</v>
      </c>
      <c r="F52" s="299" t="s">
        <v>1923</v>
      </c>
      <c r="G52" s="299" t="s">
        <v>1924</v>
      </c>
      <c r="H52" s="301" t="s">
        <v>1925</v>
      </c>
      <c r="I52" s="725" t="e">
        <f>IF(I51&lt;0.77,"Below .77, May enhance bitterness", IF(I51&lt;1.3,".77 to 1.3 = Balanced","Above 1.3 may enhance maltiness"))</f>
        <v>#DIV/0!</v>
      </c>
      <c r="J52" s="726"/>
      <c r="K52" s="290"/>
      <c r="L52" s="4"/>
    </row>
    <row r="53" spans="2:14" ht="15" customHeight="1" x14ac:dyDescent="0.25">
      <c r="B53" s="178"/>
      <c r="C53" s="727" t="s">
        <v>1926</v>
      </c>
      <c r="D53" s="727"/>
      <c r="E53" s="727"/>
      <c r="F53" s="727"/>
      <c r="G53" s="727"/>
      <c r="H53" s="727"/>
      <c r="I53" s="727"/>
      <c r="J53" s="727"/>
      <c r="K53" s="728"/>
      <c r="L53" s="4"/>
      <c r="M53" s="187"/>
      <c r="N53" s="295"/>
    </row>
    <row r="54" spans="2:14" ht="15" customHeight="1" thickBot="1" x14ac:dyDescent="0.3">
      <c r="B54" s="302"/>
      <c r="C54" s="729"/>
      <c r="D54" s="729"/>
      <c r="E54" s="729"/>
      <c r="F54" s="729"/>
      <c r="G54" s="729"/>
      <c r="H54" s="729"/>
      <c r="I54" s="730"/>
      <c r="J54" s="730"/>
      <c r="K54" s="731"/>
    </row>
    <row r="55" spans="2:14" ht="15" customHeight="1" x14ac:dyDescent="0.25">
      <c r="B55" s="303"/>
      <c r="C55" s="304"/>
      <c r="D55" s="304"/>
      <c r="E55" s="304"/>
      <c r="F55" s="304"/>
      <c r="G55" s="304"/>
      <c r="H55" s="304"/>
      <c r="I55" s="305"/>
      <c r="J55" s="305"/>
      <c r="K55" s="305"/>
    </row>
    <row r="56" spans="2:14" s="20" customFormat="1" ht="23.25" customHeight="1" x14ac:dyDescent="0.25">
      <c r="B56" s="306"/>
      <c r="C56" s="732" t="s">
        <v>1927</v>
      </c>
      <c r="D56" s="732"/>
      <c r="E56" s="732"/>
      <c r="F56" s="732"/>
      <c r="G56" s="732"/>
      <c r="H56" s="732"/>
      <c r="I56" s="732"/>
      <c r="J56" s="732"/>
      <c r="K56" s="732"/>
    </row>
    <row r="57" spans="2:14" ht="15" customHeight="1" x14ac:dyDescent="0.25">
      <c r="C57" s="307"/>
      <c r="D57" s="307"/>
      <c r="E57" s="307"/>
      <c r="F57" s="307"/>
      <c r="G57" s="307"/>
      <c r="H57" s="307"/>
      <c r="I57" s="4"/>
      <c r="J57" s="4"/>
      <c r="K57" s="4"/>
    </row>
    <row r="58" spans="2:14" ht="15" customHeight="1" x14ac:dyDescent="0.25">
      <c r="C58" s="307"/>
      <c r="D58" s="308" t="s">
        <v>1928</v>
      </c>
      <c r="E58" s="309"/>
      <c r="F58" s="309"/>
      <c r="G58" s="309"/>
      <c r="H58" s="309"/>
      <c r="I58" s="309"/>
      <c r="J58" s="309"/>
      <c r="K58" s="4"/>
    </row>
    <row r="59" spans="2:14" ht="15" customHeight="1" x14ac:dyDescent="0.25">
      <c r="C59" s="307"/>
      <c r="D59" s="309"/>
      <c r="E59" s="309"/>
      <c r="F59" s="309"/>
      <c r="G59" s="309"/>
      <c r="H59" s="309"/>
      <c r="I59" s="309"/>
      <c r="J59" s="309"/>
      <c r="K59" s="4"/>
    </row>
    <row r="60" spans="2:14" ht="15" customHeight="1" x14ac:dyDescent="0.25">
      <c r="C60" s="307"/>
      <c r="D60" s="309"/>
      <c r="E60" s="309"/>
      <c r="F60" s="309"/>
      <c r="G60" s="309"/>
      <c r="H60" s="309"/>
      <c r="I60" s="309"/>
      <c r="J60" s="309"/>
      <c r="K60" s="4"/>
    </row>
    <row r="61" spans="2:14" ht="15" customHeight="1" x14ac:dyDescent="0.25">
      <c r="C61" s="307"/>
      <c r="D61" s="309"/>
      <c r="E61" s="309"/>
      <c r="F61" s="307"/>
      <c r="G61" s="307"/>
      <c r="H61" s="307"/>
      <c r="I61" s="4"/>
      <c r="J61" s="4"/>
      <c r="K61" s="4"/>
    </row>
    <row r="62" spans="2:14" ht="15" customHeight="1" x14ac:dyDescent="0.25">
      <c r="C62" s="308" t="s">
        <v>1929</v>
      </c>
      <c r="D62" s="309"/>
      <c r="E62" s="309"/>
      <c r="F62" s="307"/>
      <c r="G62" s="307"/>
      <c r="H62" s="307"/>
      <c r="I62" s="4"/>
      <c r="J62" s="4"/>
      <c r="K62" s="4"/>
    </row>
    <row r="63" spans="2:14" ht="41.25" customHeight="1" x14ac:dyDescent="0.25">
      <c r="C63" s="307"/>
      <c r="D63" s="309"/>
      <c r="E63" s="309"/>
      <c r="F63" s="307"/>
      <c r="G63" s="307"/>
      <c r="H63" s="307"/>
      <c r="I63" s="4"/>
      <c r="J63" s="4"/>
      <c r="K63" s="4"/>
    </row>
    <row r="64" spans="2:14" ht="21.75" customHeight="1" x14ac:dyDescent="0.3">
      <c r="C64" s="733" t="s">
        <v>1930</v>
      </c>
      <c r="D64" s="733"/>
      <c r="E64" s="733"/>
      <c r="F64" s="733"/>
      <c r="G64" s="733"/>
      <c r="H64" s="733"/>
      <c r="I64" s="733"/>
      <c r="J64" s="733"/>
    </row>
    <row r="65" spans="3:12" x14ac:dyDescent="0.25">
      <c r="C65" s="734" t="s">
        <v>1931</v>
      </c>
      <c r="D65" s="734"/>
      <c r="E65" s="734"/>
      <c r="F65" s="734"/>
      <c r="G65" s="734"/>
      <c r="H65" s="734"/>
      <c r="I65" s="734"/>
      <c r="J65" s="734"/>
      <c r="K65" s="734"/>
    </row>
    <row r="66" spans="3:12" ht="12.75" customHeight="1" x14ac:dyDescent="0.25">
      <c r="C66" s="723" t="s">
        <v>1932</v>
      </c>
      <c r="D66" s="723"/>
      <c r="E66" s="723"/>
      <c r="F66" s="723"/>
      <c r="G66" s="723"/>
      <c r="H66" s="723"/>
      <c r="I66" s="723"/>
      <c r="J66" s="723"/>
      <c r="K66" s="723"/>
    </row>
    <row r="67" spans="3:12" s="312" customFormat="1" ht="12" customHeight="1" x14ac:dyDescent="0.25">
      <c r="C67" s="28" t="s">
        <v>1933</v>
      </c>
      <c r="D67" s="310"/>
      <c r="E67" s="310"/>
      <c r="F67" s="310"/>
      <c r="G67" s="311"/>
      <c r="H67" s="311"/>
      <c r="I67" s="311"/>
      <c r="J67" s="311"/>
      <c r="K67" s="311"/>
      <c r="L67" s="311"/>
    </row>
    <row r="68" spans="3:12" ht="12" customHeight="1" x14ac:dyDescent="0.25">
      <c r="C68" s="724" t="s">
        <v>1934</v>
      </c>
      <c r="D68" s="724"/>
      <c r="E68" s="724"/>
      <c r="F68" s="724"/>
      <c r="G68" s="724"/>
      <c r="H68" s="724"/>
      <c r="I68" s="724"/>
      <c r="J68" s="724"/>
    </row>
    <row r="69" spans="3:12" ht="12" customHeight="1" x14ac:dyDescent="0.25">
      <c r="C69" s="313" t="s">
        <v>1935</v>
      </c>
      <c r="D69" s="314"/>
      <c r="E69" s="314"/>
      <c r="F69" s="314"/>
      <c r="G69" s="314"/>
      <c r="H69" s="314"/>
      <c r="I69" s="314"/>
      <c r="J69" s="314"/>
    </row>
    <row r="70" spans="3:12" ht="12" customHeight="1" x14ac:dyDescent="0.25">
      <c r="C70" s="724" t="s">
        <v>1936</v>
      </c>
      <c r="D70" s="724"/>
      <c r="E70" s="724"/>
      <c r="F70" s="724"/>
      <c r="G70" s="724"/>
      <c r="H70" s="724"/>
      <c r="I70" s="724"/>
      <c r="J70" s="724"/>
    </row>
    <row r="72" spans="3:12" x14ac:dyDescent="0.25">
      <c r="C72" s="315" t="s">
        <v>1937</v>
      </c>
    </row>
    <row r="73" spans="3:12" x14ac:dyDescent="0.25">
      <c r="C73" s="28" t="s">
        <v>1938</v>
      </c>
    </row>
    <row r="74" spans="3:12" x14ac:dyDescent="0.25">
      <c r="C74" s="315" t="s">
        <v>1939</v>
      </c>
    </row>
    <row r="77" spans="3:12" ht="12.75" customHeight="1" x14ac:dyDescent="0.25"/>
  </sheetData>
  <sheetProtection sheet="1" objects="1" scenarios="1"/>
  <mergeCells count="27">
    <mergeCell ref="C66:K66"/>
    <mergeCell ref="C68:J68"/>
    <mergeCell ref="C70:J70"/>
    <mergeCell ref="I52:J52"/>
    <mergeCell ref="C53:K53"/>
    <mergeCell ref="C54:K54"/>
    <mergeCell ref="C56:K56"/>
    <mergeCell ref="C64:J64"/>
    <mergeCell ref="C65:K65"/>
    <mergeCell ref="I51:J51"/>
    <mergeCell ref="H23:K26"/>
    <mergeCell ref="H27:K29"/>
    <mergeCell ref="D28:D30"/>
    <mergeCell ref="E28:E30"/>
    <mergeCell ref="F28:F30"/>
    <mergeCell ref="G28:G30"/>
    <mergeCell ref="H31:K32"/>
    <mergeCell ref="G40:K42"/>
    <mergeCell ref="I48:J48"/>
    <mergeCell ref="I49:J49"/>
    <mergeCell ref="I50:J50"/>
    <mergeCell ref="C14:C22"/>
    <mergeCell ref="C1:K1"/>
    <mergeCell ref="I3:J3"/>
    <mergeCell ref="K3:K4"/>
    <mergeCell ref="I4:J4"/>
    <mergeCell ref="I7:K10"/>
  </mergeCells>
  <conditionalFormatting sqref="D52">
    <cfRule type="expression" dxfId="29" priority="1" stopIfTrue="1">
      <formula>OR(D$51&lt;49.5,D$51&gt;150.5)</formula>
    </cfRule>
  </conditionalFormatting>
  <conditionalFormatting sqref="E52">
    <cfRule type="expression" dxfId="28" priority="2" stopIfTrue="1">
      <formula>OR(E$51&lt;9.5,E$51&gt;30.5)</formula>
    </cfRule>
  </conditionalFormatting>
  <conditionalFormatting sqref="F52">
    <cfRule type="expression" dxfId="27" priority="3" stopIfTrue="1">
      <formula>OR(F$51&lt;0,F$51&gt;150.5)</formula>
    </cfRule>
  </conditionalFormatting>
  <conditionalFormatting sqref="G52">
    <cfRule type="expression" dxfId="26" priority="4" stopIfTrue="1">
      <formula>OR(G$51&lt;0,G$51&gt;250.5)</formula>
    </cfRule>
  </conditionalFormatting>
  <conditionalFormatting sqref="H52">
    <cfRule type="expression" dxfId="25" priority="5" stopIfTrue="1">
      <formula>OR(H$51&lt;49.5,H$51&gt;350.5)</formula>
    </cfRule>
  </conditionalFormatting>
  <conditionalFormatting sqref="F14:F22">
    <cfRule type="expression" dxfId="24" priority="6" stopIfTrue="1">
      <formula>AND($D14=10)</formula>
    </cfRule>
  </conditionalFormatting>
  <conditionalFormatting sqref="G31">
    <cfRule type="expression" dxfId="23" priority="7" stopIfTrue="1">
      <formula>OR(F$31&lt;5.4,F$31&gt;5.6)</formula>
    </cfRule>
  </conditionalFormatting>
  <hyperlinks>
    <hyperlink ref="C72" r:id="rId1" xr:uid="{D3DFB26E-04CE-4F86-93D6-4CB8E41AA4ED}"/>
    <hyperlink ref="C66:J66" r:id="rId2" display="Calculations for Alkalinity, RA, and pH were based on Kai Troester's paper: &quot;The effect of brewing water and grist composition on the pH of the mash&quot;  2009" xr:uid="{2EEB58DB-3DA7-4C95-A0D7-F557F890517A}"/>
    <hyperlink ref="C68:J68" r:id="rId3" display="Recommended mineral ranges are from John Palmer's &quot;How to Brew&quot;" xr:uid="{468158AC-4F48-4B8C-B98B-3D560172389C}"/>
    <hyperlink ref="C70:J70" r:id="rId4" display="Recommended Cl to SO4 ratio ranges are from John Palmer's RA spreadsheet" xr:uid="{71A96227-8BB7-4C35-8F3F-DC7AA97B0AC9}"/>
    <hyperlink ref="C74" r:id="rId5" xr:uid="{76E2EE8B-E695-49D9-8FD7-64302852B950}"/>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042" r:id="rId9">
          <objectPr defaultSize="0" autoPict="0" r:id="rId10">
            <anchor moveWithCells="1">
              <from>
                <xdr:col>2</xdr:col>
                <xdr:colOff>1798320</xdr:colOff>
                <xdr:row>78</xdr:row>
                <xdr:rowOff>99060</xdr:rowOff>
              </from>
              <to>
                <xdr:col>3</xdr:col>
                <xdr:colOff>518160</xdr:colOff>
                <xdr:row>78</xdr:row>
                <xdr:rowOff>106680</xdr:rowOff>
              </to>
            </anchor>
          </objectPr>
        </oleObject>
      </mc:Choice>
      <mc:Fallback>
        <oleObject progId="Photoshop.Image.9" shapeId="1042" r:id="rId9"/>
      </mc:Fallback>
    </mc:AlternateContent>
    <mc:AlternateContent xmlns:mc="http://schemas.openxmlformats.org/markup-compatibility/2006">
      <mc:Choice Requires="x14">
        <oleObject progId="Photoshop.Image.9" shapeId="1043" r:id="rId11">
          <objectPr defaultSize="0" autoPict="0" r:id="rId12">
            <anchor moveWithCells="1">
              <from>
                <xdr:col>2</xdr:col>
                <xdr:colOff>342900</xdr:colOff>
                <xdr:row>56</xdr:row>
                <xdr:rowOff>175260</xdr:rowOff>
              </from>
              <to>
                <xdr:col>2</xdr:col>
                <xdr:colOff>1584960</xdr:colOff>
                <xdr:row>60</xdr:row>
                <xdr:rowOff>38100</xdr:rowOff>
              </to>
            </anchor>
          </objectPr>
        </oleObject>
      </mc:Choice>
      <mc:Fallback>
        <oleObject progId="Photoshop.Image.9" shapeId="1043" r:id="rId11"/>
      </mc:Fallback>
    </mc:AlternateContent>
  </oleObjects>
  <mc:AlternateContent xmlns:mc="http://schemas.openxmlformats.org/markup-compatibility/2006">
    <mc:Choice Requires="x14">
      <controls>
        <mc:AlternateContent xmlns:mc="http://schemas.openxmlformats.org/markup-compatibility/2006">
          <mc:Choice Requires="x14">
            <control shapeId="1032" r:id="rId13" name="Drop Down 8">
              <controlPr defaultSize="0" autoLine="0" autoPict="0">
                <anchor moveWithCells="1">
                  <from>
                    <xdr:col>3</xdr:col>
                    <xdr:colOff>7620</xdr:colOff>
                    <xdr:row>13</xdr:row>
                    <xdr:rowOff>7620</xdr:rowOff>
                  </from>
                  <to>
                    <xdr:col>3</xdr:col>
                    <xdr:colOff>975360</xdr:colOff>
                    <xdr:row>13</xdr:row>
                    <xdr:rowOff>213360</xdr:rowOff>
                  </to>
                </anchor>
              </controlPr>
            </control>
          </mc:Choice>
        </mc:AlternateContent>
        <mc:AlternateContent xmlns:mc="http://schemas.openxmlformats.org/markup-compatibility/2006">
          <mc:Choice Requires="x14">
            <control shapeId="1025" r:id="rId14" name="Option Button 1">
              <controlPr defaultSize="0" autoFill="0" autoLine="0" autoPict="0">
                <anchor moveWithCells="1">
                  <from>
                    <xdr:col>7</xdr:col>
                    <xdr:colOff>960120</xdr:colOff>
                    <xdr:row>2</xdr:row>
                    <xdr:rowOff>0</xdr:rowOff>
                  </from>
                  <to>
                    <xdr:col>8</xdr:col>
                    <xdr:colOff>297180</xdr:colOff>
                    <xdr:row>3</xdr:row>
                    <xdr:rowOff>30480</xdr:rowOff>
                  </to>
                </anchor>
              </controlPr>
            </control>
          </mc:Choice>
        </mc:AlternateContent>
        <mc:AlternateContent xmlns:mc="http://schemas.openxmlformats.org/markup-compatibility/2006">
          <mc:Choice Requires="x14">
            <control shapeId="1026" r:id="rId15"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027" r:id="rId16" name="Check Box 3">
              <controlPr defaultSize="0" autoFill="0" autoLine="0" autoPict="0">
                <anchor moveWithCells="1">
                  <from>
                    <xdr:col>5</xdr:col>
                    <xdr:colOff>381000</xdr:colOff>
                    <xdr:row>43</xdr:row>
                    <xdr:rowOff>0</xdr:rowOff>
                  </from>
                  <to>
                    <xdr:col>5</xdr:col>
                    <xdr:colOff>693420</xdr:colOff>
                    <xdr:row>44</xdr:row>
                    <xdr:rowOff>0</xdr:rowOff>
                  </to>
                </anchor>
              </controlPr>
            </control>
          </mc:Choice>
        </mc:AlternateContent>
        <mc:AlternateContent xmlns:mc="http://schemas.openxmlformats.org/markup-compatibility/2006">
          <mc:Choice Requires="x14">
            <control shapeId="1028" r:id="rId17" name="Check Box 4">
              <controlPr defaultSize="0" autoFill="0" autoLine="0" autoPict="0">
                <anchor moveWithCells="1">
                  <from>
                    <xdr:col>3</xdr:col>
                    <xdr:colOff>381000</xdr:colOff>
                    <xdr:row>36</xdr:row>
                    <xdr:rowOff>0</xdr:rowOff>
                  </from>
                  <to>
                    <xdr:col>3</xdr:col>
                    <xdr:colOff>693420</xdr:colOff>
                    <xdr:row>36</xdr:row>
                    <xdr:rowOff>220980</xdr:rowOff>
                  </to>
                </anchor>
              </controlPr>
            </control>
          </mc:Choice>
        </mc:AlternateContent>
        <mc:AlternateContent xmlns:mc="http://schemas.openxmlformats.org/markup-compatibility/2006">
          <mc:Choice Requires="x14">
            <control shapeId="1029" r:id="rId18" name="Check Box 5">
              <controlPr defaultSize="0" autoFill="0" autoLine="0" autoPict="0">
                <anchor moveWithCells="1">
                  <from>
                    <xdr:col>4</xdr:col>
                    <xdr:colOff>381000</xdr:colOff>
                    <xdr:row>36</xdr:row>
                    <xdr:rowOff>0</xdr:rowOff>
                  </from>
                  <to>
                    <xdr:col>4</xdr:col>
                    <xdr:colOff>693420</xdr:colOff>
                    <xdr:row>36</xdr:row>
                    <xdr:rowOff>220980</xdr:rowOff>
                  </to>
                </anchor>
              </controlPr>
            </control>
          </mc:Choice>
        </mc:AlternateContent>
        <mc:AlternateContent xmlns:mc="http://schemas.openxmlformats.org/markup-compatibility/2006">
          <mc:Choice Requires="x14">
            <control shapeId="1030" r:id="rId19" name="Check Box 6">
              <controlPr defaultSize="0" autoFill="0" autoLine="0" autoPict="0">
                <anchor moveWithCells="1">
                  <from>
                    <xdr:col>5</xdr:col>
                    <xdr:colOff>381000</xdr:colOff>
                    <xdr:row>36</xdr:row>
                    <xdr:rowOff>0</xdr:rowOff>
                  </from>
                  <to>
                    <xdr:col>5</xdr:col>
                    <xdr:colOff>693420</xdr:colOff>
                    <xdr:row>37</xdr:row>
                    <xdr:rowOff>0</xdr:rowOff>
                  </to>
                </anchor>
              </controlPr>
            </control>
          </mc:Choice>
        </mc:AlternateContent>
        <mc:AlternateContent xmlns:mc="http://schemas.openxmlformats.org/markup-compatibility/2006">
          <mc:Choice Requires="x14">
            <control shapeId="1031" r:id="rId20" name="Check Box 7">
              <controlPr defaultSize="0" autoFill="0" autoLine="0" autoPict="0">
                <anchor moveWithCells="1">
                  <from>
                    <xdr:col>4</xdr:col>
                    <xdr:colOff>381000</xdr:colOff>
                    <xdr:row>43</xdr:row>
                    <xdr:rowOff>0</xdr:rowOff>
                  </from>
                  <to>
                    <xdr:col>4</xdr:col>
                    <xdr:colOff>693420</xdr:colOff>
                    <xdr:row>44</xdr:row>
                    <xdr:rowOff>0</xdr:rowOff>
                  </to>
                </anchor>
              </controlPr>
            </control>
          </mc:Choice>
        </mc:AlternateContent>
        <mc:AlternateContent xmlns:mc="http://schemas.openxmlformats.org/markup-compatibility/2006">
          <mc:Choice Requires="x14">
            <control shapeId="1033" r:id="rId21" name="Drop Down 9">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034" r:id="rId22" name="Drop Down 10">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035" r:id="rId23" name="Drop Down 11">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036" r:id="rId24" name="Drop Down 12">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037" r:id="rId25" name="Drop Down 13">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038" r:id="rId26" name="Drop Down 14">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039" r:id="rId27" name="Drop Down 15">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040" r:id="rId28" name="Check Box 16">
              <controlPr defaultSize="0" autoFill="0" autoLine="0" autoPict="0">
                <anchor moveWithCells="1">
                  <from>
                    <xdr:col>3</xdr:col>
                    <xdr:colOff>381000</xdr:colOff>
                    <xdr:row>43</xdr:row>
                    <xdr:rowOff>0</xdr:rowOff>
                  </from>
                  <to>
                    <xdr:col>3</xdr:col>
                    <xdr:colOff>693420</xdr:colOff>
                    <xdr:row>44</xdr:row>
                    <xdr:rowOff>0</xdr:rowOff>
                  </to>
                </anchor>
              </controlPr>
            </control>
          </mc:Choice>
        </mc:AlternateContent>
        <mc:AlternateContent xmlns:mc="http://schemas.openxmlformats.org/markup-compatibility/2006">
          <mc:Choice Requires="x14">
            <control shapeId="1041" r:id="rId29" name="Drop Down 17">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96E43-ED72-43A0-8F24-79B4E0B233BC}">
  <sheetPr codeName="Sheet7">
    <pageSetUpPr fitToPage="1"/>
  </sheetPr>
  <dimension ref="A1:N75"/>
  <sheetViews>
    <sheetView showGridLines="0" zoomScale="85" workbookViewId="0">
      <selection activeCell="D12" sqref="D12"/>
    </sheetView>
  </sheetViews>
  <sheetFormatPr defaultRowHeight="13.2" x14ac:dyDescent="0.25"/>
  <cols>
    <col min="1" max="2" width="1.6640625" style="316" customWidth="1"/>
    <col min="3" max="3" width="29.6640625" style="317" customWidth="1"/>
    <col min="4" max="9" width="14.6640625" style="316" customWidth="1"/>
    <col min="10" max="10" width="14.88671875" style="316" customWidth="1"/>
    <col min="11" max="11" width="5.44140625" style="316" customWidth="1"/>
    <col min="12" max="12" width="9.5546875" style="316" customWidth="1"/>
    <col min="13" max="13" width="8.88671875" style="316"/>
    <col min="14" max="14" width="13.44140625" style="316" bestFit="1" customWidth="1"/>
    <col min="15" max="16384" width="8.88671875" style="316"/>
  </cols>
  <sheetData>
    <row r="1" spans="2:12" ht="21.6" thickBot="1" x14ac:dyDescent="0.45">
      <c r="C1" s="736" t="s">
        <v>1941</v>
      </c>
      <c r="D1" s="736"/>
      <c r="E1" s="736"/>
      <c r="F1" s="736"/>
      <c r="G1" s="736"/>
      <c r="H1" s="736"/>
      <c r="I1" s="736"/>
      <c r="J1" s="736"/>
      <c r="K1" s="736"/>
      <c r="L1" s="317"/>
    </row>
    <row r="2" spans="2:12" ht="15" customHeight="1" x14ac:dyDescent="0.25">
      <c r="B2" s="318"/>
      <c r="C2" s="319" t="s">
        <v>1832</v>
      </c>
      <c r="D2" s="320"/>
      <c r="E2" s="320"/>
      <c r="F2" s="320"/>
      <c r="G2" s="320"/>
      <c r="H2" s="320"/>
      <c r="I2" s="320"/>
      <c r="J2" s="320"/>
      <c r="K2" s="321"/>
      <c r="L2" s="317"/>
    </row>
    <row r="3" spans="2:12" ht="15" customHeight="1" x14ac:dyDescent="0.35">
      <c r="B3" s="322"/>
      <c r="C3" s="323"/>
      <c r="D3" s="324" t="s">
        <v>1833</v>
      </c>
      <c r="E3" s="324" t="s">
        <v>1834</v>
      </c>
      <c r="F3" s="324" t="s">
        <v>1835</v>
      </c>
      <c r="G3" s="324" t="s">
        <v>1836</v>
      </c>
      <c r="H3" s="324" t="s">
        <v>1837</v>
      </c>
      <c r="I3" s="737" t="s">
        <v>1838</v>
      </c>
      <c r="J3" s="737"/>
      <c r="K3" s="738">
        <v>2</v>
      </c>
      <c r="L3" s="317"/>
    </row>
    <row r="4" spans="2:12" ht="15" customHeight="1" x14ac:dyDescent="0.35">
      <c r="B4" s="322"/>
      <c r="C4" s="325" t="s">
        <v>1839</v>
      </c>
      <c r="D4" s="324" t="s">
        <v>1840</v>
      </c>
      <c r="E4" s="324" t="s">
        <v>1841</v>
      </c>
      <c r="F4" s="324" t="s">
        <v>1842</v>
      </c>
      <c r="G4" s="324" t="s">
        <v>1843</v>
      </c>
      <c r="H4" s="324" t="s">
        <v>1844</v>
      </c>
      <c r="I4" s="737" t="s">
        <v>1845</v>
      </c>
      <c r="J4" s="737"/>
      <c r="K4" s="738"/>
      <c r="L4" s="317"/>
    </row>
    <row r="5" spans="2:12" s="330" customFormat="1" ht="18" customHeight="1" x14ac:dyDescent="0.25">
      <c r="B5" s="326"/>
      <c r="C5" s="327" t="s">
        <v>1846</v>
      </c>
      <c r="D5" s="489">
        <f>'Recipe Sheet'!N8</f>
        <v>0</v>
      </c>
      <c r="E5" s="489">
        <f>'Recipe Sheet'!N9</f>
        <v>0</v>
      </c>
      <c r="F5" s="489">
        <f>'Recipe Sheet'!N10</f>
        <v>0</v>
      </c>
      <c r="G5" s="489">
        <f>'Recipe Sheet'!N11</f>
        <v>0</v>
      </c>
      <c r="H5" s="489">
        <f>'Recipe Sheet'!N12</f>
        <v>0</v>
      </c>
      <c r="I5" s="489">
        <f>'Recipe Sheet'!N13</f>
        <v>0</v>
      </c>
      <c r="J5" s="328"/>
      <c r="K5" s="329"/>
    </row>
    <row r="6" spans="2:12" ht="15" customHeight="1" x14ac:dyDescent="0.25">
      <c r="B6" s="322"/>
      <c r="C6" s="331" t="s">
        <v>1847</v>
      </c>
      <c r="D6" s="324"/>
      <c r="E6" s="332"/>
      <c r="F6" s="333"/>
      <c r="G6" s="333"/>
      <c r="H6" s="334"/>
      <c r="I6" s="334"/>
      <c r="J6" s="335"/>
      <c r="K6" s="336"/>
      <c r="L6" s="317"/>
    </row>
    <row r="7" spans="2:12" ht="15" customHeight="1" x14ac:dyDescent="0.25">
      <c r="B7" s="322"/>
      <c r="C7" s="325" t="s">
        <v>1848</v>
      </c>
      <c r="D7" s="324" t="s">
        <v>1849</v>
      </c>
      <c r="E7" s="324" t="s">
        <v>1850</v>
      </c>
      <c r="F7" s="324"/>
      <c r="G7" s="337"/>
      <c r="H7" s="335"/>
      <c r="I7" s="739" t="s">
        <v>1851</v>
      </c>
      <c r="J7" s="739"/>
      <c r="K7" s="740"/>
      <c r="L7" s="317"/>
    </row>
    <row r="8" spans="2:12" s="330" customFormat="1" ht="18" customHeight="1" x14ac:dyDescent="0.25">
      <c r="B8" s="326"/>
      <c r="C8" s="338" t="s">
        <v>1942</v>
      </c>
      <c r="D8" s="459" t="str">
        <f>IF('Brewhouse Setup &amp; Calcs'!$B$2="Metric",'Brewhouse Setup &amp; Calcs'!B43,"NA")</f>
        <v>NA</v>
      </c>
      <c r="E8" s="459" t="str">
        <f>IF('Brewhouse Setup &amp; Calcs'!$B$2="Metric",'Brewhouse Setup &amp; Calcs'!B48,"NA")</f>
        <v>NA</v>
      </c>
      <c r="F8" s="337"/>
      <c r="G8" s="337"/>
      <c r="H8" s="335"/>
      <c r="I8" s="739"/>
      <c r="J8" s="739"/>
      <c r="K8" s="740"/>
    </row>
    <row r="9" spans="2:12" s="330" customFormat="1" ht="18" customHeight="1" x14ac:dyDescent="0.25">
      <c r="B9" s="326"/>
      <c r="C9" s="339" t="s">
        <v>1943</v>
      </c>
      <c r="D9" s="340" t="e">
        <f>D8/3.785412</f>
        <v>#VALUE!</v>
      </c>
      <c r="E9" s="340" t="e">
        <f>E8/3.785412</f>
        <v>#VALUE!</v>
      </c>
      <c r="F9" s="337"/>
      <c r="G9" s="337"/>
      <c r="H9" s="335"/>
      <c r="I9" s="739"/>
      <c r="J9" s="739"/>
      <c r="K9" s="740"/>
    </row>
    <row r="10" spans="2:12" s="330" customFormat="1" ht="18" customHeight="1" x14ac:dyDescent="0.25">
      <c r="B10" s="326"/>
      <c r="C10" s="338" t="s">
        <v>1853</v>
      </c>
      <c r="D10" s="528">
        <v>0</v>
      </c>
      <c r="E10" s="528">
        <v>0</v>
      </c>
      <c r="F10" s="337"/>
      <c r="G10" s="337"/>
      <c r="H10" s="335"/>
      <c r="I10" s="739"/>
      <c r="J10" s="739"/>
      <c r="K10" s="740"/>
    </row>
    <row r="11" spans="2:12" s="330" customFormat="1" ht="15" customHeight="1" thickBot="1" x14ac:dyDescent="0.3">
      <c r="B11" s="341"/>
      <c r="C11" s="342"/>
      <c r="D11" s="343"/>
      <c r="E11" s="343"/>
      <c r="F11" s="343"/>
      <c r="G11" s="343"/>
      <c r="H11" s="344"/>
      <c r="I11" s="741"/>
      <c r="J11" s="741"/>
      <c r="K11" s="742"/>
    </row>
    <row r="12" spans="2:12" s="330" customFormat="1" ht="15" customHeight="1" x14ac:dyDescent="0.25">
      <c r="B12" s="345"/>
      <c r="C12" s="346" t="s">
        <v>1854</v>
      </c>
      <c r="D12" s="347"/>
      <c r="E12" s="347"/>
      <c r="F12" s="347"/>
      <c r="G12" s="348" t="s">
        <v>1855</v>
      </c>
      <c r="H12" s="349"/>
      <c r="I12" s="349" t="s">
        <v>1856</v>
      </c>
      <c r="J12" s="349" t="s">
        <v>1857</v>
      </c>
      <c r="K12" s="350"/>
    </row>
    <row r="13" spans="2:12" s="330" customFormat="1" ht="15" customHeight="1" x14ac:dyDescent="0.25">
      <c r="B13" s="351"/>
      <c r="C13" s="352"/>
      <c r="D13" s="353" t="s">
        <v>1858</v>
      </c>
      <c r="E13" s="353" t="s">
        <v>1859</v>
      </c>
      <c r="F13" s="353" t="s">
        <v>1860</v>
      </c>
      <c r="G13" s="349" t="s">
        <v>1783</v>
      </c>
      <c r="H13" s="354">
        <v>1</v>
      </c>
      <c r="I13" s="355" t="s">
        <v>1861</v>
      </c>
      <c r="J13" s="356"/>
      <c r="K13" s="357"/>
    </row>
    <row r="14" spans="2:12" s="330" customFormat="1" ht="15" customHeight="1" x14ac:dyDescent="0.25">
      <c r="B14" s="351"/>
      <c r="C14" s="358"/>
      <c r="D14" s="353" t="s">
        <v>66</v>
      </c>
      <c r="E14" s="353" t="s">
        <v>1944</v>
      </c>
      <c r="F14" s="359" t="s">
        <v>1863</v>
      </c>
      <c r="G14" s="349" t="s">
        <v>1864</v>
      </c>
      <c r="H14" s="354">
        <v>2</v>
      </c>
      <c r="I14" s="360" t="s">
        <v>1865</v>
      </c>
      <c r="J14" s="361">
        <v>5.7</v>
      </c>
      <c r="K14" s="362"/>
    </row>
    <row r="15" spans="2:12" s="330" customFormat="1" ht="18" customHeight="1" x14ac:dyDescent="0.25">
      <c r="B15" s="351"/>
      <c r="C15" s="735" t="s">
        <v>1866</v>
      </c>
      <c r="D15" s="511">
        <v>1</v>
      </c>
      <c r="E15" s="459" t="str">
        <f>IF('Brewhouse Setup &amp; Calcs'!$B$2="Metric",'Grain &amp; Sugar Calcs'!C5,"NA")</f>
        <v>NA</v>
      </c>
      <c r="F15" s="363">
        <v>0</v>
      </c>
      <c r="G15" s="364">
        <f>IF(D15=10,5.22-0.00504*F15,VLOOKUP(D15,H$13:J$23,3,FALSE))</f>
        <v>0</v>
      </c>
      <c r="H15" s="354">
        <v>3</v>
      </c>
      <c r="I15" s="360" t="s">
        <v>1867</v>
      </c>
      <c r="J15" s="361">
        <v>5.79</v>
      </c>
      <c r="K15" s="362"/>
    </row>
    <row r="16" spans="2:12" s="330" customFormat="1" ht="18" customHeight="1" x14ac:dyDescent="0.25">
      <c r="B16" s="351"/>
      <c r="C16" s="735"/>
      <c r="D16" s="511">
        <v>1</v>
      </c>
      <c r="E16" s="459" t="str">
        <f>IF('Brewhouse Setup &amp; Calcs'!$B$2="Metric",'Grain &amp; Sugar Calcs'!C6,"NA")</f>
        <v>NA</v>
      </c>
      <c r="F16" s="363">
        <v>0</v>
      </c>
      <c r="G16" s="364">
        <f t="shared" ref="G16:G23" si="0">IF(D16=10,5.22-0.00504*F16,VLOOKUP(D16,H$13:J$23,3,FALSE))</f>
        <v>0</v>
      </c>
      <c r="H16" s="354">
        <v>4</v>
      </c>
      <c r="I16" s="360" t="s">
        <v>1868</v>
      </c>
      <c r="J16" s="361">
        <v>5.77</v>
      </c>
      <c r="K16" s="362"/>
    </row>
    <row r="17" spans="2:12" s="330" customFormat="1" ht="18" customHeight="1" x14ac:dyDescent="0.25">
      <c r="B17" s="351"/>
      <c r="C17" s="735"/>
      <c r="D17" s="511">
        <v>1</v>
      </c>
      <c r="E17" s="459" t="str">
        <f>IF('Brewhouse Setup &amp; Calcs'!$B$2="Metric",'Grain &amp; Sugar Calcs'!C7,"NA")</f>
        <v>NA</v>
      </c>
      <c r="F17" s="363">
        <v>40</v>
      </c>
      <c r="G17" s="364">
        <f t="shared" si="0"/>
        <v>0</v>
      </c>
      <c r="H17" s="354">
        <v>5</v>
      </c>
      <c r="I17" s="360" t="s">
        <v>1869</v>
      </c>
      <c r="J17" s="361">
        <v>5.43</v>
      </c>
      <c r="K17" s="362"/>
    </row>
    <row r="18" spans="2:12" s="330" customFormat="1" ht="18" customHeight="1" x14ac:dyDescent="0.25">
      <c r="B18" s="351"/>
      <c r="C18" s="735"/>
      <c r="D18" s="511">
        <v>1</v>
      </c>
      <c r="E18" s="459" t="str">
        <f>IF('Brewhouse Setup &amp; Calcs'!$B$2="Metric",'Grain &amp; Sugar Calcs'!C8,"NA")</f>
        <v>NA</v>
      </c>
      <c r="F18" s="363">
        <v>0</v>
      </c>
      <c r="G18" s="364">
        <f t="shared" si="0"/>
        <v>0</v>
      </c>
      <c r="H18" s="354">
        <v>6</v>
      </c>
      <c r="I18" s="360" t="s">
        <v>1870</v>
      </c>
      <c r="J18" s="361">
        <v>5.75</v>
      </c>
      <c r="K18" s="362"/>
    </row>
    <row r="19" spans="2:12" s="330" customFormat="1" ht="18" customHeight="1" x14ac:dyDescent="0.25">
      <c r="B19" s="351"/>
      <c r="C19" s="735"/>
      <c r="D19" s="511">
        <v>1</v>
      </c>
      <c r="E19" s="459" t="str">
        <f>IF('Brewhouse Setup &amp; Calcs'!$B$2="Metric",'Grain &amp; Sugar Calcs'!C9,"NA")</f>
        <v>NA</v>
      </c>
      <c r="F19" s="363">
        <v>0</v>
      </c>
      <c r="G19" s="364">
        <f t="shared" si="0"/>
        <v>0</v>
      </c>
      <c r="H19" s="354">
        <v>7</v>
      </c>
      <c r="I19" s="360" t="s">
        <v>1871</v>
      </c>
      <c r="J19" s="361">
        <v>6.04</v>
      </c>
      <c r="K19" s="362"/>
    </row>
    <row r="20" spans="2:12" s="330" customFormat="1" ht="18" customHeight="1" x14ac:dyDescent="0.25">
      <c r="B20" s="351"/>
      <c r="C20" s="735"/>
      <c r="D20" s="511">
        <v>1</v>
      </c>
      <c r="E20" s="459" t="str">
        <f>IF('Brewhouse Setup &amp; Calcs'!$B$2="Metric",'Grain &amp; Sugar Calcs'!C10,"NA")</f>
        <v>NA</v>
      </c>
      <c r="F20" s="363">
        <v>0</v>
      </c>
      <c r="G20" s="364">
        <f t="shared" si="0"/>
        <v>0</v>
      </c>
      <c r="H20" s="354">
        <v>8</v>
      </c>
      <c r="I20" s="360" t="s">
        <v>1872</v>
      </c>
      <c r="J20" s="361">
        <v>5.56</v>
      </c>
      <c r="K20" s="362"/>
    </row>
    <row r="21" spans="2:12" s="330" customFormat="1" ht="18" customHeight="1" x14ac:dyDescent="0.25">
      <c r="B21" s="351"/>
      <c r="C21" s="735"/>
      <c r="D21" s="511">
        <v>1</v>
      </c>
      <c r="E21" s="459" t="str">
        <f>IF('Brewhouse Setup &amp; Calcs'!$B$2="Metric",'Grain &amp; Sugar Calcs'!C11,"NA")</f>
        <v>NA</v>
      </c>
      <c r="F21" s="363">
        <v>0</v>
      </c>
      <c r="G21" s="364">
        <f t="shared" si="0"/>
        <v>0</v>
      </c>
      <c r="H21" s="354">
        <v>9</v>
      </c>
      <c r="I21" s="360" t="s">
        <v>1873</v>
      </c>
      <c r="J21" s="361">
        <v>5.7</v>
      </c>
      <c r="K21" s="362"/>
    </row>
    <row r="22" spans="2:12" s="330" customFormat="1" ht="18" customHeight="1" x14ac:dyDescent="0.25">
      <c r="B22" s="351"/>
      <c r="C22" s="735"/>
      <c r="D22" s="511">
        <v>1</v>
      </c>
      <c r="E22" s="459" t="str">
        <f>IF('Brewhouse Setup &amp; Calcs'!$B$2="Metric",'Grain &amp; Sugar Calcs'!C12,"NA")</f>
        <v>NA</v>
      </c>
      <c r="F22" s="363">
        <v>0</v>
      </c>
      <c r="G22" s="364">
        <f t="shared" si="0"/>
        <v>0</v>
      </c>
      <c r="H22" s="354">
        <v>10</v>
      </c>
      <c r="I22" s="360" t="s">
        <v>1874</v>
      </c>
      <c r="J22" s="361" t="s">
        <v>1875</v>
      </c>
      <c r="K22" s="362"/>
    </row>
    <row r="23" spans="2:12" s="330" customFormat="1" ht="18" customHeight="1" x14ac:dyDescent="0.25">
      <c r="B23" s="351"/>
      <c r="C23" s="735"/>
      <c r="D23" s="511">
        <v>1</v>
      </c>
      <c r="E23" s="459" t="str">
        <f>IF('Brewhouse Setup &amp; Calcs'!$B$2="Metric",'Grain &amp; Sugar Calcs'!C13,"NA")</f>
        <v>NA</v>
      </c>
      <c r="F23" s="363">
        <v>0</v>
      </c>
      <c r="G23" s="364">
        <f t="shared" si="0"/>
        <v>0</v>
      </c>
      <c r="H23" s="354">
        <v>11</v>
      </c>
      <c r="I23" s="365" t="s">
        <v>1876</v>
      </c>
      <c r="J23" s="366">
        <v>4.71</v>
      </c>
      <c r="K23" s="362"/>
    </row>
    <row r="24" spans="2:12" s="330" customFormat="1" ht="15" customHeight="1" x14ac:dyDescent="0.25">
      <c r="B24" s="351"/>
      <c r="C24" s="367"/>
      <c r="D24" s="368" t="s">
        <v>1945</v>
      </c>
      <c r="E24" s="369">
        <f>SUM(E15:E23)</f>
        <v>0</v>
      </c>
      <c r="F24" s="370"/>
      <c r="G24" s="371"/>
      <c r="H24" s="745" t="s">
        <v>1878</v>
      </c>
      <c r="I24" s="746"/>
      <c r="J24" s="746"/>
      <c r="K24" s="747"/>
    </row>
    <row r="25" spans="2:12" s="330" customFormat="1" ht="15" customHeight="1" x14ac:dyDescent="0.25">
      <c r="B25" s="351"/>
      <c r="C25" s="367"/>
      <c r="D25" s="354" t="s">
        <v>1946</v>
      </c>
      <c r="E25" s="372">
        <f>E24*2.20462</f>
        <v>0</v>
      </c>
      <c r="F25" s="373"/>
      <c r="G25" s="371"/>
      <c r="H25" s="746"/>
      <c r="I25" s="746"/>
      <c r="J25" s="746"/>
      <c r="K25" s="747"/>
    </row>
    <row r="26" spans="2:12" s="330" customFormat="1" ht="15" customHeight="1" x14ac:dyDescent="0.25">
      <c r="B26" s="351"/>
      <c r="C26" s="367"/>
      <c r="D26" s="368" t="s">
        <v>1879</v>
      </c>
      <c r="E26" s="369" t="e">
        <f>ROUND(D8/E24,2)&amp;" l/kg"</f>
        <v>#VALUE!</v>
      </c>
      <c r="F26" s="373"/>
      <c r="G26" s="371"/>
      <c r="H26" s="746"/>
      <c r="I26" s="746"/>
      <c r="J26" s="746"/>
      <c r="K26" s="747"/>
    </row>
    <row r="27" spans="2:12" ht="15" customHeight="1" thickBot="1" x14ac:dyDescent="0.3">
      <c r="B27" s="374"/>
      <c r="C27" s="375"/>
      <c r="D27" s="376"/>
      <c r="E27" s="349" t="e">
        <f>ROUND(D9*4/E25,2)&amp;" qt/lb"</f>
        <v>#VALUE!</v>
      </c>
      <c r="F27" s="377"/>
      <c r="G27" s="377"/>
      <c r="H27" s="748"/>
      <c r="I27" s="748"/>
      <c r="J27" s="748"/>
      <c r="K27" s="749"/>
      <c r="L27" s="317"/>
    </row>
    <row r="28" spans="2:12" ht="14.25" customHeight="1" x14ac:dyDescent="0.25">
      <c r="B28" s="378"/>
      <c r="C28" s="379" t="s">
        <v>1880</v>
      </c>
      <c r="D28" s="380"/>
      <c r="E28" s="381"/>
      <c r="F28" s="382"/>
      <c r="G28" s="382"/>
      <c r="H28" s="750" t="s">
        <v>1881</v>
      </c>
      <c r="I28" s="750"/>
      <c r="J28" s="750"/>
      <c r="K28" s="751"/>
      <c r="L28" s="317"/>
    </row>
    <row r="29" spans="2:12" ht="15" customHeight="1" x14ac:dyDescent="0.25">
      <c r="B29" s="383"/>
      <c r="C29" s="384"/>
      <c r="D29" s="754" t="s">
        <v>1882</v>
      </c>
      <c r="E29" s="754" t="s">
        <v>1883</v>
      </c>
      <c r="F29" s="758" t="s">
        <v>1884</v>
      </c>
      <c r="G29" s="760" t="s">
        <v>1885</v>
      </c>
      <c r="H29" s="752"/>
      <c r="I29" s="752"/>
      <c r="J29" s="752"/>
      <c r="K29" s="753"/>
      <c r="L29" s="317"/>
    </row>
    <row r="30" spans="2:12" ht="15" customHeight="1" x14ac:dyDescent="0.25">
      <c r="B30" s="383"/>
      <c r="C30" s="385"/>
      <c r="D30" s="754"/>
      <c r="E30" s="756"/>
      <c r="F30" s="758"/>
      <c r="G30" s="760"/>
      <c r="H30" s="752"/>
      <c r="I30" s="752"/>
      <c r="J30" s="752"/>
      <c r="K30" s="753"/>
      <c r="L30" s="317"/>
    </row>
    <row r="31" spans="2:12" ht="15" customHeight="1" thickBot="1" x14ac:dyDescent="0.3">
      <c r="B31" s="383"/>
      <c r="C31" s="386"/>
      <c r="D31" s="755"/>
      <c r="E31" s="757"/>
      <c r="F31" s="759"/>
      <c r="G31" s="761"/>
      <c r="H31" s="387"/>
      <c r="I31" s="387"/>
      <c r="J31" s="387"/>
      <c r="K31" s="388"/>
      <c r="L31" s="317"/>
    </row>
    <row r="32" spans="2:12" ht="27.75" customHeight="1" thickTop="1" thickBot="1" x14ac:dyDescent="0.3">
      <c r="B32" s="383"/>
      <c r="C32" s="389"/>
      <c r="D32" s="390" t="e">
        <f>(1-D$10)*I$5*IF(K$3=1,50/61,IF(OR(K$3=0,K$3=2),1,"ERROR"))+(F$44*130+E$44*157-176.1*J37*J36*2-4160.4*H36*H38*2.5+D$44*357)/D$9</f>
        <v>#VALUE!</v>
      </c>
      <c r="E32" s="391" t="e">
        <f>D32-((D51/1.4)+(E51/1.7))</f>
        <v>#VALUE!</v>
      </c>
      <c r="F32" s="392" t="e">
        <f>(E15*G15+E16*G16+E17*G17+E18*G18+E19*G19+E20*G20+E21*G21+E22*G22+E23*G23)/E24+(0.1085*D9/E25+0.013)*E32/50</f>
        <v>#VALUE!</v>
      </c>
      <c r="G32" s="393" t="s">
        <v>1886</v>
      </c>
      <c r="H32" s="752" t="s">
        <v>1887</v>
      </c>
      <c r="I32" s="762"/>
      <c r="J32" s="762"/>
      <c r="K32" s="763"/>
      <c r="L32" s="317"/>
    </row>
    <row r="33" spans="2:12" ht="15" customHeight="1" thickTop="1" thickBot="1" x14ac:dyDescent="0.3">
      <c r="B33" s="394"/>
      <c r="C33" s="395"/>
      <c r="D33" s="395"/>
      <c r="E33" s="395"/>
      <c r="F33" s="395"/>
      <c r="G33" s="396"/>
      <c r="H33" s="764"/>
      <c r="I33" s="764"/>
      <c r="J33" s="764"/>
      <c r="K33" s="765"/>
      <c r="L33" s="317"/>
    </row>
    <row r="34" spans="2:12" ht="15" customHeight="1" x14ac:dyDescent="0.25">
      <c r="B34" s="397"/>
      <c r="C34" s="398" t="s">
        <v>1888</v>
      </c>
      <c r="D34" s="399"/>
      <c r="E34" s="399"/>
      <c r="F34" s="399"/>
      <c r="G34" s="399"/>
      <c r="H34" s="399"/>
      <c r="I34" s="400"/>
      <c r="J34" s="401"/>
      <c r="K34" s="402"/>
      <c r="L34" s="317"/>
    </row>
    <row r="35" spans="2:12" ht="15" customHeight="1" x14ac:dyDescent="0.25">
      <c r="B35" s="403"/>
      <c r="C35" s="404"/>
      <c r="D35" s="405" t="s">
        <v>1889</v>
      </c>
      <c r="E35" s="405" t="s">
        <v>1890</v>
      </c>
      <c r="F35" s="405" t="s">
        <v>1891</v>
      </c>
      <c r="G35" s="406"/>
      <c r="H35" s="406" t="s">
        <v>1892</v>
      </c>
      <c r="I35" s="407"/>
      <c r="J35" s="406" t="s">
        <v>1893</v>
      </c>
      <c r="K35" s="408"/>
      <c r="L35" s="317"/>
    </row>
    <row r="36" spans="2:12" ht="15" customHeight="1" x14ac:dyDescent="0.25">
      <c r="B36" s="403"/>
      <c r="C36" s="409" t="s">
        <v>1894</v>
      </c>
      <c r="D36" s="406" t="s">
        <v>1895</v>
      </c>
      <c r="E36" s="406" t="s">
        <v>1896</v>
      </c>
      <c r="F36" s="406" t="s">
        <v>1897</v>
      </c>
      <c r="G36" s="410" t="s">
        <v>1898</v>
      </c>
      <c r="H36" s="263">
        <v>0.02</v>
      </c>
      <c r="I36" s="411" t="s">
        <v>1898</v>
      </c>
      <c r="J36" s="265">
        <v>0.88</v>
      </c>
      <c r="K36" s="408"/>
      <c r="L36" s="317"/>
    </row>
    <row r="37" spans="2:12" s="330" customFormat="1" ht="18" customHeight="1" x14ac:dyDescent="0.25">
      <c r="B37" s="412"/>
      <c r="C37" s="410" t="s">
        <v>1899</v>
      </c>
      <c r="D37" s="530"/>
      <c r="E37" s="530"/>
      <c r="F37" s="530"/>
      <c r="G37" s="411" t="s">
        <v>1947</v>
      </c>
      <c r="H37" s="496">
        <v>0</v>
      </c>
      <c r="I37" s="411" t="s">
        <v>1901</v>
      </c>
      <c r="J37" s="530">
        <v>0</v>
      </c>
      <c r="K37" s="413"/>
    </row>
    <row r="38" spans="2:12" ht="18" customHeight="1" x14ac:dyDescent="0.25">
      <c r="B38" s="403"/>
      <c r="C38" s="410" t="s">
        <v>1902</v>
      </c>
      <c r="D38" s="510" t="b">
        <v>1</v>
      </c>
      <c r="E38" s="510" t="b">
        <v>1</v>
      </c>
      <c r="F38" s="510" t="b">
        <v>1</v>
      </c>
      <c r="G38" s="414" t="s">
        <v>1900</v>
      </c>
      <c r="H38" s="415">
        <f>H37/28.34952</f>
        <v>0</v>
      </c>
      <c r="I38" s="416" t="s">
        <v>1903</v>
      </c>
      <c r="J38" s="407"/>
      <c r="K38" s="408"/>
      <c r="L38" s="317"/>
    </row>
    <row r="39" spans="2:12" s="330" customFormat="1" ht="18" customHeight="1" x14ac:dyDescent="0.25">
      <c r="B39" s="412"/>
      <c r="C39" s="410" t="s">
        <v>1904</v>
      </c>
      <c r="D39" s="417" t="e">
        <f>IF(D38,D37/$D8*$E8,0)</f>
        <v>#VALUE!</v>
      </c>
      <c r="E39" s="417" t="e">
        <f>IF(E38,E37/$D8*$E8,0)</f>
        <v>#VALUE!</v>
      </c>
      <c r="F39" s="417" t="e">
        <f>IF(F38,F37/$D8*$E8,0)</f>
        <v>#VALUE!</v>
      </c>
      <c r="G39" s="418"/>
      <c r="H39" s="419" t="e">
        <f>"("&amp;ROUND(100*H37/E24/1000,1)&amp;"% of total wt)"</f>
        <v>#DIV/0!</v>
      </c>
      <c r="I39" s="420" t="s">
        <v>1948</v>
      </c>
      <c r="J39" s="421"/>
      <c r="K39" s="422"/>
    </row>
    <row r="40" spans="2:12" s="330" customFormat="1" ht="15" customHeight="1" thickBot="1" x14ac:dyDescent="0.3">
      <c r="B40" s="412"/>
      <c r="C40" s="423" t="s">
        <v>1906</v>
      </c>
      <c r="D40" s="418"/>
      <c r="E40" s="418"/>
      <c r="F40" s="418"/>
      <c r="G40" s="418"/>
      <c r="H40" s="424"/>
      <c r="I40" s="421"/>
      <c r="J40" s="425"/>
      <c r="K40" s="426"/>
    </row>
    <row r="41" spans="2:12" s="330" customFormat="1" ht="15" customHeight="1" x14ac:dyDescent="0.25">
      <c r="B41" s="427"/>
      <c r="C41" s="398" t="s">
        <v>1907</v>
      </c>
      <c r="D41" s="428"/>
      <c r="E41" s="428"/>
      <c r="F41" s="428"/>
      <c r="G41" s="766" t="s">
        <v>1908</v>
      </c>
      <c r="H41" s="766"/>
      <c r="I41" s="766"/>
      <c r="J41" s="766"/>
      <c r="K41" s="767"/>
    </row>
    <row r="42" spans="2:12" s="330" customFormat="1" ht="15" customHeight="1" x14ac:dyDescent="0.25">
      <c r="B42" s="412"/>
      <c r="C42" s="410"/>
      <c r="D42" s="405" t="s">
        <v>1909</v>
      </c>
      <c r="E42" s="405" t="s">
        <v>1910</v>
      </c>
      <c r="F42" s="429" t="s">
        <v>1911</v>
      </c>
      <c r="G42" s="768"/>
      <c r="H42" s="768"/>
      <c r="I42" s="768"/>
      <c r="J42" s="768"/>
      <c r="K42" s="769"/>
    </row>
    <row r="43" spans="2:12" s="330" customFormat="1" ht="15" customHeight="1" x14ac:dyDescent="0.25">
      <c r="B43" s="403"/>
      <c r="C43" s="409" t="s">
        <v>1894</v>
      </c>
      <c r="D43" s="406" t="s">
        <v>1912</v>
      </c>
      <c r="E43" s="406" t="s">
        <v>1913</v>
      </c>
      <c r="F43" s="430" t="s">
        <v>1914</v>
      </c>
      <c r="G43" s="768"/>
      <c r="H43" s="768"/>
      <c r="I43" s="768"/>
      <c r="J43" s="768"/>
      <c r="K43" s="769"/>
    </row>
    <row r="44" spans="2:12" s="330" customFormat="1" ht="18" customHeight="1" x14ac:dyDescent="0.25">
      <c r="B44" s="412"/>
      <c r="C44" s="410" t="s">
        <v>1899</v>
      </c>
      <c r="D44" s="530"/>
      <c r="E44" s="530"/>
      <c r="F44" s="530"/>
      <c r="G44" s="431"/>
      <c r="H44" s="431"/>
      <c r="I44" s="431"/>
      <c r="J44" s="418"/>
      <c r="K44" s="413"/>
    </row>
    <row r="45" spans="2:12" s="330" customFormat="1" ht="18" customHeight="1" x14ac:dyDescent="0.25">
      <c r="B45" s="403"/>
      <c r="C45" s="410" t="s">
        <v>1902</v>
      </c>
      <c r="D45" s="510" t="b">
        <v>1</v>
      </c>
      <c r="E45" s="510" t="b">
        <v>1</v>
      </c>
      <c r="F45" s="510" t="b">
        <v>1</v>
      </c>
      <c r="G45" s="431"/>
      <c r="H45" s="431"/>
      <c r="I45" s="431"/>
      <c r="J45" s="418"/>
      <c r="K45" s="413"/>
    </row>
    <row r="46" spans="2:12" s="330" customFormat="1" ht="18" customHeight="1" x14ac:dyDescent="0.25">
      <c r="B46" s="412"/>
      <c r="C46" s="410" t="s">
        <v>1904</v>
      </c>
      <c r="D46" s="417" t="e">
        <f>IF(D45,D44/$D8*$E8,0)</f>
        <v>#VALUE!</v>
      </c>
      <c r="E46" s="417" t="e">
        <f>IF(E45,E44/$D8*$E8,0)</f>
        <v>#VALUE!</v>
      </c>
      <c r="F46" s="417" t="e">
        <f>IF(F45,F44/$D8*$E8,0)</f>
        <v>#VALUE!</v>
      </c>
      <c r="G46" s="418"/>
      <c r="H46" s="406"/>
      <c r="I46" s="406"/>
      <c r="J46" s="418"/>
      <c r="K46" s="413"/>
    </row>
    <row r="47" spans="2:12" ht="15" customHeight="1" thickBot="1" x14ac:dyDescent="0.3">
      <c r="B47" s="412"/>
      <c r="C47" s="423" t="s">
        <v>1906</v>
      </c>
      <c r="D47" s="432"/>
      <c r="E47" s="432"/>
      <c r="F47" s="433"/>
      <c r="G47" s="434"/>
      <c r="H47" s="432"/>
      <c r="I47" s="433"/>
      <c r="J47" s="433"/>
      <c r="K47" s="435"/>
      <c r="L47" s="317"/>
    </row>
    <row r="48" spans="2:12" ht="15" customHeight="1" x14ac:dyDescent="0.25">
      <c r="B48" s="318"/>
      <c r="C48" s="319" t="s">
        <v>1915</v>
      </c>
      <c r="D48" s="320"/>
      <c r="E48" s="320"/>
      <c r="F48" s="320"/>
      <c r="G48" s="320"/>
      <c r="H48" s="320"/>
      <c r="I48" s="320"/>
      <c r="J48" s="320"/>
      <c r="K48" s="436"/>
      <c r="L48" s="317"/>
    </row>
    <row r="49" spans="2:14" ht="15" customHeight="1" x14ac:dyDescent="0.25">
      <c r="B49" s="322"/>
      <c r="C49" s="323"/>
      <c r="D49" s="324" t="s">
        <v>1833</v>
      </c>
      <c r="E49" s="324" t="s">
        <v>1834</v>
      </c>
      <c r="F49" s="324" t="s">
        <v>1835</v>
      </c>
      <c r="G49" s="324" t="s">
        <v>1836</v>
      </c>
      <c r="H49" s="324" t="s">
        <v>1837</v>
      </c>
      <c r="I49" s="770" t="s">
        <v>1916</v>
      </c>
      <c r="J49" s="770"/>
      <c r="K49" s="437"/>
      <c r="L49" s="317"/>
    </row>
    <row r="50" spans="2:14" s="438" customFormat="1" ht="15" customHeight="1" x14ac:dyDescent="0.35">
      <c r="B50" s="439"/>
      <c r="C50" s="440"/>
      <c r="D50" s="324" t="s">
        <v>1840</v>
      </c>
      <c r="E50" s="324" t="s">
        <v>1841</v>
      </c>
      <c r="F50" s="324" t="s">
        <v>1842</v>
      </c>
      <c r="G50" s="324" t="s">
        <v>1843</v>
      </c>
      <c r="H50" s="324" t="s">
        <v>1844</v>
      </c>
      <c r="I50" s="771" t="s">
        <v>1917</v>
      </c>
      <c r="J50" s="771"/>
      <c r="K50" s="329"/>
      <c r="L50" s="330"/>
      <c r="M50" s="330"/>
    </row>
    <row r="51" spans="2:14" s="330" customFormat="1" ht="18" customHeight="1" thickBot="1" x14ac:dyDescent="0.3">
      <c r="B51" s="326"/>
      <c r="C51" s="338" t="s">
        <v>1918</v>
      </c>
      <c r="D51" s="441" t="e">
        <f>(1-D$10)*D$5+(F$44*105.89+D$37*60+E$37*72+D$44*143)/D$9</f>
        <v>#VALUE!</v>
      </c>
      <c r="E51" s="441" t="e">
        <f>(1-D$10)*E$5+F$37*24.6/D$9</f>
        <v>#VALUE!</v>
      </c>
      <c r="F51" s="441" t="e">
        <f>(1-D$10)*F$5+E$44*72.3/D$9</f>
        <v>#VALUE!</v>
      </c>
      <c r="G51" s="441" t="e">
        <f>(1-D$10)*G$5+E$37*127.47/D$9</f>
        <v>#VALUE!</v>
      </c>
      <c r="H51" s="441" t="e">
        <f>(1-D$10)*H$5+(D$37*147.4+F$37*103)/D$9</f>
        <v>#VALUE!</v>
      </c>
      <c r="I51" s="772" t="e">
        <f>G51/H51</f>
        <v>#VALUE!</v>
      </c>
      <c r="J51" s="773"/>
      <c r="K51" s="329"/>
    </row>
    <row r="52" spans="2:14" s="330" customFormat="1" ht="18" customHeight="1" thickBot="1" x14ac:dyDescent="0.3">
      <c r="B52" s="326"/>
      <c r="C52" s="338" t="s">
        <v>1919</v>
      </c>
      <c r="D52" s="442" t="e">
        <f>IF(E8=0,D51,(1-(((D$10*D$9)+(E$10*E$9))/(D$9+E$9)))*D$5+((F$44+F$46)*105.89+(D$37+D$39)*60+(E$37+E$39)*72+(D$44+D$46)*143)/(D$9+E$9))</f>
        <v>#VALUE!</v>
      </c>
      <c r="E52" s="442" t="e">
        <f>IF(E8=0,E51,(1-(((D$10*D$9)+(E$10*E$9))/(D$9+E$9)))*E$5+(F$37+F$39)*24.6/(D$9+E$9))</f>
        <v>#VALUE!</v>
      </c>
      <c r="F52" s="442" t="e">
        <f>IF(E8=0,F51,(1-(((D$10*D$9)+(E$10*E$9))/(D$9+E$9)))*F$5+(E$44+E$46)*72.3/(D$9+E$9))</f>
        <v>#VALUE!</v>
      </c>
      <c r="G52" s="442" t="e">
        <f>IF(E8=0,G51,(1-(((D$10*D$9)+(E$10*E$9))/(D$9+E$9)))*G$5+(E$37+E$39)*127.47/(D$9+E$9))</f>
        <v>#VALUE!</v>
      </c>
      <c r="H52" s="442" t="e">
        <f>IF(E8=0,H51,(1-(((D$10*D$9)+(E$10*E$9))/(D$9+E$9)))*H$5+((D$37+D$39)*147.4+(F$37+F$39)*103)/(D$9+E$9))</f>
        <v>#VALUE!</v>
      </c>
      <c r="I52" s="743" t="e">
        <f>G52/H52</f>
        <v>#VALUE!</v>
      </c>
      <c r="J52" s="744"/>
      <c r="K52" s="329"/>
      <c r="M52" s="317"/>
    </row>
    <row r="53" spans="2:14" ht="18" customHeight="1" x14ac:dyDescent="0.25">
      <c r="B53" s="322"/>
      <c r="C53" s="443" t="s">
        <v>1920</v>
      </c>
      <c r="D53" s="444" t="s">
        <v>1921</v>
      </c>
      <c r="E53" s="445" t="s">
        <v>1922</v>
      </c>
      <c r="F53" s="444" t="s">
        <v>1923</v>
      </c>
      <c r="G53" s="444" t="s">
        <v>1924</v>
      </c>
      <c r="H53" s="446" t="s">
        <v>1925</v>
      </c>
      <c r="I53" s="774" t="e">
        <f>IF(I52&lt;0.77,"Below .77, May enhance bitterness", IF(I52&lt;1.3,".77 to 1.3 = Balanced","Above 1.3 may enhance maltiness"))</f>
        <v>#VALUE!</v>
      </c>
      <c r="J53" s="775"/>
      <c r="K53" s="437"/>
      <c r="L53" s="317"/>
    </row>
    <row r="54" spans="2:14" ht="15" customHeight="1" x14ac:dyDescent="0.25">
      <c r="B54" s="322"/>
      <c r="C54" s="776" t="s">
        <v>1926</v>
      </c>
      <c r="D54" s="776"/>
      <c r="E54" s="776"/>
      <c r="F54" s="776"/>
      <c r="G54" s="776"/>
      <c r="H54" s="776"/>
      <c r="I54" s="776"/>
      <c r="J54" s="776"/>
      <c r="K54" s="777"/>
      <c r="L54" s="317"/>
      <c r="M54" s="330"/>
      <c r="N54" s="330"/>
    </row>
    <row r="55" spans="2:14" ht="15" customHeight="1" thickBot="1" x14ac:dyDescent="0.3">
      <c r="B55" s="447"/>
      <c r="C55" s="778"/>
      <c r="D55" s="778"/>
      <c r="E55" s="778"/>
      <c r="F55" s="778"/>
      <c r="G55" s="778"/>
      <c r="H55" s="778"/>
      <c r="I55" s="779"/>
      <c r="J55" s="779"/>
      <c r="K55" s="780"/>
    </row>
    <row r="56" spans="2:14" s="448" customFormat="1" ht="15" customHeight="1" x14ac:dyDescent="0.25">
      <c r="C56" s="449"/>
      <c r="D56" s="449"/>
      <c r="E56" s="449"/>
      <c r="F56" s="449"/>
      <c r="G56" s="449"/>
      <c r="H56" s="449"/>
      <c r="I56" s="450"/>
      <c r="J56" s="450"/>
      <c r="K56" s="450"/>
    </row>
    <row r="57" spans="2:14" s="448" customFormat="1" ht="23.25" customHeight="1" x14ac:dyDescent="0.25">
      <c r="C57" s="781" t="s">
        <v>1927</v>
      </c>
      <c r="D57" s="781"/>
      <c r="E57" s="781"/>
      <c r="F57" s="781"/>
      <c r="G57" s="781"/>
      <c r="H57" s="781"/>
      <c r="I57" s="781"/>
      <c r="J57" s="781"/>
      <c r="K57" s="781"/>
    </row>
    <row r="58" spans="2:14" ht="15" customHeight="1" x14ac:dyDescent="0.25">
      <c r="C58" s="451"/>
      <c r="D58" s="451"/>
      <c r="E58" s="451"/>
      <c r="F58" s="451"/>
      <c r="G58" s="451"/>
      <c r="H58" s="451"/>
      <c r="I58" s="317"/>
      <c r="J58" s="317"/>
      <c r="K58" s="317"/>
    </row>
    <row r="59" spans="2:14" ht="15" customHeight="1" x14ac:dyDescent="0.25">
      <c r="C59" s="451"/>
      <c r="D59" s="452" t="s">
        <v>1928</v>
      </c>
      <c r="E59" s="453"/>
      <c r="F59" s="453"/>
      <c r="G59" s="451"/>
      <c r="H59" s="451"/>
      <c r="I59" s="317"/>
      <c r="J59" s="317"/>
      <c r="K59" s="317"/>
    </row>
    <row r="60" spans="2:14" ht="15" customHeight="1" x14ac:dyDescent="0.25">
      <c r="C60" s="451"/>
      <c r="D60" s="453"/>
      <c r="E60" s="453"/>
      <c r="F60" s="453"/>
      <c r="G60" s="451"/>
      <c r="H60" s="451"/>
      <c r="I60" s="317"/>
      <c r="J60" s="317"/>
      <c r="K60" s="317"/>
    </row>
    <row r="61" spans="2:14" ht="15" customHeight="1" x14ac:dyDescent="0.25">
      <c r="C61" s="451"/>
      <c r="D61" s="453"/>
      <c r="E61" s="453"/>
      <c r="F61" s="453"/>
      <c r="G61" s="451"/>
      <c r="H61" s="451"/>
      <c r="I61" s="317"/>
      <c r="J61" s="317"/>
      <c r="K61" s="317"/>
    </row>
    <row r="62" spans="2:14" ht="15" customHeight="1" x14ac:dyDescent="0.25">
      <c r="C62" s="451"/>
      <c r="D62" s="453"/>
      <c r="E62" s="453"/>
      <c r="F62" s="451"/>
      <c r="G62" s="451"/>
      <c r="H62" s="451"/>
      <c r="I62" s="317"/>
      <c r="J62" s="317"/>
      <c r="K62" s="317"/>
    </row>
    <row r="63" spans="2:14" ht="15" customHeight="1" x14ac:dyDescent="0.25">
      <c r="C63" s="452" t="s">
        <v>1929</v>
      </c>
      <c r="D63" s="453"/>
      <c r="E63" s="453"/>
      <c r="F63" s="451"/>
      <c r="G63" s="451"/>
      <c r="H63" s="451"/>
      <c r="I63" s="317"/>
      <c r="J63" s="317"/>
      <c r="K63" s="317"/>
    </row>
    <row r="64" spans="2:14" ht="41.25" customHeight="1" x14ac:dyDescent="0.25">
      <c r="C64" s="451"/>
      <c r="D64" s="453"/>
      <c r="E64" s="453"/>
      <c r="F64" s="451"/>
      <c r="G64" s="451"/>
      <c r="H64" s="451"/>
      <c r="I64" s="317"/>
      <c r="J64" s="317"/>
      <c r="K64" s="317"/>
    </row>
    <row r="65" spans="1:11" ht="21.75" customHeight="1" x14ac:dyDescent="0.3">
      <c r="C65" s="782" t="s">
        <v>1930</v>
      </c>
      <c r="D65" s="782"/>
      <c r="E65" s="782"/>
      <c r="F65" s="782"/>
      <c r="G65" s="782"/>
      <c r="H65" s="782"/>
      <c r="I65" s="782"/>
      <c r="J65" s="782"/>
    </row>
    <row r="66" spans="1:11" ht="12" customHeight="1" x14ac:dyDescent="0.25">
      <c r="C66" s="783" t="s">
        <v>1931</v>
      </c>
      <c r="D66" s="783"/>
      <c r="E66" s="783"/>
      <c r="F66" s="783"/>
      <c r="G66" s="783"/>
      <c r="H66" s="783"/>
      <c r="I66" s="783"/>
      <c r="J66" s="783"/>
      <c r="K66" s="783"/>
    </row>
    <row r="67" spans="1:11" ht="12" customHeight="1" x14ac:dyDescent="0.25">
      <c r="C67" s="723" t="s">
        <v>1932</v>
      </c>
      <c r="D67" s="723"/>
      <c r="E67" s="723"/>
      <c r="F67" s="723"/>
      <c r="G67" s="723"/>
      <c r="H67" s="723"/>
      <c r="I67" s="723"/>
      <c r="J67" s="723"/>
      <c r="K67" s="723"/>
    </row>
    <row r="68" spans="1:11" x14ac:dyDescent="0.25">
      <c r="A68" s="454"/>
      <c r="B68" s="454"/>
      <c r="C68" s="455" t="s">
        <v>1933</v>
      </c>
      <c r="D68" s="310"/>
      <c r="E68" s="310"/>
      <c r="F68" s="310"/>
      <c r="G68" s="456"/>
      <c r="H68" s="456"/>
      <c r="I68" s="456"/>
      <c r="J68" s="456"/>
      <c r="K68" s="456"/>
    </row>
    <row r="69" spans="1:11" x14ac:dyDescent="0.25">
      <c r="C69" s="724" t="s">
        <v>1934</v>
      </c>
      <c r="D69" s="724"/>
      <c r="E69" s="724"/>
      <c r="F69" s="724"/>
      <c r="G69" s="724"/>
      <c r="H69" s="724"/>
      <c r="I69" s="724"/>
      <c r="J69" s="724"/>
    </row>
    <row r="70" spans="1:11" x14ac:dyDescent="0.25">
      <c r="C70" s="455" t="s">
        <v>1935</v>
      </c>
      <c r="D70" s="314"/>
      <c r="E70" s="314"/>
      <c r="F70" s="314"/>
      <c r="G70" s="314"/>
      <c r="H70" s="314"/>
      <c r="I70" s="314"/>
      <c r="J70" s="314"/>
    </row>
    <row r="71" spans="1:11" x14ac:dyDescent="0.25">
      <c r="C71" s="724" t="s">
        <v>1936</v>
      </c>
      <c r="D71" s="724"/>
      <c r="E71" s="724"/>
      <c r="F71" s="724"/>
      <c r="G71" s="724"/>
      <c r="H71" s="724"/>
      <c r="I71" s="724"/>
      <c r="J71" s="724"/>
    </row>
    <row r="73" spans="1:11" x14ac:dyDescent="0.25">
      <c r="C73" s="315" t="s">
        <v>1937</v>
      </c>
    </row>
    <row r="74" spans="1:11" ht="12.75" customHeight="1" x14ac:dyDescent="0.25">
      <c r="C74" s="455" t="s">
        <v>1949</v>
      </c>
    </row>
    <row r="75" spans="1:11" x14ac:dyDescent="0.25">
      <c r="C75" s="315" t="s">
        <v>1939</v>
      </c>
    </row>
  </sheetData>
  <sheetProtection sheet="1" objects="1" scenarios="1"/>
  <mergeCells count="27">
    <mergeCell ref="C67:K67"/>
    <mergeCell ref="C69:J69"/>
    <mergeCell ref="C71:J71"/>
    <mergeCell ref="I53:J53"/>
    <mergeCell ref="C54:K54"/>
    <mergeCell ref="C55:K55"/>
    <mergeCell ref="C57:K57"/>
    <mergeCell ref="C65:J65"/>
    <mergeCell ref="C66:K66"/>
    <mergeCell ref="I52:J52"/>
    <mergeCell ref="H24:K27"/>
    <mergeCell ref="H28:K30"/>
    <mergeCell ref="D29:D31"/>
    <mergeCell ref="E29:E31"/>
    <mergeCell ref="F29:F31"/>
    <mergeCell ref="G29:G31"/>
    <mergeCell ref="H32:K33"/>
    <mergeCell ref="G41:K43"/>
    <mergeCell ref="I49:J49"/>
    <mergeCell ref="I50:J50"/>
    <mergeCell ref="I51:J51"/>
    <mergeCell ref="C15:C23"/>
    <mergeCell ref="C1:K1"/>
    <mergeCell ref="I3:J3"/>
    <mergeCell ref="K3:K4"/>
    <mergeCell ref="I4:J4"/>
    <mergeCell ref="I7:K11"/>
  </mergeCells>
  <conditionalFormatting sqref="D53">
    <cfRule type="expression" dxfId="22" priority="1" stopIfTrue="1">
      <formula>OR(D$52&lt;49.5,D$52&gt;150.5)</formula>
    </cfRule>
  </conditionalFormatting>
  <conditionalFormatting sqref="E53">
    <cfRule type="expression" dxfId="21" priority="2" stopIfTrue="1">
      <formula>OR(E$52&lt;9.5,E$52&gt;30.5)</formula>
    </cfRule>
  </conditionalFormatting>
  <conditionalFormatting sqref="F53">
    <cfRule type="expression" dxfId="20" priority="3" stopIfTrue="1">
      <formula>OR(F$52&lt;0,F$52&gt;150.5)</formula>
    </cfRule>
  </conditionalFormatting>
  <conditionalFormatting sqref="G53">
    <cfRule type="expression" dxfId="19" priority="4" stopIfTrue="1">
      <formula>OR(G$52&lt;0,G$52&gt;250.5)</formula>
    </cfRule>
  </conditionalFormatting>
  <conditionalFormatting sqref="H53">
    <cfRule type="expression" dxfId="18" priority="5" stopIfTrue="1">
      <formula>OR(H$52&lt;49.5,H$52&gt;350.5)</formula>
    </cfRule>
  </conditionalFormatting>
  <conditionalFormatting sqref="F15:F23">
    <cfRule type="expression" dxfId="17" priority="6" stopIfTrue="1">
      <formula>AND($D15=10)</formula>
    </cfRule>
  </conditionalFormatting>
  <conditionalFormatting sqref="G32">
    <cfRule type="expression" dxfId="16" priority="7" stopIfTrue="1">
      <formula>OR(F$32&lt;5.4,F$32&gt;5.6)</formula>
    </cfRule>
  </conditionalFormatting>
  <hyperlinks>
    <hyperlink ref="C73" r:id="rId1" xr:uid="{F6E05BDE-2EA2-4FCE-A766-18A7BF1E0AA5}"/>
    <hyperlink ref="C67:J67" r:id="rId2" display="Calculations for Alkalinity, RA, and pH were based on Kai Troester's paper: &quot;The effect of brewing water and grist composition on the pH of the mash&quot;  2009" xr:uid="{04B00ABD-8DE7-4C34-AA4A-A5A5825CC01A}"/>
    <hyperlink ref="C69:J69" r:id="rId3" display="Recommended mineral ranges are from John Palmer's &quot;How to Brew&quot;" xr:uid="{CC56FE8E-3B21-493B-A25A-13992D965E8E}"/>
    <hyperlink ref="C71:J71" r:id="rId4" display="Recommended Cl to SO4 ratio ranges are from John Palmer's RA spreadsheet" xr:uid="{1DD17D5C-B71E-4566-8566-E3A0EE0723F6}"/>
    <hyperlink ref="C75" r:id="rId5" xr:uid="{216FF701-5C04-43EA-B3A3-189BB70332AF}"/>
  </hyperlinks>
  <pageMargins left="0.75" right="0.75" top="0.5" bottom="0.5" header="0.5" footer="0.5"/>
  <pageSetup scale="64" orientation="portrait" r:id="rId6"/>
  <headerFooter alignWithMargins="0"/>
  <drawing r:id="rId7"/>
  <legacyDrawing r:id="rId8"/>
  <oleObjects>
    <mc:AlternateContent xmlns:mc="http://schemas.openxmlformats.org/markup-compatibility/2006">
      <mc:Choice Requires="x14">
        <oleObject progId="Photoshop.Image.9" shapeId="16402" r:id="rId9">
          <objectPr defaultSize="0" autoPict="0" r:id="rId10">
            <anchor moveWithCells="1">
              <from>
                <xdr:col>2</xdr:col>
                <xdr:colOff>365760</xdr:colOff>
                <xdr:row>57</xdr:row>
                <xdr:rowOff>182880</xdr:rowOff>
              </from>
              <to>
                <xdr:col>2</xdr:col>
                <xdr:colOff>1607820</xdr:colOff>
                <xdr:row>61</xdr:row>
                <xdr:rowOff>45720</xdr:rowOff>
              </to>
            </anchor>
          </objectPr>
        </oleObject>
      </mc:Choice>
      <mc:Fallback>
        <oleObject progId="Photoshop.Image.9" shapeId="16402" r:id="rId9"/>
      </mc:Fallback>
    </mc:AlternateContent>
  </oleObjects>
  <mc:AlternateContent xmlns:mc="http://schemas.openxmlformats.org/markup-compatibility/2006">
    <mc:Choice Requires="x14">
      <controls>
        <mc:AlternateContent xmlns:mc="http://schemas.openxmlformats.org/markup-compatibility/2006">
          <mc:Choice Requires="x14">
            <control shapeId="16385" r:id="rId11" name="Option Button 1">
              <controlPr defaultSize="0" autoFill="0" autoLine="0" autoPict="0">
                <anchor moveWithCells="1">
                  <from>
                    <xdr:col>7</xdr:col>
                    <xdr:colOff>960120</xdr:colOff>
                    <xdr:row>2</xdr:row>
                    <xdr:rowOff>0</xdr:rowOff>
                  </from>
                  <to>
                    <xdr:col>8</xdr:col>
                    <xdr:colOff>297180</xdr:colOff>
                    <xdr:row>3</xdr:row>
                    <xdr:rowOff>38100</xdr:rowOff>
                  </to>
                </anchor>
              </controlPr>
            </control>
          </mc:Choice>
        </mc:AlternateContent>
        <mc:AlternateContent xmlns:mc="http://schemas.openxmlformats.org/markup-compatibility/2006">
          <mc:Choice Requires="x14">
            <control shapeId="16386" r:id="rId12" name="Option Button 2">
              <controlPr defaultSize="0" autoFill="0" autoLine="0" autoPict="0">
                <anchor moveWithCells="1">
                  <from>
                    <xdr:col>7</xdr:col>
                    <xdr:colOff>960120</xdr:colOff>
                    <xdr:row>2</xdr:row>
                    <xdr:rowOff>160020</xdr:rowOff>
                  </from>
                  <to>
                    <xdr:col>8</xdr:col>
                    <xdr:colOff>297180</xdr:colOff>
                    <xdr:row>4</xdr:row>
                    <xdr:rowOff>0</xdr:rowOff>
                  </to>
                </anchor>
              </controlPr>
            </control>
          </mc:Choice>
        </mc:AlternateContent>
        <mc:AlternateContent xmlns:mc="http://schemas.openxmlformats.org/markup-compatibility/2006">
          <mc:Choice Requires="x14">
            <control shapeId="16387" r:id="rId13" name="Check Box 3">
              <controlPr defaultSize="0" autoFill="0" autoLine="0" autoPict="0">
                <anchor moveWithCells="1">
                  <from>
                    <xdr:col>5</xdr:col>
                    <xdr:colOff>381000</xdr:colOff>
                    <xdr:row>44</xdr:row>
                    <xdr:rowOff>0</xdr:rowOff>
                  </from>
                  <to>
                    <xdr:col>5</xdr:col>
                    <xdr:colOff>693420</xdr:colOff>
                    <xdr:row>45</xdr:row>
                    <xdr:rowOff>0</xdr:rowOff>
                  </to>
                </anchor>
              </controlPr>
            </control>
          </mc:Choice>
        </mc:AlternateContent>
        <mc:AlternateContent xmlns:mc="http://schemas.openxmlformats.org/markup-compatibility/2006">
          <mc:Choice Requires="x14">
            <control shapeId="16388" r:id="rId14" name="Check Box 4">
              <controlPr defaultSize="0" autoFill="0" autoLine="0" autoPict="0">
                <anchor moveWithCells="1">
                  <from>
                    <xdr:col>3</xdr:col>
                    <xdr:colOff>381000</xdr:colOff>
                    <xdr:row>37</xdr:row>
                    <xdr:rowOff>0</xdr:rowOff>
                  </from>
                  <to>
                    <xdr:col>3</xdr:col>
                    <xdr:colOff>693420</xdr:colOff>
                    <xdr:row>38</xdr:row>
                    <xdr:rowOff>0</xdr:rowOff>
                  </to>
                </anchor>
              </controlPr>
            </control>
          </mc:Choice>
        </mc:AlternateContent>
        <mc:AlternateContent xmlns:mc="http://schemas.openxmlformats.org/markup-compatibility/2006">
          <mc:Choice Requires="x14">
            <control shapeId="16389" r:id="rId15" name="Check Box 5">
              <controlPr defaultSize="0" autoFill="0" autoLine="0" autoPict="0">
                <anchor moveWithCells="1">
                  <from>
                    <xdr:col>4</xdr:col>
                    <xdr:colOff>381000</xdr:colOff>
                    <xdr:row>37</xdr:row>
                    <xdr:rowOff>0</xdr:rowOff>
                  </from>
                  <to>
                    <xdr:col>4</xdr:col>
                    <xdr:colOff>693420</xdr:colOff>
                    <xdr:row>38</xdr:row>
                    <xdr:rowOff>0</xdr:rowOff>
                  </to>
                </anchor>
              </controlPr>
            </control>
          </mc:Choice>
        </mc:AlternateContent>
        <mc:AlternateContent xmlns:mc="http://schemas.openxmlformats.org/markup-compatibility/2006">
          <mc:Choice Requires="x14">
            <control shapeId="16390" r:id="rId16" name="Check Box 6">
              <controlPr defaultSize="0" autoFill="0" autoLine="0" autoPict="0">
                <anchor moveWithCells="1">
                  <from>
                    <xdr:col>5</xdr:col>
                    <xdr:colOff>381000</xdr:colOff>
                    <xdr:row>37</xdr:row>
                    <xdr:rowOff>0</xdr:rowOff>
                  </from>
                  <to>
                    <xdr:col>5</xdr:col>
                    <xdr:colOff>693420</xdr:colOff>
                    <xdr:row>38</xdr:row>
                    <xdr:rowOff>0</xdr:rowOff>
                  </to>
                </anchor>
              </controlPr>
            </control>
          </mc:Choice>
        </mc:AlternateContent>
        <mc:AlternateContent xmlns:mc="http://schemas.openxmlformats.org/markup-compatibility/2006">
          <mc:Choice Requires="x14">
            <control shapeId="16391" r:id="rId17" name="Check Box 7">
              <controlPr defaultSize="0" autoFill="0" autoLine="0" autoPict="0">
                <anchor moveWithCells="1">
                  <from>
                    <xdr:col>4</xdr:col>
                    <xdr:colOff>381000</xdr:colOff>
                    <xdr:row>44</xdr:row>
                    <xdr:rowOff>0</xdr:rowOff>
                  </from>
                  <to>
                    <xdr:col>4</xdr:col>
                    <xdr:colOff>693420</xdr:colOff>
                    <xdr:row>45</xdr:row>
                    <xdr:rowOff>0</xdr:rowOff>
                  </to>
                </anchor>
              </controlPr>
            </control>
          </mc:Choice>
        </mc:AlternateContent>
        <mc:AlternateContent xmlns:mc="http://schemas.openxmlformats.org/markup-compatibility/2006">
          <mc:Choice Requires="x14">
            <control shapeId="16392" r:id="rId18" name="Drop Down 8">
              <controlPr defaultSize="0" autoLine="0" autoPict="0">
                <anchor moveWithCells="1">
                  <from>
                    <xdr:col>3</xdr:col>
                    <xdr:colOff>7620</xdr:colOff>
                    <xdr:row>14</xdr:row>
                    <xdr:rowOff>7620</xdr:rowOff>
                  </from>
                  <to>
                    <xdr:col>3</xdr:col>
                    <xdr:colOff>975360</xdr:colOff>
                    <xdr:row>14</xdr:row>
                    <xdr:rowOff>213360</xdr:rowOff>
                  </to>
                </anchor>
              </controlPr>
            </control>
          </mc:Choice>
        </mc:AlternateContent>
        <mc:AlternateContent xmlns:mc="http://schemas.openxmlformats.org/markup-compatibility/2006">
          <mc:Choice Requires="x14">
            <control shapeId="16393" r:id="rId19" name="Drop Down 9">
              <controlPr defaultSize="0" autoLine="0" autoPict="0">
                <anchor moveWithCells="1">
                  <from>
                    <xdr:col>3</xdr:col>
                    <xdr:colOff>7620</xdr:colOff>
                    <xdr:row>15</xdr:row>
                    <xdr:rowOff>7620</xdr:rowOff>
                  </from>
                  <to>
                    <xdr:col>3</xdr:col>
                    <xdr:colOff>975360</xdr:colOff>
                    <xdr:row>15</xdr:row>
                    <xdr:rowOff>213360</xdr:rowOff>
                  </to>
                </anchor>
              </controlPr>
            </control>
          </mc:Choice>
        </mc:AlternateContent>
        <mc:AlternateContent xmlns:mc="http://schemas.openxmlformats.org/markup-compatibility/2006">
          <mc:Choice Requires="x14">
            <control shapeId="16394" r:id="rId20" name="Drop Down 10">
              <controlPr defaultSize="0" autoLine="0" autoPict="0">
                <anchor moveWithCells="1">
                  <from>
                    <xdr:col>3</xdr:col>
                    <xdr:colOff>7620</xdr:colOff>
                    <xdr:row>16</xdr:row>
                    <xdr:rowOff>7620</xdr:rowOff>
                  </from>
                  <to>
                    <xdr:col>3</xdr:col>
                    <xdr:colOff>975360</xdr:colOff>
                    <xdr:row>16</xdr:row>
                    <xdr:rowOff>213360</xdr:rowOff>
                  </to>
                </anchor>
              </controlPr>
            </control>
          </mc:Choice>
        </mc:AlternateContent>
        <mc:AlternateContent xmlns:mc="http://schemas.openxmlformats.org/markup-compatibility/2006">
          <mc:Choice Requires="x14">
            <control shapeId="16395" r:id="rId21" name="Drop Down 11">
              <controlPr defaultSize="0" autoLine="0" autoPict="0">
                <anchor moveWithCells="1">
                  <from>
                    <xdr:col>3</xdr:col>
                    <xdr:colOff>7620</xdr:colOff>
                    <xdr:row>17</xdr:row>
                    <xdr:rowOff>7620</xdr:rowOff>
                  </from>
                  <to>
                    <xdr:col>3</xdr:col>
                    <xdr:colOff>975360</xdr:colOff>
                    <xdr:row>17</xdr:row>
                    <xdr:rowOff>213360</xdr:rowOff>
                  </to>
                </anchor>
              </controlPr>
            </control>
          </mc:Choice>
        </mc:AlternateContent>
        <mc:AlternateContent xmlns:mc="http://schemas.openxmlformats.org/markup-compatibility/2006">
          <mc:Choice Requires="x14">
            <control shapeId="16396" r:id="rId22" name="Drop Down 12">
              <controlPr defaultSize="0" autoLine="0" autoPict="0">
                <anchor moveWithCells="1">
                  <from>
                    <xdr:col>3</xdr:col>
                    <xdr:colOff>7620</xdr:colOff>
                    <xdr:row>21</xdr:row>
                    <xdr:rowOff>7620</xdr:rowOff>
                  </from>
                  <to>
                    <xdr:col>3</xdr:col>
                    <xdr:colOff>975360</xdr:colOff>
                    <xdr:row>21</xdr:row>
                    <xdr:rowOff>213360</xdr:rowOff>
                  </to>
                </anchor>
              </controlPr>
            </control>
          </mc:Choice>
        </mc:AlternateContent>
        <mc:AlternateContent xmlns:mc="http://schemas.openxmlformats.org/markup-compatibility/2006">
          <mc:Choice Requires="x14">
            <control shapeId="16397" r:id="rId23" name="Drop Down 13">
              <controlPr defaultSize="0" autoLine="0" autoPict="0">
                <anchor moveWithCells="1">
                  <from>
                    <xdr:col>3</xdr:col>
                    <xdr:colOff>7620</xdr:colOff>
                    <xdr:row>18</xdr:row>
                    <xdr:rowOff>7620</xdr:rowOff>
                  </from>
                  <to>
                    <xdr:col>3</xdr:col>
                    <xdr:colOff>975360</xdr:colOff>
                    <xdr:row>18</xdr:row>
                    <xdr:rowOff>213360</xdr:rowOff>
                  </to>
                </anchor>
              </controlPr>
            </control>
          </mc:Choice>
        </mc:AlternateContent>
        <mc:AlternateContent xmlns:mc="http://schemas.openxmlformats.org/markup-compatibility/2006">
          <mc:Choice Requires="x14">
            <control shapeId="16398" r:id="rId24" name="Drop Down 14">
              <controlPr defaultSize="0" autoLine="0" autoPict="0">
                <anchor moveWithCells="1">
                  <from>
                    <xdr:col>3</xdr:col>
                    <xdr:colOff>7620</xdr:colOff>
                    <xdr:row>19</xdr:row>
                    <xdr:rowOff>7620</xdr:rowOff>
                  </from>
                  <to>
                    <xdr:col>3</xdr:col>
                    <xdr:colOff>975360</xdr:colOff>
                    <xdr:row>19</xdr:row>
                    <xdr:rowOff>213360</xdr:rowOff>
                  </to>
                </anchor>
              </controlPr>
            </control>
          </mc:Choice>
        </mc:AlternateContent>
        <mc:AlternateContent xmlns:mc="http://schemas.openxmlformats.org/markup-compatibility/2006">
          <mc:Choice Requires="x14">
            <control shapeId="16399" r:id="rId25" name="Drop Down 15">
              <controlPr defaultSize="0" autoLine="0" autoPict="0">
                <anchor moveWithCells="1">
                  <from>
                    <xdr:col>3</xdr:col>
                    <xdr:colOff>7620</xdr:colOff>
                    <xdr:row>20</xdr:row>
                    <xdr:rowOff>7620</xdr:rowOff>
                  </from>
                  <to>
                    <xdr:col>3</xdr:col>
                    <xdr:colOff>975360</xdr:colOff>
                    <xdr:row>20</xdr:row>
                    <xdr:rowOff>213360</xdr:rowOff>
                  </to>
                </anchor>
              </controlPr>
            </control>
          </mc:Choice>
        </mc:AlternateContent>
        <mc:AlternateContent xmlns:mc="http://schemas.openxmlformats.org/markup-compatibility/2006">
          <mc:Choice Requires="x14">
            <control shapeId="16400" r:id="rId26" name="Check Box 16">
              <controlPr defaultSize="0" autoFill="0" autoLine="0" autoPict="0">
                <anchor moveWithCells="1">
                  <from>
                    <xdr:col>3</xdr:col>
                    <xdr:colOff>381000</xdr:colOff>
                    <xdr:row>44</xdr:row>
                    <xdr:rowOff>0</xdr:rowOff>
                  </from>
                  <to>
                    <xdr:col>3</xdr:col>
                    <xdr:colOff>693420</xdr:colOff>
                    <xdr:row>45</xdr:row>
                    <xdr:rowOff>0</xdr:rowOff>
                  </to>
                </anchor>
              </controlPr>
            </control>
          </mc:Choice>
        </mc:AlternateContent>
        <mc:AlternateContent xmlns:mc="http://schemas.openxmlformats.org/markup-compatibility/2006">
          <mc:Choice Requires="x14">
            <control shapeId="16401" r:id="rId27" name="Drop Down 17">
              <controlPr defaultSize="0" autoLine="0" autoPict="0">
                <anchor moveWithCells="1">
                  <from>
                    <xdr:col>3</xdr:col>
                    <xdr:colOff>7620</xdr:colOff>
                    <xdr:row>22</xdr:row>
                    <xdr:rowOff>7620</xdr:rowOff>
                  </from>
                  <to>
                    <xdr:col>3</xdr:col>
                    <xdr:colOff>975360</xdr:colOff>
                    <xdr:row>22</xdr:row>
                    <xdr:rowOff>213360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H242"/>
  <sheetViews>
    <sheetView zoomScale="120" zoomScaleNormal="120" workbookViewId="0">
      <pane ySplit="1" topLeftCell="A2" activePane="bottomLeft" state="frozen"/>
      <selection pane="bottomLeft" activeCell="F214" sqref="F214"/>
    </sheetView>
  </sheetViews>
  <sheetFormatPr defaultRowHeight="13.2" x14ac:dyDescent="0.25"/>
  <cols>
    <col min="1" max="1" width="43.77734375" customWidth="1"/>
    <col min="2" max="2" width="15.77734375" customWidth="1"/>
    <col min="3" max="3" width="11.21875" customWidth="1"/>
    <col min="4" max="4" width="7.5546875" customWidth="1"/>
    <col min="5" max="5" width="8.5546875" customWidth="1"/>
    <col min="6" max="6" width="6.77734375" style="4" customWidth="1"/>
    <col min="7" max="7" width="7.88671875" style="4" bestFit="1" customWidth="1"/>
    <col min="8" max="8" width="52.88671875" customWidth="1"/>
    <col min="9" max="9" width="68.109375" customWidth="1"/>
    <col min="10" max="28" width="4.88671875" customWidth="1"/>
    <col min="33" max="33" width="10.109375" customWidth="1"/>
  </cols>
  <sheetData>
    <row r="1" spans="1:8" s="78" customFormat="1" ht="40.799999999999997" customHeight="1" x14ac:dyDescent="0.25">
      <c r="A1" s="80" t="s">
        <v>1410</v>
      </c>
      <c r="B1" s="80" t="s">
        <v>1359</v>
      </c>
      <c r="C1" s="80" t="s">
        <v>1409</v>
      </c>
      <c r="D1" s="80" t="s">
        <v>1648</v>
      </c>
      <c r="E1" s="80" t="s">
        <v>1643</v>
      </c>
      <c r="F1" s="80" t="s">
        <v>1638</v>
      </c>
      <c r="G1" s="80" t="s">
        <v>1605</v>
      </c>
      <c r="H1" s="80" t="s">
        <v>1358</v>
      </c>
    </row>
    <row r="2" spans="1:8" s="78" customFormat="1" hidden="1" x14ac:dyDescent="0.25">
      <c r="A2" s="20" t="s">
        <v>1452</v>
      </c>
      <c r="B2" s="20" t="s">
        <v>1360</v>
      </c>
      <c r="C2" s="41" t="s">
        <v>89</v>
      </c>
      <c r="D2" s="107">
        <v>0.76</v>
      </c>
      <c r="E2" s="107">
        <v>0.1</v>
      </c>
      <c r="F2" s="105">
        <f>(grains_table[[#This Row],[Extract %]]*46.214)/1000+1</f>
        <v>1.03512264</v>
      </c>
      <c r="G2" s="4">
        <v>3.3</v>
      </c>
      <c r="H2" s="98" t="s">
        <v>1401</v>
      </c>
    </row>
    <row r="3" spans="1:8" s="78" customFormat="1" hidden="1" x14ac:dyDescent="0.25">
      <c r="A3" s="20" t="s">
        <v>1453</v>
      </c>
      <c r="B3" s="20" t="s">
        <v>1405</v>
      </c>
      <c r="C3" s="41" t="s">
        <v>89</v>
      </c>
      <c r="D3" s="107">
        <v>0.76</v>
      </c>
      <c r="E3" s="107">
        <v>0.08</v>
      </c>
      <c r="F3" s="105">
        <f>(grains_table[[#This Row],[Extract %]]*46.214)/1000+1</f>
        <v>1.03512264</v>
      </c>
      <c r="G3" s="4">
        <v>4</v>
      </c>
      <c r="H3" s="99" t="s">
        <v>1440</v>
      </c>
    </row>
    <row r="4" spans="1:8" ht="13.2" hidden="1" customHeight="1" x14ac:dyDescent="0.25">
      <c r="A4" s="20" t="s">
        <v>2065</v>
      </c>
      <c r="B4" t="s">
        <v>2035</v>
      </c>
      <c r="C4" s="4" t="s">
        <v>89</v>
      </c>
      <c r="D4" s="104">
        <v>0.26</v>
      </c>
      <c r="E4" s="104">
        <v>6.5000000000000002E-2</v>
      </c>
      <c r="F4" s="105">
        <f>(grains_table[[#This Row],[Extract %]]*46.214)/1000+1</f>
        <v>1.01201564</v>
      </c>
      <c r="G4" s="4">
        <v>2.2000000000000002</v>
      </c>
      <c r="H4" s="98" t="s">
        <v>2036</v>
      </c>
    </row>
    <row r="5" spans="1:8" ht="13.2" hidden="1" customHeight="1" x14ac:dyDescent="0.25">
      <c r="A5" s="20" t="s">
        <v>1649</v>
      </c>
      <c r="B5" s="20" t="s">
        <v>1363</v>
      </c>
      <c r="C5" s="41" t="s">
        <v>89</v>
      </c>
      <c r="D5" s="107">
        <v>0.79</v>
      </c>
      <c r="E5" s="107">
        <v>4.4999999999999998E-2</v>
      </c>
      <c r="F5" s="105">
        <f>(grains_table[[#This Row],[Extract %]]*46.214)/1000+1</f>
        <v>1.03650906</v>
      </c>
      <c r="G5" s="4">
        <v>19</v>
      </c>
      <c r="H5" s="98" t="s">
        <v>1398</v>
      </c>
    </row>
    <row r="6" spans="1:8" ht="13.2" hidden="1" customHeight="1" x14ac:dyDescent="0.25">
      <c r="A6" s="20" t="s">
        <v>1602</v>
      </c>
      <c r="B6" s="20" t="s">
        <v>1361</v>
      </c>
      <c r="C6" s="41" t="s">
        <v>89</v>
      </c>
      <c r="D6" s="107">
        <v>0.7</v>
      </c>
      <c r="E6" s="107">
        <v>0.05</v>
      </c>
      <c r="F6" s="105">
        <f>(grains_table[[#This Row],[Extract %]]*46.214)/1000+1</f>
        <v>1.0323498</v>
      </c>
      <c r="G6" s="4">
        <v>22.8</v>
      </c>
      <c r="H6" s="98" t="s">
        <v>1376</v>
      </c>
    </row>
    <row r="7" spans="1:8" ht="13.2" hidden="1" customHeight="1" x14ac:dyDescent="0.25">
      <c r="A7" s="20" t="s">
        <v>1454</v>
      </c>
      <c r="B7" s="20" t="s">
        <v>1363</v>
      </c>
      <c r="C7" s="41" t="s">
        <v>89</v>
      </c>
      <c r="D7" s="107">
        <v>0.77</v>
      </c>
      <c r="E7" s="107">
        <v>4.4999999999999998E-2</v>
      </c>
      <c r="F7" s="105">
        <f>(grains_table[[#This Row],[Extract %]]*46.214)/1000+1</f>
        <v>1.03558478</v>
      </c>
      <c r="G7" s="4">
        <v>38</v>
      </c>
      <c r="H7" s="98" t="s">
        <v>1398</v>
      </c>
    </row>
    <row r="8" spans="1:8" ht="13.2" hidden="1" customHeight="1" x14ac:dyDescent="0.25">
      <c r="A8" s="20" t="s">
        <v>1625</v>
      </c>
      <c r="B8" s="20" t="s">
        <v>1363</v>
      </c>
      <c r="C8" s="41" t="s">
        <v>89</v>
      </c>
      <c r="D8" s="107">
        <v>0.77</v>
      </c>
      <c r="E8" s="107">
        <v>4.4999999999999998E-2</v>
      </c>
      <c r="F8" s="105">
        <f>(grains_table[[#This Row],[Extract %]]*46.214)/1000+1</f>
        <v>1.03558478</v>
      </c>
      <c r="G8" s="4">
        <v>57</v>
      </c>
      <c r="H8" s="98" t="s">
        <v>1398</v>
      </c>
    </row>
    <row r="9" spans="1:8" ht="13.2" hidden="1" customHeight="1" x14ac:dyDescent="0.25">
      <c r="A9" s="20" t="s">
        <v>2039</v>
      </c>
      <c r="B9" t="s">
        <v>2035</v>
      </c>
      <c r="C9" s="4" t="s">
        <v>89</v>
      </c>
      <c r="D9" s="104">
        <v>0.81</v>
      </c>
      <c r="E9" s="104">
        <v>0.03</v>
      </c>
      <c r="F9" s="105">
        <f>(grains_table[[#This Row],[Extract %]]*46.214)/1000+1</f>
        <v>1.03743334</v>
      </c>
      <c r="G9" s="4">
        <v>17.8</v>
      </c>
      <c r="H9" s="98" t="s">
        <v>2036</v>
      </c>
    </row>
    <row r="10" spans="1:8" ht="13.2" hidden="1" customHeight="1" x14ac:dyDescent="0.25">
      <c r="A10" s="20" t="s">
        <v>1626</v>
      </c>
      <c r="B10" s="20" t="s">
        <v>1360</v>
      </c>
      <c r="C10" s="41" t="s">
        <v>89</v>
      </c>
      <c r="D10" s="107">
        <v>0.78</v>
      </c>
      <c r="E10" s="107">
        <v>7.0000000000000007E-2</v>
      </c>
      <c r="F10" s="105">
        <f>(grains_table[[#This Row],[Extract %]]*46.214)/1000+1</f>
        <v>1.03604692</v>
      </c>
      <c r="G10" s="4">
        <v>1.8</v>
      </c>
      <c r="H10" s="98" t="s">
        <v>1401</v>
      </c>
    </row>
    <row r="11" spans="1:8" ht="13.2" hidden="1" customHeight="1" x14ac:dyDescent="0.25">
      <c r="A11" s="20" t="s">
        <v>1650</v>
      </c>
      <c r="B11" s="20" t="s">
        <v>1363</v>
      </c>
      <c r="C11" s="41" t="s">
        <v>89</v>
      </c>
      <c r="D11" s="107">
        <v>0.75</v>
      </c>
      <c r="E11" s="107">
        <v>4.4999999999999998E-2</v>
      </c>
      <c r="F11" s="105">
        <f>(grains_table[[#This Row],[Extract %]]*46.214)/1000+1</f>
        <v>1.0346605</v>
      </c>
      <c r="G11" s="4">
        <v>23</v>
      </c>
      <c r="H11" s="98" t="s">
        <v>1400</v>
      </c>
    </row>
    <row r="12" spans="1:8" ht="13.2" hidden="1" customHeight="1" x14ac:dyDescent="0.25">
      <c r="A12" s="20" t="s">
        <v>2040</v>
      </c>
      <c r="B12" t="s">
        <v>2035</v>
      </c>
      <c r="C12" s="4" t="s">
        <v>89</v>
      </c>
      <c r="D12" s="104">
        <v>0.74</v>
      </c>
      <c r="E12" s="104">
        <v>0.05</v>
      </c>
      <c r="F12" s="105">
        <f>(grains_table[[#This Row],[Extract %]]*46.214)/1000+1</f>
        <v>1.03419836</v>
      </c>
      <c r="G12" s="4">
        <v>24.9</v>
      </c>
      <c r="H12" s="98" t="s">
        <v>2036</v>
      </c>
    </row>
    <row r="13" spans="1:8" ht="13.2" hidden="1" customHeight="1" x14ac:dyDescent="0.25">
      <c r="A13" s="20" t="s">
        <v>2041</v>
      </c>
      <c r="B13" t="s">
        <v>2035</v>
      </c>
      <c r="C13" s="4" t="s">
        <v>89</v>
      </c>
      <c r="D13" s="104">
        <v>0.74</v>
      </c>
      <c r="E13" s="104">
        <v>0.05</v>
      </c>
      <c r="F13" s="105">
        <f>(grains_table[[#This Row],[Extract %]]*46.214)/1000+1</f>
        <v>1.03419836</v>
      </c>
      <c r="G13" s="4">
        <v>64.3</v>
      </c>
      <c r="H13" s="98" t="s">
        <v>2036</v>
      </c>
    </row>
    <row r="14" spans="1:8" ht="13.2" hidden="1" customHeight="1" x14ac:dyDescent="0.25">
      <c r="A14" s="20" t="s">
        <v>1644</v>
      </c>
      <c r="B14" s="20" t="s">
        <v>1362</v>
      </c>
      <c r="C14" s="41" t="s">
        <v>89</v>
      </c>
      <c r="D14" s="107">
        <v>0.72</v>
      </c>
      <c r="E14" s="107">
        <v>2.5000000000000001E-2</v>
      </c>
      <c r="F14" s="105">
        <f>(grains_table[[#This Row],[Extract %]]*46.214)/1000+1</f>
        <v>1.03327408</v>
      </c>
      <c r="G14" s="4">
        <v>40</v>
      </c>
      <c r="H14" s="98" t="s">
        <v>1609</v>
      </c>
    </row>
    <row r="15" spans="1:8" ht="13.2" hidden="1" customHeight="1" x14ac:dyDescent="0.25">
      <c r="A15" s="20" t="s">
        <v>1645</v>
      </c>
      <c r="B15" s="20" t="s">
        <v>1362</v>
      </c>
      <c r="C15" s="41" t="s">
        <v>89</v>
      </c>
      <c r="D15" s="107">
        <v>0.75</v>
      </c>
      <c r="E15" s="107">
        <v>2.5000000000000001E-2</v>
      </c>
      <c r="F15" s="105">
        <f>(grains_table[[#This Row],[Extract %]]*46.214)/1000+1</f>
        <v>1.0346605</v>
      </c>
      <c r="G15" s="4">
        <v>28</v>
      </c>
      <c r="H15" s="98" t="s">
        <v>1415</v>
      </c>
    </row>
    <row r="16" spans="1:8" ht="13.2" hidden="1" customHeight="1" x14ac:dyDescent="0.25">
      <c r="A16" s="20" t="s">
        <v>2070</v>
      </c>
      <c r="B16" t="s">
        <v>2035</v>
      </c>
      <c r="C16" s="4" t="s">
        <v>89</v>
      </c>
      <c r="D16" s="104">
        <v>0.74</v>
      </c>
      <c r="E16" s="104">
        <v>2.5000000000000001E-2</v>
      </c>
      <c r="F16" s="105">
        <f>(grains_table[[#This Row],[Extract %]]*46.214)/1000+1</f>
        <v>1.03419836</v>
      </c>
      <c r="G16" s="4">
        <v>525.6</v>
      </c>
      <c r="H16" s="98" t="s">
        <v>2036</v>
      </c>
    </row>
    <row r="17" spans="1:8" ht="13.2" hidden="1" customHeight="1" x14ac:dyDescent="0.25">
      <c r="A17" s="20" t="s">
        <v>1652</v>
      </c>
      <c r="B17" s="20" t="s">
        <v>1363</v>
      </c>
      <c r="C17" s="41" t="s">
        <v>89</v>
      </c>
      <c r="D17" s="107">
        <v>0.7</v>
      </c>
      <c r="E17" s="107">
        <v>4.4999999999999998E-2</v>
      </c>
      <c r="F17" s="105">
        <f>(grains_table[[#This Row],[Extract %]]*46.214)/1000+1</f>
        <v>1.0323498</v>
      </c>
      <c r="G17" s="4">
        <v>530</v>
      </c>
      <c r="H17" s="99" t="s">
        <v>1400</v>
      </c>
    </row>
    <row r="18" spans="1:8" ht="13.2" hidden="1" customHeight="1" x14ac:dyDescent="0.25">
      <c r="A18" s="20" t="s">
        <v>1624</v>
      </c>
      <c r="B18" s="20" t="s">
        <v>1405</v>
      </c>
      <c r="C18" s="41" t="s">
        <v>89</v>
      </c>
      <c r="D18" s="107">
        <v>0.75</v>
      </c>
      <c r="E18" s="107">
        <v>4.4999999999999998E-2</v>
      </c>
      <c r="F18" s="105">
        <f>(grains_table[[#This Row],[Extract %]]*46.214)/1000+1</f>
        <v>1.0346605</v>
      </c>
      <c r="G18" s="4">
        <v>27</v>
      </c>
      <c r="H18" s="98" t="s">
        <v>1432</v>
      </c>
    </row>
    <row r="19" spans="1:8" ht="13.2" hidden="1" customHeight="1" x14ac:dyDescent="0.25">
      <c r="A19" s="20" t="s">
        <v>1623</v>
      </c>
      <c r="B19" s="20" t="s">
        <v>1405</v>
      </c>
      <c r="C19" s="41" t="s">
        <v>89</v>
      </c>
      <c r="D19" s="107">
        <v>0.75</v>
      </c>
      <c r="E19" s="107">
        <v>4.4999999999999998E-2</v>
      </c>
      <c r="F19" s="105">
        <f>(grains_table[[#This Row],[Extract %]]*46.214)/1000+1</f>
        <v>1.0346605</v>
      </c>
      <c r="G19" s="4">
        <v>19.5</v>
      </c>
      <c r="H19" s="98" t="s">
        <v>1431</v>
      </c>
    </row>
    <row r="20" spans="1:8" ht="13.2" hidden="1" customHeight="1" x14ac:dyDescent="0.25">
      <c r="A20" s="20" t="s">
        <v>1622</v>
      </c>
      <c r="B20" s="20" t="s">
        <v>1405</v>
      </c>
      <c r="C20" s="41" t="s">
        <v>89</v>
      </c>
      <c r="D20" s="107">
        <v>0.75</v>
      </c>
      <c r="E20" s="107">
        <v>4.4999999999999998E-2</v>
      </c>
      <c r="F20" s="105">
        <f>(grains_table[[#This Row],[Extract %]]*46.214)/1000+1</f>
        <v>1.0346605</v>
      </c>
      <c r="G20" s="4">
        <v>12</v>
      </c>
      <c r="H20" s="98" t="s">
        <v>1430</v>
      </c>
    </row>
    <row r="21" spans="1:8" ht="13.2" hidden="1" customHeight="1" x14ac:dyDescent="0.25">
      <c r="A21" s="20" t="s">
        <v>1621</v>
      </c>
      <c r="B21" s="20" t="s">
        <v>1405</v>
      </c>
      <c r="C21" s="41" t="s">
        <v>89</v>
      </c>
      <c r="D21" s="107">
        <v>0.75</v>
      </c>
      <c r="E21" s="107">
        <v>4.4999999999999998E-2</v>
      </c>
      <c r="F21" s="105">
        <f>(grains_table[[#This Row],[Extract %]]*46.214)/1000+1</f>
        <v>1.0346605</v>
      </c>
      <c r="G21" s="4">
        <v>5.4</v>
      </c>
      <c r="H21" s="98" t="s">
        <v>1434</v>
      </c>
    </row>
    <row r="22" spans="1:8" ht="13.2" hidden="1" customHeight="1" x14ac:dyDescent="0.25">
      <c r="A22" s="20" t="s">
        <v>1620</v>
      </c>
      <c r="B22" s="20" t="s">
        <v>1405</v>
      </c>
      <c r="C22" s="41" t="s">
        <v>89</v>
      </c>
      <c r="D22" s="107">
        <v>0.75</v>
      </c>
      <c r="E22" s="107">
        <v>4.4999999999999998E-2</v>
      </c>
      <c r="F22" s="105">
        <f>(grains_table[[#This Row],[Extract %]]*46.214)/1000+1</f>
        <v>1.0346605</v>
      </c>
      <c r="G22" s="4">
        <v>45.5</v>
      </c>
      <c r="H22" s="98" t="s">
        <v>1435</v>
      </c>
    </row>
    <row r="23" spans="1:8" ht="13.2" hidden="1" customHeight="1" x14ac:dyDescent="0.25">
      <c r="A23" s="20" t="s">
        <v>1619</v>
      </c>
      <c r="B23" s="20" t="s">
        <v>1405</v>
      </c>
      <c r="C23" s="41" t="s">
        <v>89</v>
      </c>
      <c r="D23" s="107">
        <v>0.75</v>
      </c>
      <c r="E23" s="107">
        <v>4.4999999999999998E-2</v>
      </c>
      <c r="F23" s="105">
        <f>(grains_table[[#This Row],[Extract %]]*46.214)/1000+1</f>
        <v>1.0346605</v>
      </c>
      <c r="G23" s="4">
        <v>63</v>
      </c>
      <c r="H23" s="98" t="s">
        <v>1436</v>
      </c>
    </row>
    <row r="24" spans="1:8" ht="13.2" hidden="1" customHeight="1" x14ac:dyDescent="0.25">
      <c r="A24" s="20" t="s">
        <v>1618</v>
      </c>
      <c r="B24" s="20" t="s">
        <v>1405</v>
      </c>
      <c r="C24" s="41" t="s">
        <v>89</v>
      </c>
      <c r="D24" s="107">
        <v>0.75</v>
      </c>
      <c r="E24" s="107">
        <v>4.4999999999999998E-2</v>
      </c>
      <c r="F24" s="105">
        <f>(grains_table[[#This Row],[Extract %]]*46.214)/1000+1</f>
        <v>1.0346605</v>
      </c>
      <c r="G24" s="4">
        <v>2.35</v>
      </c>
      <c r="H24" s="98" t="s">
        <v>1433</v>
      </c>
    </row>
    <row r="25" spans="1:8" ht="13.2" hidden="1" customHeight="1" x14ac:dyDescent="0.25">
      <c r="A25" s="20" t="s">
        <v>1455</v>
      </c>
      <c r="B25" s="20" t="s">
        <v>1363</v>
      </c>
      <c r="C25" s="41" t="s">
        <v>89</v>
      </c>
      <c r="D25" s="107">
        <v>0.74</v>
      </c>
      <c r="E25" s="107">
        <v>0.06</v>
      </c>
      <c r="F25" s="105">
        <f>(grains_table[[#This Row],[Extract %]]*46.214)/1000+1</f>
        <v>1.03419836</v>
      </c>
      <c r="G25" s="4">
        <v>45</v>
      </c>
      <c r="H25" s="98" t="s">
        <v>1399</v>
      </c>
    </row>
    <row r="26" spans="1:8" ht="13.2" hidden="1" customHeight="1" x14ac:dyDescent="0.25">
      <c r="A26" s="20" t="s">
        <v>1456</v>
      </c>
      <c r="B26" s="20" t="s">
        <v>1363</v>
      </c>
      <c r="C26" s="41" t="s">
        <v>89</v>
      </c>
      <c r="D26" s="107">
        <v>0.75</v>
      </c>
      <c r="E26" s="107">
        <v>9.5000000000000001E-2</v>
      </c>
      <c r="F26" s="105">
        <f>(grains_table[[#This Row],[Extract %]]*46.214)/1000+1</f>
        <v>1.0346605</v>
      </c>
      <c r="G26" s="4">
        <v>8</v>
      </c>
      <c r="H26" s="98" t="s">
        <v>1399</v>
      </c>
    </row>
    <row r="27" spans="1:8" ht="13.2" hidden="1" customHeight="1" x14ac:dyDescent="0.25">
      <c r="A27" s="20" t="s">
        <v>1457</v>
      </c>
      <c r="B27" s="20" t="s">
        <v>1363</v>
      </c>
      <c r="C27" s="41" t="s">
        <v>89</v>
      </c>
      <c r="D27" s="107">
        <v>0.75</v>
      </c>
      <c r="E27" s="107">
        <v>7.4999999999999997E-2</v>
      </c>
      <c r="F27" s="105">
        <f>(grains_table[[#This Row],[Extract %]]*46.214)/1000+1</f>
        <v>1.0346605</v>
      </c>
      <c r="G27" s="4">
        <v>20</v>
      </c>
      <c r="H27" s="98" t="s">
        <v>1399</v>
      </c>
    </row>
    <row r="28" spans="1:8" ht="13.2" hidden="1" customHeight="1" x14ac:dyDescent="0.25">
      <c r="A28" s="20" t="s">
        <v>1551</v>
      </c>
      <c r="B28" s="20" t="s">
        <v>1360</v>
      </c>
      <c r="C28" s="41" t="s">
        <v>89</v>
      </c>
      <c r="D28" s="107">
        <v>0.74</v>
      </c>
      <c r="E28" s="107">
        <v>7.0000000000000007E-2</v>
      </c>
      <c r="F28" s="105">
        <f>(grains_table[[#This Row],[Extract %]]*46.214)/1000+1</f>
        <v>1.03419836</v>
      </c>
      <c r="G28" s="4">
        <v>150</v>
      </c>
      <c r="H28" s="98" t="s">
        <v>1401</v>
      </c>
    </row>
    <row r="29" spans="1:8" ht="13.2" hidden="1" customHeight="1" x14ac:dyDescent="0.25">
      <c r="A29" s="20" t="s">
        <v>1552</v>
      </c>
      <c r="B29" s="20" t="s">
        <v>1360</v>
      </c>
      <c r="C29" s="41" t="s">
        <v>89</v>
      </c>
      <c r="D29" s="107">
        <v>0.74</v>
      </c>
      <c r="E29" s="107">
        <v>0.09</v>
      </c>
      <c r="F29" s="105">
        <f>(grains_table[[#This Row],[Extract %]]*46.214)/1000+1</f>
        <v>1.03419836</v>
      </c>
      <c r="G29" s="4">
        <v>12.75</v>
      </c>
      <c r="H29" s="98" t="s">
        <v>1401</v>
      </c>
    </row>
    <row r="30" spans="1:8" ht="13.2" hidden="1" customHeight="1" x14ac:dyDescent="0.25">
      <c r="A30" s="20" t="s">
        <v>1458</v>
      </c>
      <c r="B30" s="20" t="s">
        <v>1362</v>
      </c>
      <c r="C30" s="41" t="s">
        <v>89</v>
      </c>
      <c r="D30" s="107">
        <v>0.78</v>
      </c>
      <c r="E30" s="107">
        <v>0.04</v>
      </c>
      <c r="F30" s="105">
        <f>(grains_table[[#This Row],[Extract %]]*46.214)/1000+1</f>
        <v>1.03604692</v>
      </c>
      <c r="G30" s="4">
        <v>55</v>
      </c>
      <c r="H30" s="98" t="s">
        <v>1404</v>
      </c>
    </row>
    <row r="31" spans="1:8" ht="13.2" hidden="1" customHeight="1" x14ac:dyDescent="0.25">
      <c r="A31" s="20" t="s">
        <v>1583</v>
      </c>
      <c r="B31" s="20" t="s">
        <v>1360</v>
      </c>
      <c r="C31" s="41" t="s">
        <v>89</v>
      </c>
      <c r="D31" s="107">
        <v>0.65</v>
      </c>
      <c r="E31" s="107">
        <v>3.7999999999999999E-2</v>
      </c>
      <c r="F31" s="105">
        <f>(grains_table[[#This Row],[Extract %]]*46.214)/1000+1</f>
        <v>1.0300391</v>
      </c>
      <c r="G31" s="4">
        <v>337.5</v>
      </c>
      <c r="H31" s="98" t="s">
        <v>1401</v>
      </c>
    </row>
    <row r="32" spans="1:8" ht="13.2" hidden="1" customHeight="1" x14ac:dyDescent="0.25">
      <c r="A32" s="20" t="s">
        <v>1582</v>
      </c>
      <c r="B32" s="20" t="s">
        <v>1360</v>
      </c>
      <c r="C32" s="41" t="s">
        <v>89</v>
      </c>
      <c r="D32" s="107">
        <v>0.65</v>
      </c>
      <c r="E32" s="107">
        <v>3.7999999999999999E-2</v>
      </c>
      <c r="F32" s="105">
        <f>(grains_table[[#This Row],[Extract %]]*46.214)/1000+1</f>
        <v>1.0300391</v>
      </c>
      <c r="G32" s="4">
        <v>431.5</v>
      </c>
      <c r="H32" s="98" t="s">
        <v>1401</v>
      </c>
    </row>
    <row r="33" spans="1:8" ht="13.2" hidden="1" customHeight="1" x14ac:dyDescent="0.25">
      <c r="A33" s="20" t="s">
        <v>1581</v>
      </c>
      <c r="B33" s="20" t="s">
        <v>1360</v>
      </c>
      <c r="C33" s="41" t="s">
        <v>89</v>
      </c>
      <c r="D33" s="107">
        <v>0.65</v>
      </c>
      <c r="E33" s="107">
        <v>3.7999999999999999E-2</v>
      </c>
      <c r="F33" s="105">
        <f>(grains_table[[#This Row],[Extract %]]*46.214)/1000+1</f>
        <v>1.0300391</v>
      </c>
      <c r="G33" s="4">
        <v>525.5</v>
      </c>
      <c r="H33" s="98" t="s">
        <v>1401</v>
      </c>
    </row>
    <row r="34" spans="1:8" ht="13.2" hidden="1" customHeight="1" x14ac:dyDescent="0.25">
      <c r="A34" s="20" t="s">
        <v>1584</v>
      </c>
      <c r="B34" s="20" t="s">
        <v>1360</v>
      </c>
      <c r="C34" s="41" t="s">
        <v>89</v>
      </c>
      <c r="D34" s="107">
        <v>0.65</v>
      </c>
      <c r="E34" s="107">
        <v>3.7999999999999999E-2</v>
      </c>
      <c r="F34" s="105">
        <f>(grains_table[[#This Row],[Extract %]]*46.214)/1000+1</f>
        <v>1.0300391</v>
      </c>
      <c r="G34" s="4">
        <v>337.5</v>
      </c>
      <c r="H34" s="98" t="s">
        <v>1401</v>
      </c>
    </row>
    <row r="35" spans="1:8" ht="13.2" hidden="1" customHeight="1" x14ac:dyDescent="0.25">
      <c r="A35" s="20" t="s">
        <v>1585</v>
      </c>
      <c r="B35" s="20" t="s">
        <v>1360</v>
      </c>
      <c r="C35" s="41" t="s">
        <v>89</v>
      </c>
      <c r="D35" s="107">
        <v>0.65</v>
      </c>
      <c r="E35" s="107">
        <v>3.7999999999999999E-2</v>
      </c>
      <c r="F35" s="105">
        <f>(grains_table[[#This Row],[Extract %]]*46.214)/1000+1</f>
        <v>1.0300391</v>
      </c>
      <c r="G35" s="4">
        <v>431.5</v>
      </c>
      <c r="H35" s="98" t="s">
        <v>1401</v>
      </c>
    </row>
    <row r="36" spans="1:8" ht="13.2" hidden="1" customHeight="1" x14ac:dyDescent="0.25">
      <c r="A36" s="20" t="s">
        <v>1586</v>
      </c>
      <c r="B36" s="20" t="s">
        <v>1360</v>
      </c>
      <c r="C36" s="41" t="s">
        <v>89</v>
      </c>
      <c r="D36" s="107">
        <v>0.65</v>
      </c>
      <c r="E36" s="107">
        <v>3.7999999999999999E-2</v>
      </c>
      <c r="F36" s="105">
        <f>(grains_table[[#This Row],[Extract %]]*46.214)/1000+1</f>
        <v>1.0300391</v>
      </c>
      <c r="G36" s="4">
        <v>525.5</v>
      </c>
      <c r="H36" s="98" t="s">
        <v>1401</v>
      </c>
    </row>
    <row r="37" spans="1:8" ht="13.2" hidden="1" customHeight="1" x14ac:dyDescent="0.25">
      <c r="A37" s="20" t="s">
        <v>1553</v>
      </c>
      <c r="B37" s="20" t="s">
        <v>1360</v>
      </c>
      <c r="C37" s="41" t="s">
        <v>89</v>
      </c>
      <c r="D37" s="107"/>
      <c r="E37" s="107"/>
      <c r="F37" s="105">
        <f>(grains_table[[#This Row],[Extract %]]*46.214)/1000+1</f>
        <v>1</v>
      </c>
      <c r="G37" s="4">
        <v>2.2000000000000002</v>
      </c>
      <c r="H37" s="98" t="s">
        <v>1401</v>
      </c>
    </row>
    <row r="38" spans="1:8" ht="13.2" hidden="1" customHeight="1" x14ac:dyDescent="0.25">
      <c r="A38" s="20" t="s">
        <v>1554</v>
      </c>
      <c r="B38" s="20" t="s">
        <v>1360</v>
      </c>
      <c r="C38" s="41" t="s">
        <v>89</v>
      </c>
      <c r="D38" s="107">
        <v>0.74</v>
      </c>
      <c r="E38" s="107">
        <v>0.09</v>
      </c>
      <c r="F38" s="105">
        <f>(grains_table[[#This Row],[Extract %]]*46.214)/1000+1</f>
        <v>1.03419836</v>
      </c>
      <c r="G38" s="4">
        <v>9.9499999999999993</v>
      </c>
      <c r="H38" s="98" t="s">
        <v>1401</v>
      </c>
    </row>
    <row r="39" spans="1:8" ht="13.2" hidden="1" customHeight="1" x14ac:dyDescent="0.25">
      <c r="A39" s="20" t="s">
        <v>1459</v>
      </c>
      <c r="B39" s="20" t="s">
        <v>1361</v>
      </c>
      <c r="C39" s="41" t="s">
        <v>89</v>
      </c>
      <c r="D39" s="107">
        <v>0.71</v>
      </c>
      <c r="E39" s="107">
        <v>7.4999999999999997E-2</v>
      </c>
      <c r="F39" s="105">
        <f>(grains_table[[#This Row],[Extract %]]*46.214)/1000+1</f>
        <v>1.03281194</v>
      </c>
      <c r="G39" s="4">
        <v>14.05</v>
      </c>
      <c r="H39" s="98" t="s">
        <v>1378</v>
      </c>
    </row>
    <row r="40" spans="1:8" ht="13.2" hidden="1" customHeight="1" x14ac:dyDescent="0.25">
      <c r="A40" s="20" t="s">
        <v>1555</v>
      </c>
      <c r="B40" s="20" t="s">
        <v>1360</v>
      </c>
      <c r="C40" s="41" t="s">
        <v>89</v>
      </c>
      <c r="D40" s="107">
        <v>0.75</v>
      </c>
      <c r="E40" s="107">
        <v>4.4999999999999998E-2</v>
      </c>
      <c r="F40" s="105">
        <f>(grains_table[[#This Row],[Extract %]]*46.214)/1000+1</f>
        <v>1.0346605</v>
      </c>
      <c r="G40" s="4">
        <v>27</v>
      </c>
      <c r="H40" s="98" t="s">
        <v>1401</v>
      </c>
    </row>
    <row r="41" spans="1:8" ht="13.2" hidden="1" customHeight="1" x14ac:dyDescent="0.25">
      <c r="A41" s="20" t="s">
        <v>1460</v>
      </c>
      <c r="B41" s="20" t="s">
        <v>1362</v>
      </c>
      <c r="C41" s="41" t="s">
        <v>89</v>
      </c>
      <c r="D41" s="107">
        <v>0.77</v>
      </c>
      <c r="E41" s="107">
        <v>7.0000000000000007E-2</v>
      </c>
      <c r="F41" s="105">
        <f>(grains_table[[#This Row],[Extract %]]*46.214)/1000+1</f>
        <v>1.03558478</v>
      </c>
      <c r="G41" s="4">
        <v>10</v>
      </c>
      <c r="H41" s="99" t="s">
        <v>1404</v>
      </c>
    </row>
    <row r="42" spans="1:8" ht="13.2" hidden="1" customHeight="1" x14ac:dyDescent="0.25">
      <c r="A42" s="20" t="s">
        <v>1461</v>
      </c>
      <c r="B42" s="20" t="s">
        <v>1362</v>
      </c>
      <c r="C42" s="41" t="s">
        <v>89</v>
      </c>
      <c r="D42" s="107">
        <v>0.75</v>
      </c>
      <c r="E42" s="107">
        <v>0.03</v>
      </c>
      <c r="F42" s="105">
        <f>(grains_table[[#This Row],[Extract %]]*46.214)/1000+1</f>
        <v>1.0346605</v>
      </c>
      <c r="G42" s="4">
        <v>120</v>
      </c>
      <c r="H42" s="98" t="s">
        <v>1404</v>
      </c>
    </row>
    <row r="43" spans="1:8" ht="13.2" hidden="1" customHeight="1" x14ac:dyDescent="0.25">
      <c r="A43" s="20" t="s">
        <v>1462</v>
      </c>
      <c r="B43" s="20" t="s">
        <v>1362</v>
      </c>
      <c r="C43" s="41" t="s">
        <v>89</v>
      </c>
      <c r="D43" s="107">
        <v>0.76</v>
      </c>
      <c r="E43" s="107">
        <v>0.06</v>
      </c>
      <c r="F43" s="105">
        <f>(grains_table[[#This Row],[Extract %]]*46.214)/1000+1</f>
        <v>1.03512264</v>
      </c>
      <c r="G43" s="4">
        <v>20</v>
      </c>
      <c r="H43" s="98" t="s">
        <v>1404</v>
      </c>
    </row>
    <row r="44" spans="1:8" ht="13.2" hidden="1" customHeight="1" x14ac:dyDescent="0.25">
      <c r="A44" s="20" t="s">
        <v>1463</v>
      </c>
      <c r="B44" s="20" t="s">
        <v>1362</v>
      </c>
      <c r="C44" s="41" t="s">
        <v>89</v>
      </c>
      <c r="D44" s="107">
        <v>0.77</v>
      </c>
      <c r="E44" s="107">
        <v>5.5E-2</v>
      </c>
      <c r="F44" s="105">
        <f>(grains_table[[#This Row],[Extract %]]*46.214)/1000+1</f>
        <v>1.03558478</v>
      </c>
      <c r="G44" s="4">
        <v>30</v>
      </c>
      <c r="H44" s="99" t="s">
        <v>1404</v>
      </c>
    </row>
    <row r="45" spans="1:8" ht="13.2" hidden="1" customHeight="1" x14ac:dyDescent="0.25">
      <c r="A45" s="20" t="s">
        <v>1464</v>
      </c>
      <c r="B45" s="20" t="s">
        <v>1362</v>
      </c>
      <c r="C45" s="41" t="s">
        <v>89</v>
      </c>
      <c r="D45" s="107">
        <v>0.77</v>
      </c>
      <c r="E45" s="107">
        <v>5.5E-2</v>
      </c>
      <c r="F45" s="105">
        <f>(grains_table[[#This Row],[Extract %]]*46.214)/1000+1</f>
        <v>1.03558478</v>
      </c>
      <c r="G45" s="4">
        <v>40</v>
      </c>
      <c r="H45" s="99" t="s">
        <v>1404</v>
      </c>
    </row>
    <row r="46" spans="1:8" ht="13.2" hidden="1" customHeight="1" x14ac:dyDescent="0.25">
      <c r="A46" s="20" t="s">
        <v>1465</v>
      </c>
      <c r="B46" s="20" t="s">
        <v>1362</v>
      </c>
      <c r="C46" s="41" t="s">
        <v>89</v>
      </c>
      <c r="D46" s="107">
        <v>0.77</v>
      </c>
      <c r="E46" s="107">
        <v>0.05</v>
      </c>
      <c r="F46" s="105">
        <f>(grains_table[[#This Row],[Extract %]]*46.214)/1000+1</f>
        <v>1.03558478</v>
      </c>
      <c r="G46" s="4">
        <v>60</v>
      </c>
      <c r="H46" s="99" t="s">
        <v>1404</v>
      </c>
    </row>
    <row r="47" spans="1:8" ht="13.2" hidden="1" customHeight="1" x14ac:dyDescent="0.25">
      <c r="A47" s="20" t="s">
        <v>1466</v>
      </c>
      <c r="B47" s="20" t="s">
        <v>1362</v>
      </c>
      <c r="C47" s="41" t="s">
        <v>89</v>
      </c>
      <c r="D47" s="107">
        <v>0.76</v>
      </c>
      <c r="E47" s="107">
        <v>4.4999999999999998E-2</v>
      </c>
      <c r="F47" s="105">
        <f>(grains_table[[#This Row],[Extract %]]*46.214)/1000+1</f>
        <v>1.03512264</v>
      </c>
      <c r="G47" s="4">
        <v>80</v>
      </c>
      <c r="H47" s="99" t="s">
        <v>1404</v>
      </c>
    </row>
    <row r="48" spans="1:8" ht="13.2" hidden="1" customHeight="1" x14ac:dyDescent="0.25">
      <c r="A48" s="20" t="s">
        <v>1467</v>
      </c>
      <c r="B48" s="20" t="s">
        <v>1362</v>
      </c>
      <c r="C48" s="41" t="s">
        <v>89</v>
      </c>
      <c r="D48" s="107">
        <v>0.75</v>
      </c>
      <c r="E48" s="107">
        <v>0.04</v>
      </c>
      <c r="F48" s="105">
        <f>(grains_table[[#This Row],[Extract %]]*46.214)/1000+1</f>
        <v>1.0346605</v>
      </c>
      <c r="G48" s="4">
        <v>90</v>
      </c>
      <c r="H48" s="98" t="s">
        <v>1404</v>
      </c>
    </row>
    <row r="49" spans="1:8" ht="13.2" hidden="1" customHeight="1" x14ac:dyDescent="0.25">
      <c r="A49" s="20" t="s">
        <v>1468</v>
      </c>
      <c r="B49" s="20" t="s">
        <v>1362</v>
      </c>
      <c r="C49" s="41" t="s">
        <v>89</v>
      </c>
      <c r="D49" s="107">
        <v>0.77</v>
      </c>
      <c r="E49" s="107">
        <v>3.5000000000000003E-2</v>
      </c>
      <c r="F49" s="105">
        <f>(grains_table[[#This Row],[Extract %]]*46.214)/1000+1</f>
        <v>1.03558478</v>
      </c>
      <c r="G49" s="4">
        <v>60</v>
      </c>
      <c r="H49" s="98" t="s">
        <v>1404</v>
      </c>
    </row>
    <row r="50" spans="1:8" ht="13.2" hidden="1" customHeight="1" x14ac:dyDescent="0.25">
      <c r="A50" s="20" t="s">
        <v>1469</v>
      </c>
      <c r="B50" s="20" t="s">
        <v>1362</v>
      </c>
      <c r="C50" s="41" t="s">
        <v>89</v>
      </c>
      <c r="D50" s="107">
        <v>0.8</v>
      </c>
      <c r="E50" s="107">
        <v>0.05</v>
      </c>
      <c r="F50" s="105">
        <f>(grains_table[[#This Row],[Extract %]]*46.214)/1000+1</f>
        <v>1.0369712</v>
      </c>
      <c r="G50" s="4">
        <v>60</v>
      </c>
      <c r="H50" s="99" t="s">
        <v>1404</v>
      </c>
    </row>
    <row r="51" spans="1:8" ht="13.2" hidden="1" customHeight="1" x14ac:dyDescent="0.25">
      <c r="A51" s="20" t="s">
        <v>1470</v>
      </c>
      <c r="B51" s="20" t="s">
        <v>1362</v>
      </c>
      <c r="C51" s="41" t="s">
        <v>89</v>
      </c>
      <c r="D51" s="107">
        <v>0.78</v>
      </c>
      <c r="E51" s="107">
        <v>4.4999999999999998E-2</v>
      </c>
      <c r="F51" s="105">
        <f>(grains_table[[#This Row],[Extract %]]*46.214)/1000+1</f>
        <v>1.03604692</v>
      </c>
      <c r="G51" s="4">
        <v>20</v>
      </c>
      <c r="H51" s="98" t="s">
        <v>1404</v>
      </c>
    </row>
    <row r="52" spans="1:8" ht="13.2" hidden="1" customHeight="1" x14ac:dyDescent="0.25">
      <c r="A52" s="20" t="s">
        <v>1573</v>
      </c>
      <c r="B52" s="20" t="s">
        <v>1360</v>
      </c>
      <c r="C52" s="41" t="s">
        <v>89</v>
      </c>
      <c r="D52" s="107">
        <v>0.73</v>
      </c>
      <c r="E52" s="107">
        <v>6.5000000000000002E-2</v>
      </c>
      <c r="F52" s="105">
        <f>(grains_table[[#This Row],[Extract %]]*46.214)/1000+1</f>
        <v>1.03373622</v>
      </c>
      <c r="G52" s="4">
        <v>34.5</v>
      </c>
      <c r="H52" s="98" t="s">
        <v>1401</v>
      </c>
    </row>
    <row r="53" spans="1:8" ht="13.2" hidden="1" customHeight="1" x14ac:dyDescent="0.25">
      <c r="A53" s="20" t="s">
        <v>1574</v>
      </c>
      <c r="B53" s="20" t="s">
        <v>1360</v>
      </c>
      <c r="C53" s="41" t="s">
        <v>89</v>
      </c>
      <c r="D53" s="107">
        <v>0.73</v>
      </c>
      <c r="E53" s="107">
        <v>6.5000000000000002E-2</v>
      </c>
      <c r="F53" s="105">
        <f>(grains_table[[#This Row],[Extract %]]*46.214)/1000+1</f>
        <v>1.03373622</v>
      </c>
      <c r="G53" s="4">
        <v>45.5</v>
      </c>
      <c r="H53" s="98" t="s">
        <v>1401</v>
      </c>
    </row>
    <row r="54" spans="1:8" ht="13.2" hidden="1" customHeight="1" x14ac:dyDescent="0.25">
      <c r="A54" s="20" t="s">
        <v>1575</v>
      </c>
      <c r="B54" s="20" t="s">
        <v>1360</v>
      </c>
      <c r="C54" s="41" t="s">
        <v>89</v>
      </c>
      <c r="D54" s="107">
        <v>0.73</v>
      </c>
      <c r="E54" s="107">
        <v>6.5000000000000002E-2</v>
      </c>
      <c r="F54" s="105">
        <f>(grains_table[[#This Row],[Extract %]]*46.214)/1000+1</f>
        <v>1.03373622</v>
      </c>
      <c r="G54" s="4">
        <v>56.75</v>
      </c>
      <c r="H54" s="98" t="s">
        <v>1401</v>
      </c>
    </row>
    <row r="55" spans="1:8" ht="13.2" hidden="1" customHeight="1" x14ac:dyDescent="0.25">
      <c r="A55" s="20" t="s">
        <v>1576</v>
      </c>
      <c r="B55" s="20" t="s">
        <v>1360</v>
      </c>
      <c r="C55" s="41" t="s">
        <v>89</v>
      </c>
      <c r="D55" s="107">
        <v>0.75</v>
      </c>
      <c r="E55" s="107">
        <v>7.0000000000000007E-2</v>
      </c>
      <c r="F55" s="105">
        <f>(grains_table[[#This Row],[Extract %]]*46.214)/1000+1</f>
        <v>1.0346605</v>
      </c>
      <c r="G55" s="4">
        <v>2.2000000000000002</v>
      </c>
      <c r="H55" s="98" t="s">
        <v>1401</v>
      </c>
    </row>
    <row r="56" spans="1:8" ht="13.2" hidden="1" customHeight="1" x14ac:dyDescent="0.25">
      <c r="A56" s="20" t="s">
        <v>1577</v>
      </c>
      <c r="B56" s="20" t="s">
        <v>1360</v>
      </c>
      <c r="C56" s="41" t="s">
        <v>89</v>
      </c>
      <c r="D56" s="107">
        <v>0.74</v>
      </c>
      <c r="E56" s="107">
        <v>7.4999999999999997E-2</v>
      </c>
      <c r="F56" s="105">
        <f>(grains_table[[#This Row],[Extract %]]*46.214)/1000+1</f>
        <v>1.03419836</v>
      </c>
      <c r="G56" s="4">
        <v>19.5</v>
      </c>
      <c r="H56" s="98" t="s">
        <v>1401</v>
      </c>
    </row>
    <row r="57" spans="1:8" ht="13.2" hidden="1" customHeight="1" x14ac:dyDescent="0.25">
      <c r="A57" s="20" t="s">
        <v>1578</v>
      </c>
      <c r="B57" s="20" t="s">
        <v>1360</v>
      </c>
      <c r="C57" s="41" t="s">
        <v>89</v>
      </c>
      <c r="D57" s="107">
        <v>0.74</v>
      </c>
      <c r="E57" s="107">
        <v>6.5000000000000002E-2</v>
      </c>
      <c r="F57" s="105">
        <f>(grains_table[[#This Row],[Extract %]]*46.214)/1000+1</f>
        <v>1.03419836</v>
      </c>
      <c r="G57" s="4">
        <v>66.5</v>
      </c>
      <c r="H57" s="98" t="s">
        <v>1401</v>
      </c>
    </row>
    <row r="58" spans="1:8" ht="13.2" hidden="1" customHeight="1" x14ac:dyDescent="0.25">
      <c r="A58" s="20" t="s">
        <v>1579</v>
      </c>
      <c r="B58" s="20" t="s">
        <v>1360</v>
      </c>
      <c r="C58" s="41" t="s">
        <v>89</v>
      </c>
      <c r="D58" s="107">
        <v>0.68</v>
      </c>
      <c r="E58" s="107">
        <v>6.5000000000000002E-2</v>
      </c>
      <c r="F58" s="105">
        <f>(grains_table[[#This Row],[Extract %]]*46.214)/1000+1</f>
        <v>1.03142552</v>
      </c>
      <c r="G58" s="4">
        <v>47.5</v>
      </c>
      <c r="H58" s="98" t="s">
        <v>1401</v>
      </c>
    </row>
    <row r="59" spans="1:8" ht="13.2" hidden="1" customHeight="1" x14ac:dyDescent="0.25">
      <c r="A59" s="20" t="s">
        <v>1471</v>
      </c>
      <c r="B59" s="20" t="s">
        <v>1361</v>
      </c>
      <c r="C59" s="41" t="s">
        <v>89</v>
      </c>
      <c r="D59" s="107">
        <v>0.69</v>
      </c>
      <c r="E59" s="107">
        <v>0.05</v>
      </c>
      <c r="F59" s="105">
        <f>(grains_table[[#This Row],[Extract %]]*46.214)/1000+1</f>
        <v>1.03188766</v>
      </c>
      <c r="G59" s="4">
        <v>100.9</v>
      </c>
      <c r="H59" s="99" t="s">
        <v>1383</v>
      </c>
    </row>
    <row r="60" spans="1:8" ht="13.2" hidden="1" customHeight="1" x14ac:dyDescent="0.25">
      <c r="A60" s="20" t="s">
        <v>1472</v>
      </c>
      <c r="B60" s="20" t="s">
        <v>1361</v>
      </c>
      <c r="C60" s="41" t="s">
        <v>89</v>
      </c>
      <c r="D60" s="107">
        <v>0.69</v>
      </c>
      <c r="E60" s="107">
        <v>0.05</v>
      </c>
      <c r="F60" s="105">
        <f>(grains_table[[#This Row],[Extract %]]*46.214)/1000+1</f>
        <v>1.03188766</v>
      </c>
      <c r="G60" s="4">
        <v>178.7</v>
      </c>
      <c r="H60" s="98" t="s">
        <v>1384</v>
      </c>
    </row>
    <row r="61" spans="1:8" ht="13.2" hidden="1" customHeight="1" x14ac:dyDescent="0.25">
      <c r="A61" s="20" t="s">
        <v>1473</v>
      </c>
      <c r="B61" s="20" t="s">
        <v>1361</v>
      </c>
      <c r="C61" s="41" t="s">
        <v>89</v>
      </c>
      <c r="D61" s="107">
        <v>0.69</v>
      </c>
      <c r="E61" s="107">
        <v>0.06</v>
      </c>
      <c r="F61" s="105">
        <f>(grains_table[[#This Row],[Extract %]]*46.214)/1000+1</f>
        <v>1.03188766</v>
      </c>
      <c r="G61" s="4">
        <v>39.549999999999997</v>
      </c>
      <c r="H61" s="98" t="s">
        <v>1380</v>
      </c>
    </row>
    <row r="62" spans="1:8" ht="13.2" hidden="1" customHeight="1" x14ac:dyDescent="0.25">
      <c r="A62" s="20" t="s">
        <v>1474</v>
      </c>
      <c r="B62" s="20" t="s">
        <v>1361</v>
      </c>
      <c r="C62" s="41" t="s">
        <v>89</v>
      </c>
      <c r="D62" s="107">
        <v>0.69</v>
      </c>
      <c r="E62" s="107">
        <v>0.05</v>
      </c>
      <c r="F62" s="105">
        <f>(grains_table[[#This Row],[Extract %]]*46.214)/1000+1</f>
        <v>1.03188766</v>
      </c>
      <c r="G62" s="4">
        <v>67.5</v>
      </c>
      <c r="H62" s="99" t="s">
        <v>1382</v>
      </c>
    </row>
    <row r="63" spans="1:8" ht="13.2" hidden="1" customHeight="1" x14ac:dyDescent="0.25">
      <c r="A63" s="20" t="s">
        <v>2063</v>
      </c>
      <c r="B63" t="s">
        <v>2035</v>
      </c>
      <c r="C63" s="4" t="s">
        <v>89</v>
      </c>
      <c r="D63" s="104">
        <v>0.79</v>
      </c>
      <c r="E63" s="104">
        <v>4.4999999999999998E-2</v>
      </c>
      <c r="F63" s="105">
        <f>(grains_table[[#This Row],[Extract %]]*46.214)/1000+1</f>
        <v>1.03650906</v>
      </c>
      <c r="G63" s="4">
        <v>26.8</v>
      </c>
      <c r="H63" s="99" t="s">
        <v>2036</v>
      </c>
    </row>
    <row r="64" spans="1:8" ht="13.2" hidden="1" customHeight="1" x14ac:dyDescent="0.25">
      <c r="A64" s="20" t="s">
        <v>1475</v>
      </c>
      <c r="B64" s="20" t="s">
        <v>1361</v>
      </c>
      <c r="C64" s="41" t="s">
        <v>89</v>
      </c>
      <c r="D64" s="107">
        <v>0.69</v>
      </c>
      <c r="E64" s="107">
        <v>0.05</v>
      </c>
      <c r="F64" s="105">
        <f>(grains_table[[#This Row],[Extract %]]*46.214)/1000+1</f>
        <v>1.03188766</v>
      </c>
      <c r="G64" s="4">
        <v>50.5</v>
      </c>
      <c r="H64" s="99" t="s">
        <v>1381</v>
      </c>
    </row>
    <row r="65" spans="1:8" ht="13.2" hidden="1" customHeight="1" x14ac:dyDescent="0.25">
      <c r="A65" s="20" t="s">
        <v>2046</v>
      </c>
      <c r="B65" t="s">
        <v>2035</v>
      </c>
      <c r="C65" s="4" t="s">
        <v>89</v>
      </c>
      <c r="D65" s="104">
        <v>0.78</v>
      </c>
      <c r="E65" s="104">
        <v>0.06</v>
      </c>
      <c r="F65" s="105">
        <f>(grains_table[[#This Row],[Extract %]]*46.214)/1000+1</f>
        <v>1.03604692</v>
      </c>
      <c r="G65" s="4">
        <v>75.599999999999994</v>
      </c>
      <c r="H65" s="99" t="s">
        <v>2036</v>
      </c>
    </row>
    <row r="66" spans="1:8" ht="13.2" hidden="1" customHeight="1" x14ac:dyDescent="0.25">
      <c r="A66" s="20" t="s">
        <v>1476</v>
      </c>
      <c r="B66" s="20" t="s">
        <v>1361</v>
      </c>
      <c r="C66" s="41" t="s">
        <v>89</v>
      </c>
      <c r="D66" s="107">
        <v>0.69</v>
      </c>
      <c r="E66" s="107">
        <v>0.05</v>
      </c>
      <c r="F66" s="105">
        <f>(grains_table[[#This Row],[Extract %]]*46.214)/1000+1</f>
        <v>1.03188766</v>
      </c>
      <c r="G66" s="4">
        <v>67.5</v>
      </c>
      <c r="H66" s="98" t="s">
        <v>1386</v>
      </c>
    </row>
    <row r="67" spans="1:8" ht="13.2" hidden="1" customHeight="1" x14ac:dyDescent="0.25">
      <c r="A67" s="20" t="s">
        <v>2044</v>
      </c>
      <c r="B67" t="s">
        <v>2035</v>
      </c>
      <c r="C67" s="4" t="s">
        <v>89</v>
      </c>
      <c r="D67" s="104">
        <v>0.78</v>
      </c>
      <c r="E67" s="104">
        <v>6.5000000000000002E-2</v>
      </c>
      <c r="F67" s="105">
        <f>(grains_table[[#This Row],[Extract %]]*46.214)/1000+1</f>
        <v>1.03604692</v>
      </c>
      <c r="G67" s="4">
        <v>19.3</v>
      </c>
      <c r="H67" s="99" t="s">
        <v>2036</v>
      </c>
    </row>
    <row r="68" spans="1:8" ht="13.2" hidden="1" customHeight="1" x14ac:dyDescent="0.25">
      <c r="A68" s="20" t="s">
        <v>2045</v>
      </c>
      <c r="B68" t="s">
        <v>2035</v>
      </c>
      <c r="C68" s="4" t="s">
        <v>89</v>
      </c>
      <c r="D68" s="104">
        <v>0.78</v>
      </c>
      <c r="E68" s="104">
        <v>0.06</v>
      </c>
      <c r="F68" s="105">
        <f>(grains_table[[#This Row],[Extract %]]*46.214)/1000+1</f>
        <v>1.03604692</v>
      </c>
      <c r="G68" s="4">
        <v>39.9</v>
      </c>
      <c r="H68" s="99" t="s">
        <v>2036</v>
      </c>
    </row>
    <row r="69" spans="1:8" ht="13.2" hidden="1" customHeight="1" x14ac:dyDescent="0.25">
      <c r="A69" s="20" t="s">
        <v>1477</v>
      </c>
      <c r="B69" s="20" t="s">
        <v>1361</v>
      </c>
      <c r="C69" s="41" t="s">
        <v>89</v>
      </c>
      <c r="D69" s="107">
        <v>0.71</v>
      </c>
      <c r="E69" s="107">
        <v>3.5000000000000003E-2</v>
      </c>
      <c r="F69" s="105">
        <f>(grains_table[[#This Row],[Extract %]]*46.214)/1000+1</f>
        <v>1.03281194</v>
      </c>
      <c r="G69" s="4">
        <v>23.05</v>
      </c>
      <c r="H69" s="98" t="s">
        <v>1379</v>
      </c>
    </row>
    <row r="70" spans="1:8" ht="13.2" hidden="1" customHeight="1" x14ac:dyDescent="0.25">
      <c r="A70" s="20" t="s">
        <v>1549</v>
      </c>
      <c r="B70" s="20" t="s">
        <v>1361</v>
      </c>
      <c r="C70" s="41" t="s">
        <v>89</v>
      </c>
      <c r="D70" s="107">
        <v>0.65</v>
      </c>
      <c r="E70" s="107">
        <v>0.02</v>
      </c>
      <c r="F70" s="105">
        <f>(grains_table[[#This Row],[Extract %]]*46.214)/1000+1</f>
        <v>1.0300391</v>
      </c>
      <c r="G70" s="4">
        <v>103.1</v>
      </c>
      <c r="H70" s="98" t="s">
        <v>1395</v>
      </c>
    </row>
    <row r="71" spans="1:8" ht="13.2" hidden="1" customHeight="1" x14ac:dyDescent="0.25">
      <c r="A71" s="20" t="s">
        <v>2057</v>
      </c>
      <c r="B71" t="s">
        <v>2035</v>
      </c>
      <c r="C71" s="4" t="s">
        <v>89</v>
      </c>
      <c r="D71" s="104">
        <v>0.78</v>
      </c>
      <c r="E71" s="104">
        <v>6.5000000000000002E-2</v>
      </c>
      <c r="F71" s="105">
        <f>(grains_table[[#This Row],[Extract %]]*46.214)/1000+1</f>
        <v>1.03604692</v>
      </c>
      <c r="G71" s="4">
        <v>24.94</v>
      </c>
      <c r="H71" s="99" t="s">
        <v>2036</v>
      </c>
    </row>
    <row r="72" spans="1:8" ht="13.2" hidden="1" customHeight="1" x14ac:dyDescent="0.25">
      <c r="A72" s="20" t="s">
        <v>1478</v>
      </c>
      <c r="B72" s="20" t="s">
        <v>1361</v>
      </c>
      <c r="C72" s="41" t="s">
        <v>89</v>
      </c>
      <c r="D72" s="107">
        <v>0.69</v>
      </c>
      <c r="E72" s="107">
        <v>0.05</v>
      </c>
      <c r="F72" s="105">
        <f>(grains_table[[#This Row],[Extract %]]*46.214)/1000+1</f>
        <v>1.03188766</v>
      </c>
      <c r="G72" s="4">
        <v>113.1</v>
      </c>
      <c r="H72" s="98" t="s">
        <v>1385</v>
      </c>
    </row>
    <row r="73" spans="1:8" ht="13.2" hidden="1" customHeight="1" x14ac:dyDescent="0.25">
      <c r="A73" s="20" t="s">
        <v>1479</v>
      </c>
      <c r="B73" s="20" t="s">
        <v>1363</v>
      </c>
      <c r="C73" s="41" t="s">
        <v>89</v>
      </c>
      <c r="D73" s="107">
        <v>0.72</v>
      </c>
      <c r="E73" s="107">
        <v>0.05</v>
      </c>
      <c r="F73" s="105">
        <f>(grains_table[[#This Row],[Extract %]]*46.214)/1000+1</f>
        <v>1.03327408</v>
      </c>
      <c r="G73" s="4">
        <v>125</v>
      </c>
      <c r="H73" s="98" t="s">
        <v>1399</v>
      </c>
    </row>
    <row r="74" spans="1:8" ht="13.2" hidden="1" customHeight="1" x14ac:dyDescent="0.25">
      <c r="A74" s="20" t="s">
        <v>2066</v>
      </c>
      <c r="B74" t="s">
        <v>2035</v>
      </c>
      <c r="C74" s="4" t="s">
        <v>89</v>
      </c>
      <c r="D74" s="104">
        <v>0.71</v>
      </c>
      <c r="E74" s="104">
        <v>0.06</v>
      </c>
      <c r="F74" s="105">
        <f>(grains_table[[#This Row],[Extract %]]*46.214)/1000+1</f>
        <v>1.03281194</v>
      </c>
      <c r="G74" s="4">
        <v>43.3</v>
      </c>
      <c r="H74" s="99" t="s">
        <v>2036</v>
      </c>
    </row>
    <row r="75" spans="1:8" ht="13.2" hidden="1" customHeight="1" x14ac:dyDescent="0.25">
      <c r="A75" s="20" t="s">
        <v>2067</v>
      </c>
      <c r="B75" t="s">
        <v>2035</v>
      </c>
      <c r="C75" s="4" t="s">
        <v>89</v>
      </c>
      <c r="D75" s="104">
        <v>0.74</v>
      </c>
      <c r="E75" s="104">
        <v>7.4999999999999997E-2</v>
      </c>
      <c r="F75" s="105">
        <f>(grains_table[[#This Row],[Extract %]]*46.214)/1000+1</f>
        <v>1.03419836</v>
      </c>
      <c r="G75" s="4">
        <v>5.0999999999999996</v>
      </c>
      <c r="H75" s="99" t="s">
        <v>2036</v>
      </c>
    </row>
    <row r="76" spans="1:8" ht="13.2" hidden="1" customHeight="1" x14ac:dyDescent="0.25">
      <c r="A76" s="20" t="s">
        <v>1567</v>
      </c>
      <c r="B76" s="20" t="s">
        <v>1405</v>
      </c>
      <c r="C76" s="41" t="s">
        <v>89</v>
      </c>
      <c r="D76" s="107">
        <v>0.5</v>
      </c>
      <c r="E76" s="107">
        <v>4.9000000000000002E-2</v>
      </c>
      <c r="F76" s="105">
        <f>(grains_table[[#This Row],[Extract %]]*46.214)/1000+1</f>
        <v>1.023107</v>
      </c>
      <c r="G76" s="4">
        <v>1.4</v>
      </c>
      <c r="H76" s="99" t="s">
        <v>1439</v>
      </c>
    </row>
    <row r="77" spans="1:8" ht="13.2" hidden="1" customHeight="1" x14ac:dyDescent="0.25">
      <c r="A77" s="20" t="s">
        <v>2043</v>
      </c>
      <c r="B77" t="s">
        <v>2035</v>
      </c>
      <c r="C77" s="4" t="s">
        <v>89</v>
      </c>
      <c r="D77" s="104">
        <v>0.71</v>
      </c>
      <c r="E77" s="104">
        <v>4.4999999999999998E-2</v>
      </c>
      <c r="F77" s="105">
        <f>(grains_table[[#This Row],[Extract %]]*46.214)/1000+1</f>
        <v>1.03281194</v>
      </c>
      <c r="G77" s="4">
        <v>488</v>
      </c>
      <c r="H77" s="99" t="s">
        <v>2036</v>
      </c>
    </row>
    <row r="78" spans="1:8" ht="13.2" hidden="1" customHeight="1" x14ac:dyDescent="0.25">
      <c r="A78" s="20" t="s">
        <v>2042</v>
      </c>
      <c r="B78" t="s">
        <v>2035</v>
      </c>
      <c r="C78" s="4" t="s">
        <v>89</v>
      </c>
      <c r="D78" s="104">
        <v>0.71</v>
      </c>
      <c r="E78" s="104">
        <v>4.4999999999999998E-2</v>
      </c>
      <c r="F78" s="105">
        <f>(grains_table[[#This Row],[Extract %]]*46.214)/1000+1</f>
        <v>1.03281194</v>
      </c>
      <c r="G78" s="4">
        <v>356.8</v>
      </c>
      <c r="H78" s="99" t="s">
        <v>2036</v>
      </c>
    </row>
    <row r="79" spans="1:8" ht="13.2" hidden="1" customHeight="1" x14ac:dyDescent="0.25">
      <c r="A79" s="20" t="s">
        <v>1651</v>
      </c>
      <c r="B79" s="20" t="s">
        <v>1363</v>
      </c>
      <c r="C79" s="41" t="s">
        <v>89</v>
      </c>
      <c r="D79" s="107">
        <v>0.7</v>
      </c>
      <c r="E79" s="107">
        <v>4.4999999999999998E-2</v>
      </c>
      <c r="F79" s="105">
        <f>(grains_table[[#This Row],[Extract %]]*46.214)/1000+1</f>
        <v>1.0323498</v>
      </c>
      <c r="G79" s="4">
        <v>340</v>
      </c>
      <c r="H79" s="99" t="s">
        <v>1400</v>
      </c>
    </row>
    <row r="80" spans="1:8" ht="13.2" hidden="1" customHeight="1" x14ac:dyDescent="0.25">
      <c r="A80" s="20" t="s">
        <v>2051</v>
      </c>
      <c r="B80" t="s">
        <v>2035</v>
      </c>
      <c r="C80" s="4" t="s">
        <v>89</v>
      </c>
      <c r="D80" s="104">
        <v>0.58919999999999995</v>
      </c>
      <c r="E80" s="104">
        <v>6.2799999999999995E-2</v>
      </c>
      <c r="F80" s="105">
        <f>(grains_table[[#This Row],[Extract %]]*46.214)/1000+1</f>
        <v>1.0272292888000001</v>
      </c>
      <c r="G80" s="4">
        <v>1.5</v>
      </c>
      <c r="H80" s="99" t="s">
        <v>2036</v>
      </c>
    </row>
    <row r="81" spans="1:8" ht="13.2" hidden="1" customHeight="1" x14ac:dyDescent="0.25">
      <c r="A81" s="20" t="s">
        <v>1480</v>
      </c>
      <c r="B81" s="20" t="s">
        <v>1362</v>
      </c>
      <c r="C81" s="41" t="s">
        <v>89</v>
      </c>
      <c r="D81" s="107">
        <v>0.75</v>
      </c>
      <c r="E81" s="107">
        <v>6.5000000000000002E-2</v>
      </c>
      <c r="F81" s="105">
        <f>(grains_table[[#This Row],[Extract %]]*46.214)/1000+1</f>
        <v>1.0346605</v>
      </c>
      <c r="G81" s="4">
        <v>1.5</v>
      </c>
      <c r="H81" s="98" t="s">
        <v>1406</v>
      </c>
    </row>
    <row r="82" spans="1:8" ht="13.2" hidden="1" customHeight="1" x14ac:dyDescent="0.25">
      <c r="A82" s="20" t="s">
        <v>1481</v>
      </c>
      <c r="B82" s="20" t="s">
        <v>1362</v>
      </c>
      <c r="C82" s="41" t="s">
        <v>89</v>
      </c>
      <c r="D82" s="107">
        <v>0.75</v>
      </c>
      <c r="E82" s="107">
        <v>5.5E-2</v>
      </c>
      <c r="F82" s="105">
        <f>(grains_table[[#This Row],[Extract %]]*46.214)/1000+1</f>
        <v>1.0346605</v>
      </c>
      <c r="G82" s="4">
        <v>30</v>
      </c>
      <c r="H82" s="98" t="s">
        <v>1406</v>
      </c>
    </row>
    <row r="83" spans="1:8" ht="13.2" hidden="1" customHeight="1" x14ac:dyDescent="0.25">
      <c r="A83" s="20" t="s">
        <v>1482</v>
      </c>
      <c r="B83" s="20" t="s">
        <v>1361</v>
      </c>
      <c r="C83" s="41" t="s">
        <v>89</v>
      </c>
      <c r="D83" s="107">
        <v>0.67500000000000004</v>
      </c>
      <c r="E83" s="107">
        <v>7.0000000000000007E-2</v>
      </c>
      <c r="F83" s="105">
        <f>(grains_table[[#This Row],[Extract %]]*46.214)/1000+1</f>
        <v>1.0311944500000001</v>
      </c>
      <c r="G83" s="4">
        <v>1.1000000000000001</v>
      </c>
      <c r="H83" s="98" t="s">
        <v>1397</v>
      </c>
    </row>
    <row r="84" spans="1:8" ht="13.2" hidden="1" customHeight="1" x14ac:dyDescent="0.25">
      <c r="A84" s="20" t="s">
        <v>2049</v>
      </c>
      <c r="B84" t="s">
        <v>2035</v>
      </c>
      <c r="C84" s="4" t="s">
        <v>89</v>
      </c>
      <c r="D84" s="104">
        <v>0.82</v>
      </c>
      <c r="E84" s="104">
        <v>0.05</v>
      </c>
      <c r="F84" s="105">
        <f>(grains_table[[#This Row],[Extract %]]*46.214)/1000+1</f>
        <v>1.03789548</v>
      </c>
      <c r="G84" s="4">
        <v>3.6</v>
      </c>
      <c r="H84" s="98" t="s">
        <v>2036</v>
      </c>
    </row>
    <row r="85" spans="1:8" x14ac:dyDescent="0.25">
      <c r="A85" s="20" t="s">
        <v>1653</v>
      </c>
      <c r="B85" s="20" t="s">
        <v>1362</v>
      </c>
      <c r="C85" s="41" t="s">
        <v>776</v>
      </c>
      <c r="D85" s="104"/>
      <c r="E85" s="104"/>
      <c r="F85" s="105">
        <v>1.0449999999999999</v>
      </c>
      <c r="G85" s="4">
        <v>6</v>
      </c>
      <c r="H85" s="98" t="s">
        <v>1604</v>
      </c>
    </row>
    <row r="86" spans="1:8" ht="13.2" customHeight="1" x14ac:dyDescent="0.25">
      <c r="A86" s="20" t="s">
        <v>1654</v>
      </c>
      <c r="B86" s="20" t="s">
        <v>1362</v>
      </c>
      <c r="C86" s="41" t="s">
        <v>776</v>
      </c>
      <c r="D86" s="104"/>
      <c r="E86" s="104"/>
      <c r="F86" s="105">
        <v>1.0449999999999999</v>
      </c>
      <c r="G86" s="4">
        <v>2</v>
      </c>
      <c r="H86" s="98" t="s">
        <v>1604</v>
      </c>
    </row>
    <row r="87" spans="1:8" ht="13.2" customHeight="1" x14ac:dyDescent="0.25">
      <c r="A87" s="20" t="s">
        <v>1588</v>
      </c>
      <c r="B87" s="20" t="s">
        <v>587</v>
      </c>
      <c r="C87" s="41" t="s">
        <v>776</v>
      </c>
      <c r="D87" s="107"/>
      <c r="E87" s="107"/>
      <c r="F87" s="105">
        <v>1.0383439999999999</v>
      </c>
      <c r="G87" s="4">
        <v>6.7</v>
      </c>
      <c r="H87" s="98" t="s">
        <v>1580</v>
      </c>
    </row>
    <row r="88" spans="1:8" ht="13.2" customHeight="1" x14ac:dyDescent="0.25">
      <c r="A88" s="20" t="s">
        <v>1589</v>
      </c>
      <c r="B88" s="20" t="s">
        <v>587</v>
      </c>
      <c r="C88" s="41" t="s">
        <v>776</v>
      </c>
      <c r="D88" s="107"/>
      <c r="E88" s="107"/>
      <c r="F88" s="105">
        <v>1.0377449999999999</v>
      </c>
      <c r="G88" s="4">
        <v>22</v>
      </c>
      <c r="H88" s="98" t="s">
        <v>1580</v>
      </c>
    </row>
    <row r="89" spans="1:8" ht="13.2" customHeight="1" x14ac:dyDescent="0.25">
      <c r="A89" s="20" t="s">
        <v>1590</v>
      </c>
      <c r="B89" s="20" t="s">
        <v>587</v>
      </c>
      <c r="C89" s="41" t="s">
        <v>776</v>
      </c>
      <c r="D89" s="107"/>
      <c r="E89" s="107"/>
      <c r="F89" s="105">
        <v>1.0377449999999999</v>
      </c>
      <c r="G89" s="4">
        <v>36</v>
      </c>
      <c r="H89" s="98" t="s">
        <v>1580</v>
      </c>
    </row>
    <row r="90" spans="1:8" ht="13.2" customHeight="1" x14ac:dyDescent="0.25">
      <c r="A90" s="20" t="s">
        <v>1591</v>
      </c>
      <c r="B90" s="20" t="s">
        <v>587</v>
      </c>
      <c r="C90" s="41" t="s">
        <v>776</v>
      </c>
      <c r="D90" s="107"/>
      <c r="E90" s="107"/>
      <c r="F90" s="105">
        <v>1.0383439999999999</v>
      </c>
      <c r="G90" s="4">
        <v>5.0999999999999996</v>
      </c>
      <c r="H90" s="98" t="s">
        <v>1580</v>
      </c>
    </row>
    <row r="91" spans="1:8" ht="13.2" customHeight="1" x14ac:dyDescent="0.25">
      <c r="A91" s="20" t="s">
        <v>1592</v>
      </c>
      <c r="B91" s="20" t="s">
        <v>587</v>
      </c>
      <c r="C91" s="41" t="s">
        <v>776</v>
      </c>
      <c r="D91" s="107"/>
      <c r="E91" s="107"/>
      <c r="F91" s="105">
        <v>1.0383439999999999</v>
      </c>
      <c r="G91" s="4">
        <v>3.8</v>
      </c>
      <c r="H91" s="98" t="s">
        <v>1580</v>
      </c>
    </row>
    <row r="92" spans="1:8" ht="13.2" customHeight="1" x14ac:dyDescent="0.25">
      <c r="A92" s="20" t="s">
        <v>1593</v>
      </c>
      <c r="B92" s="20" t="s">
        <v>587</v>
      </c>
      <c r="C92" s="41" t="s">
        <v>776</v>
      </c>
      <c r="D92" s="107"/>
      <c r="E92" s="107"/>
      <c r="F92" s="105">
        <v>1.0377449999999999</v>
      </c>
      <c r="G92" s="4">
        <v>12.75</v>
      </c>
      <c r="H92" s="98" t="s">
        <v>1580</v>
      </c>
    </row>
    <row r="93" spans="1:8" ht="13.2" customHeight="1" x14ac:dyDescent="0.25">
      <c r="A93" s="20" t="s">
        <v>1594</v>
      </c>
      <c r="B93" s="20" t="s">
        <v>587</v>
      </c>
      <c r="C93" s="41" t="s">
        <v>776</v>
      </c>
      <c r="D93" s="107"/>
      <c r="E93" s="107"/>
      <c r="F93" s="105">
        <v>1.0377449999999999</v>
      </c>
      <c r="G93" s="4">
        <v>533.5</v>
      </c>
      <c r="H93" s="98" t="s">
        <v>1580</v>
      </c>
    </row>
    <row r="94" spans="1:8" ht="13.2" hidden="1" customHeight="1" x14ac:dyDescent="0.25">
      <c r="A94" s="20" t="s">
        <v>1351</v>
      </c>
      <c r="B94" s="20" t="s">
        <v>1362</v>
      </c>
      <c r="C94" s="41" t="s">
        <v>89</v>
      </c>
      <c r="D94" s="107">
        <v>0.7</v>
      </c>
      <c r="E94" s="107">
        <v>0.09</v>
      </c>
      <c r="F94" s="105">
        <f>(grains_table[[#This Row],[Extract %]]*46.214)/1000+1</f>
        <v>1.0323498</v>
      </c>
      <c r="G94" s="4">
        <v>1.4</v>
      </c>
      <c r="H94" s="98" t="s">
        <v>1603</v>
      </c>
    </row>
    <row r="95" spans="1:8" ht="13.2" hidden="1" customHeight="1" x14ac:dyDescent="0.25">
      <c r="A95" s="20" t="s">
        <v>2048</v>
      </c>
      <c r="B95" t="s">
        <v>2035</v>
      </c>
      <c r="C95" s="4" t="s">
        <v>89</v>
      </c>
      <c r="D95" s="104">
        <v>0.7</v>
      </c>
      <c r="E95" s="104">
        <v>0.09</v>
      </c>
      <c r="F95" s="105">
        <v>1.032</v>
      </c>
      <c r="G95" s="4">
        <v>1.4</v>
      </c>
      <c r="H95" s="98" t="s">
        <v>2036</v>
      </c>
    </row>
    <row r="96" spans="1:8" ht="13.2" hidden="1" customHeight="1" x14ac:dyDescent="0.25">
      <c r="A96" s="20" t="s">
        <v>1354</v>
      </c>
      <c r="B96" s="20" t="s">
        <v>1362</v>
      </c>
      <c r="C96" s="41" t="s">
        <v>89</v>
      </c>
      <c r="D96" s="107">
        <v>0.6</v>
      </c>
      <c r="E96" s="107">
        <v>7.0000000000000007E-2</v>
      </c>
      <c r="F96" s="105">
        <f>(grains_table[[#This Row],[Extract %]]*46.214)/1000+1</f>
        <v>1.0277284</v>
      </c>
      <c r="G96" s="4">
        <v>1</v>
      </c>
      <c r="H96" s="98" t="s">
        <v>1603</v>
      </c>
    </row>
    <row r="97" spans="1:8" ht="13.2" hidden="1" customHeight="1" x14ac:dyDescent="0.25">
      <c r="A97" s="20" t="s">
        <v>1353</v>
      </c>
      <c r="B97" s="20" t="s">
        <v>1362</v>
      </c>
      <c r="C97" s="41" t="s">
        <v>89</v>
      </c>
      <c r="D97" s="107">
        <v>0.7</v>
      </c>
      <c r="E97" s="107">
        <v>7.4999999999999997E-2</v>
      </c>
      <c r="F97" s="105">
        <f>(grains_table[[#This Row],[Extract %]]*46.214)/1000+1</f>
        <v>1.0323498</v>
      </c>
      <c r="G97" s="4">
        <v>2.5</v>
      </c>
      <c r="H97" s="98" t="s">
        <v>1603</v>
      </c>
    </row>
    <row r="98" spans="1:8" ht="13.2" hidden="1" customHeight="1" x14ac:dyDescent="0.25">
      <c r="A98" s="20" t="s">
        <v>1355</v>
      </c>
      <c r="B98" s="20" t="s">
        <v>1362</v>
      </c>
      <c r="C98" s="41" t="s">
        <v>89</v>
      </c>
      <c r="D98" s="107">
        <v>0.7</v>
      </c>
      <c r="E98" s="107">
        <v>7.0000000000000007E-2</v>
      </c>
      <c r="F98" s="105">
        <f>(grains_table[[#This Row],[Extract %]]*46.214)/1000+1</f>
        <v>1.0323498</v>
      </c>
      <c r="G98" s="4">
        <v>2</v>
      </c>
      <c r="H98" s="98" t="s">
        <v>1603</v>
      </c>
    </row>
    <row r="99" spans="1:8" ht="13.2" hidden="1" customHeight="1" x14ac:dyDescent="0.25">
      <c r="A99" s="20" t="s">
        <v>1356</v>
      </c>
      <c r="B99" s="20" t="s">
        <v>1362</v>
      </c>
      <c r="C99" s="41" t="s">
        <v>89</v>
      </c>
      <c r="D99" s="107">
        <v>0.71</v>
      </c>
      <c r="E99" s="107">
        <v>0.09</v>
      </c>
      <c r="F99" s="105">
        <f>(grains_table[[#This Row],[Extract %]]*46.214)/1000+1</f>
        <v>1.03281194</v>
      </c>
      <c r="G99" s="4">
        <v>3</v>
      </c>
      <c r="H99" s="98" t="s">
        <v>1603</v>
      </c>
    </row>
    <row r="100" spans="1:8" ht="13.2" hidden="1" customHeight="1" x14ac:dyDescent="0.25">
      <c r="A100" s="20" t="s">
        <v>1357</v>
      </c>
      <c r="B100" s="20" t="s">
        <v>1362</v>
      </c>
      <c r="C100" s="41" t="s">
        <v>89</v>
      </c>
      <c r="D100" s="107">
        <v>0.71</v>
      </c>
      <c r="E100" s="107">
        <v>7.0000000000000007E-2</v>
      </c>
      <c r="F100" s="105">
        <f>(grains_table[[#This Row],[Extract %]]*46.214)/1000+1</f>
        <v>1.03281194</v>
      </c>
      <c r="G100" s="4">
        <v>2.5</v>
      </c>
      <c r="H100" s="98" t="s">
        <v>1603</v>
      </c>
    </row>
    <row r="101" spans="1:8" ht="13.2" hidden="1" customHeight="1" x14ac:dyDescent="0.25">
      <c r="A101" s="20" t="s">
        <v>1352</v>
      </c>
      <c r="B101" s="20" t="s">
        <v>1362</v>
      </c>
      <c r="C101" s="41" t="s">
        <v>89</v>
      </c>
      <c r="D101" s="107">
        <v>0.75</v>
      </c>
      <c r="E101" s="107">
        <v>0.08</v>
      </c>
      <c r="F101" s="105">
        <f>(grains_table[[#This Row],[Extract %]]*46.214)/1000+1</f>
        <v>1.0346605</v>
      </c>
      <c r="G101" s="4">
        <v>0.8</v>
      </c>
      <c r="H101" s="98" t="s">
        <v>1603</v>
      </c>
    </row>
    <row r="102" spans="1:8" ht="13.2" hidden="1" customHeight="1" x14ac:dyDescent="0.25">
      <c r="A102" s="20" t="s">
        <v>1646</v>
      </c>
      <c r="B102" s="20" t="s">
        <v>1360</v>
      </c>
      <c r="C102" s="41" t="s">
        <v>89</v>
      </c>
      <c r="D102" s="107">
        <v>0.78</v>
      </c>
      <c r="E102" s="107">
        <v>4.4999999999999998E-2</v>
      </c>
      <c r="F102" s="105">
        <f>(grains_table[[#This Row],[Extract %]]*46.214)/1000+1</f>
        <v>1.03604692</v>
      </c>
      <c r="G102" s="4">
        <v>6.6</v>
      </c>
      <c r="H102" s="98" t="s">
        <v>1401</v>
      </c>
    </row>
    <row r="103" spans="1:8" ht="13.2" customHeight="1" x14ac:dyDescent="0.25">
      <c r="A103" s="20" t="s">
        <v>1656</v>
      </c>
      <c r="B103" s="20" t="s">
        <v>1362</v>
      </c>
      <c r="C103" s="41" t="s">
        <v>776</v>
      </c>
      <c r="D103" s="104"/>
      <c r="E103" s="104"/>
      <c r="F103" s="105">
        <v>1.036</v>
      </c>
      <c r="G103" s="4">
        <v>6</v>
      </c>
      <c r="H103" s="98" t="s">
        <v>1604</v>
      </c>
    </row>
    <row r="104" spans="1:8" ht="13.2" customHeight="1" x14ac:dyDescent="0.25">
      <c r="A104" s="20" t="s">
        <v>1655</v>
      </c>
      <c r="B104" s="20" t="s">
        <v>1362</v>
      </c>
      <c r="C104" s="41" t="s">
        <v>776</v>
      </c>
      <c r="D104" s="107"/>
      <c r="E104" s="107"/>
      <c r="F104" s="105">
        <v>1.036</v>
      </c>
      <c r="G104" s="4">
        <v>2</v>
      </c>
      <c r="H104" s="98" t="s">
        <v>1604</v>
      </c>
    </row>
    <row r="105" spans="1:8" ht="13.2" customHeight="1" x14ac:dyDescent="0.25">
      <c r="A105" s="20" t="s">
        <v>1595</v>
      </c>
      <c r="B105" s="20" t="s">
        <v>587</v>
      </c>
      <c r="C105" s="41" t="s">
        <v>776</v>
      </c>
      <c r="D105" s="107"/>
      <c r="E105" s="107"/>
      <c r="F105" s="105">
        <v>1.036</v>
      </c>
      <c r="G105" s="4">
        <v>7.2</v>
      </c>
      <c r="H105" s="98" t="s">
        <v>1580</v>
      </c>
    </row>
    <row r="106" spans="1:8" ht="13.2" customHeight="1" x14ac:dyDescent="0.25">
      <c r="A106" s="20" t="s">
        <v>1596</v>
      </c>
      <c r="B106" s="20" t="s">
        <v>587</v>
      </c>
      <c r="C106" s="41" t="s">
        <v>776</v>
      </c>
      <c r="D106" s="107"/>
      <c r="E106" s="107"/>
      <c r="F106" s="105">
        <v>1.036</v>
      </c>
      <c r="G106" s="4">
        <v>3.8</v>
      </c>
      <c r="H106" s="98" t="s">
        <v>1580</v>
      </c>
    </row>
    <row r="107" spans="1:8" ht="13.2" customHeight="1" x14ac:dyDescent="0.25">
      <c r="A107" s="20" t="s">
        <v>1597</v>
      </c>
      <c r="B107" s="20" t="s">
        <v>587</v>
      </c>
      <c r="C107" s="41" t="s">
        <v>776</v>
      </c>
      <c r="D107" s="107"/>
      <c r="E107" s="107"/>
      <c r="F107" s="105">
        <v>1.036</v>
      </c>
      <c r="G107" s="4">
        <v>10.25</v>
      </c>
      <c r="H107" s="98" t="s">
        <v>1580</v>
      </c>
    </row>
    <row r="108" spans="1:8" ht="13.2" customHeight="1" x14ac:dyDescent="0.25">
      <c r="A108" s="20" t="s">
        <v>1598</v>
      </c>
      <c r="B108" s="20" t="s">
        <v>587</v>
      </c>
      <c r="C108" s="41" t="s">
        <v>776</v>
      </c>
      <c r="D108" s="107"/>
      <c r="E108" s="107"/>
      <c r="F108" s="105">
        <v>1.036</v>
      </c>
      <c r="G108" s="4">
        <v>5.3</v>
      </c>
      <c r="H108" s="98" t="s">
        <v>1580</v>
      </c>
    </row>
    <row r="109" spans="1:8" ht="13.2" hidden="1" customHeight="1" x14ac:dyDescent="0.25">
      <c r="A109" s="20" t="s">
        <v>1501</v>
      </c>
      <c r="B109" s="20" t="s">
        <v>1405</v>
      </c>
      <c r="C109" s="41" t="s">
        <v>89</v>
      </c>
      <c r="D109" s="107">
        <v>0.75</v>
      </c>
      <c r="E109" s="107">
        <v>4.9000000000000002E-2</v>
      </c>
      <c r="F109" s="105">
        <f>(grains_table[[#This Row],[Extract %]]*46.214)/1000+1</f>
        <v>1.0346605</v>
      </c>
      <c r="G109" s="4">
        <v>28</v>
      </c>
      <c r="H109" s="98" t="s">
        <v>1421</v>
      </c>
    </row>
    <row r="110" spans="1:8" ht="13.2" hidden="1" customHeight="1" x14ac:dyDescent="0.25">
      <c r="A110" s="20" t="s">
        <v>1502</v>
      </c>
      <c r="B110" s="20" t="s">
        <v>1405</v>
      </c>
      <c r="C110" s="41" t="s">
        <v>89</v>
      </c>
      <c r="D110" s="107">
        <v>0.75</v>
      </c>
      <c r="E110" s="107">
        <v>4.9000000000000002E-2</v>
      </c>
      <c r="F110" s="105">
        <f>(grains_table[[#This Row],[Extract %]]*46.214)/1000+1</f>
        <v>1.0346605</v>
      </c>
      <c r="G110" s="4">
        <v>19.5</v>
      </c>
      <c r="H110" s="98" t="s">
        <v>1422</v>
      </c>
    </row>
    <row r="111" spans="1:8" ht="13.2" hidden="1" customHeight="1" x14ac:dyDescent="0.25">
      <c r="A111" s="20" t="s">
        <v>1503</v>
      </c>
      <c r="B111" s="20" t="s">
        <v>1360</v>
      </c>
      <c r="C111" s="41" t="s">
        <v>89</v>
      </c>
      <c r="D111" s="107">
        <v>0.75</v>
      </c>
      <c r="E111" s="107">
        <v>4.4999999999999998E-2</v>
      </c>
      <c r="F111" s="105">
        <f>(grains_table[[#This Row],[Extract %]]*46.214)/1000+1</f>
        <v>1.0346605</v>
      </c>
      <c r="G111" s="4">
        <v>27</v>
      </c>
      <c r="H111" s="98" t="s">
        <v>1401</v>
      </c>
    </row>
    <row r="112" spans="1:8" ht="13.2" hidden="1" customHeight="1" x14ac:dyDescent="0.25">
      <c r="A112" s="20" t="s">
        <v>1495</v>
      </c>
      <c r="B112" s="20" t="s">
        <v>1362</v>
      </c>
      <c r="C112" s="41" t="s">
        <v>89</v>
      </c>
      <c r="D112" s="107">
        <v>0.77</v>
      </c>
      <c r="E112" s="107">
        <v>2.5000000000000001E-2</v>
      </c>
      <c r="F112" s="105">
        <f>(grains_table[[#This Row],[Extract %]]*46.214)/1000+1</f>
        <v>1.03558478</v>
      </c>
      <c r="G112" s="4">
        <v>20</v>
      </c>
      <c r="H112" s="98" t="s">
        <v>1402</v>
      </c>
    </row>
    <row r="113" spans="1:8" ht="13.2" hidden="1" customHeight="1" x14ac:dyDescent="0.25">
      <c r="A113" s="20" t="s">
        <v>1496</v>
      </c>
      <c r="B113" s="20" t="s">
        <v>1405</v>
      </c>
      <c r="C113" s="41" t="s">
        <v>89</v>
      </c>
      <c r="D113" s="107">
        <v>0.80500000000000005</v>
      </c>
      <c r="E113" s="107">
        <v>4.9000000000000002E-2</v>
      </c>
      <c r="F113" s="105">
        <f>(grains_table[[#This Row],[Extract %]]*46.214)/1000+1</f>
        <v>1.0372022700000001</v>
      </c>
      <c r="G113" s="4">
        <v>6.3</v>
      </c>
      <c r="H113" s="98" t="s">
        <v>1423</v>
      </c>
    </row>
    <row r="114" spans="1:8" ht="13.2" hidden="1" customHeight="1" x14ac:dyDescent="0.25">
      <c r="A114" s="20" t="s">
        <v>1497</v>
      </c>
      <c r="B114" s="20" t="s">
        <v>1405</v>
      </c>
      <c r="C114" s="41" t="s">
        <v>89</v>
      </c>
      <c r="D114" s="107">
        <v>0.8</v>
      </c>
      <c r="E114" s="107">
        <v>4.9000000000000002E-2</v>
      </c>
      <c r="F114" s="105">
        <f>(grains_table[[#This Row],[Extract %]]*46.214)/1000+1</f>
        <v>1.0369712</v>
      </c>
      <c r="G114" s="4">
        <v>11.05</v>
      </c>
      <c r="H114" s="98" t="s">
        <v>1420</v>
      </c>
    </row>
    <row r="115" spans="1:8" ht="13.2" hidden="1" customHeight="1" x14ac:dyDescent="0.25">
      <c r="A115" s="20" t="s">
        <v>1498</v>
      </c>
      <c r="B115" s="20" t="s">
        <v>1362</v>
      </c>
      <c r="C115" s="41" t="s">
        <v>89</v>
      </c>
      <c r="D115" s="107">
        <v>0.78</v>
      </c>
      <c r="E115" s="107">
        <v>3.3000000000000002E-2</v>
      </c>
      <c r="F115" s="105">
        <f>(grains_table[[#This Row],[Extract %]]*46.214)/1000+1</f>
        <v>1.03604692</v>
      </c>
      <c r="G115" s="4">
        <v>10</v>
      </c>
      <c r="H115" s="98" t="s">
        <v>1411</v>
      </c>
    </row>
    <row r="116" spans="1:8" ht="13.2" hidden="1" customHeight="1" x14ac:dyDescent="0.25">
      <c r="A116" s="20" t="s">
        <v>2054</v>
      </c>
      <c r="B116" t="s">
        <v>2035</v>
      </c>
      <c r="C116" s="4" t="s">
        <v>89</v>
      </c>
      <c r="D116" s="104">
        <v>0.81</v>
      </c>
      <c r="E116" s="104">
        <v>0.03</v>
      </c>
      <c r="F116" s="105">
        <f>(grains_table[[#This Row],[Extract %]]*46.214)/1000+1</f>
        <v>1.03743334</v>
      </c>
      <c r="G116" s="4">
        <v>6</v>
      </c>
      <c r="H116" s="98" t="s">
        <v>2036</v>
      </c>
    </row>
    <row r="117" spans="1:8" ht="13.2" hidden="1" customHeight="1" x14ac:dyDescent="0.25">
      <c r="A117" s="20" t="s">
        <v>1500</v>
      </c>
      <c r="B117" s="20" t="s">
        <v>1361</v>
      </c>
      <c r="C117" s="41" t="s">
        <v>89</v>
      </c>
      <c r="D117" s="107">
        <v>0.8</v>
      </c>
      <c r="E117" s="107">
        <v>0.04</v>
      </c>
      <c r="F117" s="105">
        <f>(grains_table[[#This Row],[Extract %]]*46.214)/1000+1</f>
        <v>1.0369712</v>
      </c>
      <c r="G117" s="4">
        <v>8.6</v>
      </c>
      <c r="H117" s="98" t="s">
        <v>1374</v>
      </c>
    </row>
    <row r="118" spans="1:8" ht="13.2" hidden="1" customHeight="1" x14ac:dyDescent="0.25">
      <c r="A118" s="20" t="s">
        <v>1499</v>
      </c>
      <c r="B118" s="20" t="s">
        <v>1363</v>
      </c>
      <c r="C118" s="41" t="s">
        <v>89</v>
      </c>
      <c r="D118" s="107">
        <v>0.79500000000000004</v>
      </c>
      <c r="E118" s="107">
        <v>4.4999999999999998E-2</v>
      </c>
      <c r="F118" s="105">
        <f>(grains_table[[#This Row],[Extract %]]*46.214)/1000+1</f>
        <v>1.0367401300000001</v>
      </c>
      <c r="G118" s="4">
        <v>6</v>
      </c>
      <c r="H118" s="98" t="s">
        <v>1398</v>
      </c>
    </row>
    <row r="119" spans="1:8" ht="13.2" hidden="1" customHeight="1" x14ac:dyDescent="0.25">
      <c r="A119" s="20" t="s">
        <v>2055</v>
      </c>
      <c r="C119" s="4" t="s">
        <v>89</v>
      </c>
      <c r="D119" s="104">
        <v>0</v>
      </c>
      <c r="E119" s="104">
        <v>0</v>
      </c>
      <c r="F119" s="105">
        <v>1</v>
      </c>
      <c r="G119" s="4">
        <v>0</v>
      </c>
      <c r="H119" s="98"/>
    </row>
    <row r="120" spans="1:8" ht="13.2" hidden="1" customHeight="1" x14ac:dyDescent="0.25">
      <c r="A120" s="20" t="s">
        <v>1570</v>
      </c>
      <c r="B120" s="20" t="s">
        <v>1361</v>
      </c>
      <c r="C120" s="41" t="s">
        <v>89</v>
      </c>
      <c r="D120" s="107">
        <v>0.69</v>
      </c>
      <c r="E120" s="107">
        <v>7.0000000000000007E-2</v>
      </c>
      <c r="F120" s="105">
        <f>(grains_table[[#This Row],[Extract %]]*46.214)/1000+1</f>
        <v>1.03188766</v>
      </c>
      <c r="G120" s="4">
        <v>7.35</v>
      </c>
      <c r="H120" s="98" t="s">
        <v>1394</v>
      </c>
    </row>
    <row r="121" spans="1:8" ht="13.2" hidden="1" customHeight="1" x14ac:dyDescent="0.25">
      <c r="A121" s="20" t="s">
        <v>1568</v>
      </c>
      <c r="B121" s="20" t="s">
        <v>1361</v>
      </c>
      <c r="C121" s="41" t="s">
        <v>89</v>
      </c>
      <c r="D121" s="107">
        <v>0.74</v>
      </c>
      <c r="E121" s="107">
        <v>7.0000000000000007E-2</v>
      </c>
      <c r="F121" s="105">
        <f>(grains_table[[#This Row],[Extract %]]*46.214)/1000+1</f>
        <v>1.03419836</v>
      </c>
      <c r="G121" s="4">
        <v>1.7</v>
      </c>
      <c r="H121" s="98" t="s">
        <v>1392</v>
      </c>
    </row>
    <row r="122" spans="1:8" ht="13.2" hidden="1" customHeight="1" x14ac:dyDescent="0.25">
      <c r="A122" s="20" t="s">
        <v>1566</v>
      </c>
      <c r="B122" s="20" t="s">
        <v>1405</v>
      </c>
      <c r="C122" s="4" t="s">
        <v>89</v>
      </c>
      <c r="D122" s="107">
        <v>0.79</v>
      </c>
      <c r="E122" s="107">
        <v>4.9000000000000002E-2</v>
      </c>
      <c r="F122" s="105">
        <f>(grains_table[[#This Row],[Extract %]]*46.214)/1000+1</f>
        <v>1.03650906</v>
      </c>
      <c r="G122" s="4">
        <v>12</v>
      </c>
      <c r="H122" s="98" t="s">
        <v>1428</v>
      </c>
    </row>
    <row r="123" spans="1:8" ht="13.2" hidden="1" customHeight="1" x14ac:dyDescent="0.25">
      <c r="A123" s="20" t="s">
        <v>1564</v>
      </c>
      <c r="B123" s="20" t="s">
        <v>1405</v>
      </c>
      <c r="C123" s="41" t="s">
        <v>89</v>
      </c>
      <c r="D123" s="107">
        <v>0.75</v>
      </c>
      <c r="E123" s="107">
        <v>4.4999999999999998E-2</v>
      </c>
      <c r="F123" s="105">
        <f>(grains_table[[#This Row],[Extract %]]*46.214)/1000+1</f>
        <v>1.0346605</v>
      </c>
      <c r="G123" s="4">
        <v>132.5</v>
      </c>
      <c r="H123" s="98" t="s">
        <v>1429</v>
      </c>
    </row>
    <row r="124" spans="1:8" ht="13.2" hidden="1" customHeight="1" x14ac:dyDescent="0.25">
      <c r="A124" s="20" t="s">
        <v>1627</v>
      </c>
      <c r="B124" s="20" t="s">
        <v>1360</v>
      </c>
      <c r="C124" s="41" t="s">
        <v>89</v>
      </c>
      <c r="D124" s="107">
        <v>0.75</v>
      </c>
      <c r="E124" s="107">
        <v>4.4999999999999998E-2</v>
      </c>
      <c r="F124" s="105">
        <f>(grains_table[[#This Row],[Extract %]]*46.214)/1000+1</f>
        <v>1.0346605</v>
      </c>
      <c r="G124" s="4">
        <v>17.5</v>
      </c>
      <c r="H124" s="98" t="s">
        <v>1401</v>
      </c>
    </row>
    <row r="125" spans="1:8" ht="13.2" hidden="1" customHeight="1" x14ac:dyDescent="0.25">
      <c r="A125" s="20" t="s">
        <v>1485</v>
      </c>
      <c r="B125" s="20" t="s">
        <v>1405</v>
      </c>
      <c r="C125" s="41" t="s">
        <v>89</v>
      </c>
      <c r="D125" s="107">
        <v>0.80500000000000005</v>
      </c>
      <c r="E125" s="107">
        <v>4.9000000000000002E-2</v>
      </c>
      <c r="F125" s="105">
        <f>(grains_table[[#This Row],[Extract %]]*46.214)/1000+1</f>
        <v>1.0372022700000001</v>
      </c>
      <c r="G125" s="4">
        <v>2.7</v>
      </c>
      <c r="H125" s="98" t="s">
        <v>1418</v>
      </c>
    </row>
    <row r="126" spans="1:8" ht="13.2" hidden="1" customHeight="1" x14ac:dyDescent="0.25">
      <c r="A126" s="20" t="s">
        <v>1486</v>
      </c>
      <c r="B126" s="20" t="s">
        <v>1361</v>
      </c>
      <c r="C126" s="41" t="s">
        <v>89</v>
      </c>
      <c r="D126" s="107">
        <v>0.80500000000000005</v>
      </c>
      <c r="E126" s="107">
        <v>3.6999999999999998E-2</v>
      </c>
      <c r="F126" s="105">
        <f>(grains_table[[#This Row],[Extract %]]*46.214)/1000+1</f>
        <v>1.0372022700000001</v>
      </c>
      <c r="G126" s="4">
        <v>2.6</v>
      </c>
      <c r="H126" s="98" t="s">
        <v>1370</v>
      </c>
    </row>
    <row r="127" spans="1:8" ht="13.2" hidden="1" customHeight="1" x14ac:dyDescent="0.25">
      <c r="A127" s="20" t="s">
        <v>1483</v>
      </c>
      <c r="B127" s="20" t="s">
        <v>1361</v>
      </c>
      <c r="C127" s="41" t="s">
        <v>89</v>
      </c>
      <c r="D127" s="107">
        <v>0.8</v>
      </c>
      <c r="E127" s="107">
        <v>0.04</v>
      </c>
      <c r="F127" s="105">
        <f>(grains_table[[#This Row],[Extract %]]*46.214)/1000+1</f>
        <v>1.0369712</v>
      </c>
      <c r="G127" s="4">
        <v>8.6</v>
      </c>
      <c r="H127" s="98" t="s">
        <v>1377</v>
      </c>
    </row>
    <row r="128" spans="1:8" ht="13.2" hidden="1" customHeight="1" x14ac:dyDescent="0.25">
      <c r="A128" s="20" t="s">
        <v>1487</v>
      </c>
      <c r="B128" s="20" t="s">
        <v>1361</v>
      </c>
      <c r="C128" s="41" t="s">
        <v>89</v>
      </c>
      <c r="D128" s="107">
        <v>0.80500000000000005</v>
      </c>
      <c r="E128" s="107">
        <v>3.6999999999999998E-2</v>
      </c>
      <c r="F128" s="105">
        <f>(grains_table[[#This Row],[Extract %]]*46.214)/1000+1</f>
        <v>1.0372022700000001</v>
      </c>
      <c r="G128" s="4">
        <v>1.85</v>
      </c>
      <c r="H128" s="98" t="s">
        <v>1371</v>
      </c>
    </row>
    <row r="129" spans="1:8" ht="13.2" hidden="1" customHeight="1" x14ac:dyDescent="0.25">
      <c r="A129" s="20" t="s">
        <v>1599</v>
      </c>
      <c r="B129" s="20" t="s">
        <v>1361</v>
      </c>
      <c r="C129" s="41" t="s">
        <v>89</v>
      </c>
      <c r="D129" s="107">
        <v>0.81</v>
      </c>
      <c r="E129" s="107">
        <v>3.6999999999999998E-2</v>
      </c>
      <c r="F129" s="105">
        <f>(grains_table[[#This Row],[Extract %]]*46.214)/1000+1</f>
        <v>1.03743334</v>
      </c>
      <c r="G129" s="4">
        <v>2.6</v>
      </c>
      <c r="H129" s="98" t="s">
        <v>1367</v>
      </c>
    </row>
    <row r="130" spans="1:8" ht="13.2" hidden="1" customHeight="1" x14ac:dyDescent="0.25">
      <c r="A130" s="20" t="s">
        <v>1600</v>
      </c>
      <c r="B130" s="20" t="s">
        <v>1361</v>
      </c>
      <c r="C130" s="41" t="s">
        <v>89</v>
      </c>
      <c r="D130" s="107">
        <v>0.81</v>
      </c>
      <c r="E130" s="107">
        <v>3.6999999999999998E-2</v>
      </c>
      <c r="F130" s="105">
        <f>(grains_table[[#This Row],[Extract %]]*46.214)/1000+1</f>
        <v>1.03743334</v>
      </c>
      <c r="G130" s="4">
        <v>2.6</v>
      </c>
      <c r="H130" s="98" t="s">
        <v>1368</v>
      </c>
    </row>
    <row r="131" spans="1:8" ht="13.2" hidden="1" customHeight="1" x14ac:dyDescent="0.25">
      <c r="A131" s="20" t="s">
        <v>1545</v>
      </c>
      <c r="B131" s="20" t="s">
        <v>1546</v>
      </c>
      <c r="C131" s="41" t="s">
        <v>89</v>
      </c>
      <c r="D131" s="107">
        <v>0.8</v>
      </c>
      <c r="E131" s="107">
        <v>0.04</v>
      </c>
      <c r="F131" s="105">
        <f>(grains_table[[#This Row],[Extract %]]*46.214)/1000+1</f>
        <v>1.0369712</v>
      </c>
      <c r="G131" s="4">
        <v>2.65</v>
      </c>
      <c r="H131" s="98" t="s">
        <v>1606</v>
      </c>
    </row>
    <row r="132" spans="1:8" ht="13.2" hidden="1" customHeight="1" x14ac:dyDescent="0.25">
      <c r="A132" s="20" t="s">
        <v>1484</v>
      </c>
      <c r="B132" s="20" t="s">
        <v>1361</v>
      </c>
      <c r="C132" s="41" t="s">
        <v>89</v>
      </c>
      <c r="D132" s="107">
        <v>0.75</v>
      </c>
      <c r="E132" s="107">
        <v>3.5000000000000003E-2</v>
      </c>
      <c r="F132" s="105">
        <f>(grains_table[[#This Row],[Extract %]]*46.214)/1000+1</f>
        <v>1.0346605</v>
      </c>
      <c r="G132" s="4">
        <v>17.45</v>
      </c>
      <c r="H132" s="98" t="s">
        <v>1375</v>
      </c>
    </row>
    <row r="133" spans="1:8" ht="13.2" hidden="1" customHeight="1" x14ac:dyDescent="0.25">
      <c r="A133" s="20" t="s">
        <v>1488</v>
      </c>
      <c r="B133" s="20" t="s">
        <v>1362</v>
      </c>
      <c r="C133" s="41" t="s">
        <v>89</v>
      </c>
      <c r="D133" s="107">
        <v>0.78500000000000003</v>
      </c>
      <c r="E133" s="107">
        <v>1.4999999999999999E-2</v>
      </c>
      <c r="F133" s="105">
        <f>(grains_table[[#This Row],[Extract %]]*46.214)/1000+1</f>
        <v>1.0362779900000001</v>
      </c>
      <c r="G133" s="4">
        <v>3.5</v>
      </c>
      <c r="H133" s="98" t="s">
        <v>1636</v>
      </c>
    </row>
    <row r="134" spans="1:8" ht="13.2" hidden="1" customHeight="1" x14ac:dyDescent="0.25">
      <c r="A134" s="20" t="s">
        <v>1828</v>
      </c>
      <c r="B134" s="20" t="s">
        <v>1667</v>
      </c>
      <c r="C134" s="41" t="s">
        <v>89</v>
      </c>
      <c r="D134" s="107">
        <v>0.79</v>
      </c>
      <c r="E134" s="107">
        <v>4.4999999999999998E-2</v>
      </c>
      <c r="F134" s="105">
        <f>(grains_table[[#This Row],[Extract %]]*46.214)/1000+1</f>
        <v>1.03650906</v>
      </c>
      <c r="G134" s="4">
        <v>3.5</v>
      </c>
      <c r="H134" s="98" t="s">
        <v>1829</v>
      </c>
    </row>
    <row r="135" spans="1:8" ht="13.2" hidden="1" customHeight="1" x14ac:dyDescent="0.25">
      <c r="A135" s="20" t="s">
        <v>1490</v>
      </c>
      <c r="B135" s="20" t="s">
        <v>1360</v>
      </c>
      <c r="C135" s="41" t="s">
        <v>89</v>
      </c>
      <c r="D135" s="107">
        <v>0.79</v>
      </c>
      <c r="E135" s="107">
        <v>4.4999999999999998E-2</v>
      </c>
      <c r="F135" s="105">
        <f>(grains_table[[#This Row],[Extract %]]*46.214)/1000+1</f>
        <v>1.03650906</v>
      </c>
      <c r="G135" s="4">
        <v>3</v>
      </c>
      <c r="H135" s="98" t="s">
        <v>1401</v>
      </c>
    </row>
    <row r="136" spans="1:8" ht="13.2" hidden="1" customHeight="1" x14ac:dyDescent="0.25">
      <c r="A136" s="20" t="s">
        <v>1489</v>
      </c>
      <c r="B136" s="20" t="s">
        <v>1363</v>
      </c>
      <c r="C136" s="41" t="s">
        <v>89</v>
      </c>
      <c r="D136" s="107">
        <v>0.8</v>
      </c>
      <c r="E136" s="107">
        <v>4.4999999999999998E-2</v>
      </c>
      <c r="F136" s="105">
        <f>(grains_table[[#This Row],[Extract %]]*46.214)/1000+1</f>
        <v>1.0369712</v>
      </c>
      <c r="G136" s="4">
        <v>3.8</v>
      </c>
      <c r="H136" s="98" t="s">
        <v>1398</v>
      </c>
    </row>
    <row r="137" spans="1:8" ht="13.2" hidden="1" customHeight="1" x14ac:dyDescent="0.25">
      <c r="A137" s="20" t="s">
        <v>2037</v>
      </c>
      <c r="B137" s="20" t="s">
        <v>2035</v>
      </c>
      <c r="C137" s="41" t="s">
        <v>89</v>
      </c>
      <c r="D137" s="107">
        <v>0.80500000000000005</v>
      </c>
      <c r="E137" s="107">
        <v>3.5000000000000003E-2</v>
      </c>
      <c r="F137" s="105">
        <f>(grains_table[[#This Row],[Extract %]]*46.214)/1000+1</f>
        <v>1.0372022700000001</v>
      </c>
      <c r="G137" s="4">
        <v>2.7</v>
      </c>
      <c r="H137" s="98" t="s">
        <v>2036</v>
      </c>
    </row>
    <row r="138" spans="1:8" ht="13.2" hidden="1" customHeight="1" x14ac:dyDescent="0.25">
      <c r="A138" s="20" t="s">
        <v>2038</v>
      </c>
      <c r="B138" s="20" t="s">
        <v>2035</v>
      </c>
      <c r="C138" s="41" t="s">
        <v>89</v>
      </c>
      <c r="D138" s="107">
        <v>0.80500000000000005</v>
      </c>
      <c r="E138" s="107">
        <v>3.5000000000000003E-2</v>
      </c>
      <c r="F138" s="105">
        <f>(grains_table[[#This Row],[Extract %]]*46.214)/1000+1</f>
        <v>1.0372022700000001</v>
      </c>
      <c r="G138" s="4">
        <v>2.4</v>
      </c>
      <c r="H138" s="98" t="s">
        <v>2036</v>
      </c>
    </row>
    <row r="139" spans="1:8" ht="13.2" hidden="1" customHeight="1" x14ac:dyDescent="0.25">
      <c r="A139" s="20" t="s">
        <v>1491</v>
      </c>
      <c r="B139" s="20" t="s">
        <v>1362</v>
      </c>
      <c r="C139" s="41" t="s">
        <v>89</v>
      </c>
      <c r="D139" s="107">
        <v>0.79</v>
      </c>
      <c r="E139" s="107">
        <v>3.5000000000000003E-2</v>
      </c>
      <c r="F139" s="105">
        <f>(grains_table[[#This Row],[Extract %]]*46.214)/1000+1</f>
        <v>1.03650906</v>
      </c>
      <c r="G139" s="4">
        <v>5.3</v>
      </c>
      <c r="H139" s="98" t="s">
        <v>1636</v>
      </c>
    </row>
    <row r="140" spans="1:8" ht="13.2" hidden="1" customHeight="1" x14ac:dyDescent="0.25">
      <c r="A140" s="20" t="s">
        <v>1492</v>
      </c>
      <c r="B140" s="20" t="s">
        <v>1362</v>
      </c>
      <c r="C140" s="41" t="s">
        <v>89</v>
      </c>
      <c r="D140" s="107">
        <v>0.81</v>
      </c>
      <c r="E140" s="107">
        <v>4.2000000000000003E-2</v>
      </c>
      <c r="F140" s="105">
        <f>(grains_table[[#This Row],[Extract %]]*46.214)/1000+1</f>
        <v>1.03743334</v>
      </c>
      <c r="G140" s="4">
        <v>1.8</v>
      </c>
      <c r="H140" s="98" t="s">
        <v>1636</v>
      </c>
    </row>
    <row r="141" spans="1:8" ht="13.2" hidden="1" customHeight="1" x14ac:dyDescent="0.25">
      <c r="A141" s="20" t="s">
        <v>1666</v>
      </c>
      <c r="B141" s="20" t="s">
        <v>1667</v>
      </c>
      <c r="C141" s="4" t="s">
        <v>89</v>
      </c>
      <c r="D141" s="104">
        <v>0.8</v>
      </c>
      <c r="E141" s="104">
        <v>0.04</v>
      </c>
      <c r="F141" s="105">
        <v>1.0369999999999999</v>
      </c>
      <c r="G141" s="4">
        <v>1.8</v>
      </c>
      <c r="H141" s="98" t="s">
        <v>1668</v>
      </c>
    </row>
    <row r="142" spans="1:8" ht="13.2" hidden="1" customHeight="1" x14ac:dyDescent="0.25">
      <c r="A142" s="20" t="s">
        <v>1493</v>
      </c>
      <c r="B142" s="20" t="s">
        <v>1362</v>
      </c>
      <c r="C142" s="41" t="s">
        <v>89</v>
      </c>
      <c r="D142" s="107">
        <v>0.8</v>
      </c>
      <c r="E142" s="107">
        <v>4.5999999999999999E-2</v>
      </c>
      <c r="F142" s="105">
        <f>(grains_table[[#This Row],[Extract %]]*46.214)/1000+1</f>
        <v>1.0369712</v>
      </c>
      <c r="G142" s="4">
        <v>1.7</v>
      </c>
      <c r="H142" s="98" t="s">
        <v>1412</v>
      </c>
    </row>
    <row r="143" spans="1:8" ht="13.2" hidden="1" customHeight="1" x14ac:dyDescent="0.25">
      <c r="A143" s="20" t="s">
        <v>1494</v>
      </c>
      <c r="B143" s="20" t="s">
        <v>1361</v>
      </c>
      <c r="C143" s="41" t="s">
        <v>89</v>
      </c>
      <c r="D143" s="107">
        <v>0.80500000000000005</v>
      </c>
      <c r="E143" s="107">
        <v>3.6999999999999998E-2</v>
      </c>
      <c r="F143" s="105">
        <f>(grains_table[[#This Row],[Extract %]]*46.214)/1000+1</f>
        <v>1.0372022700000001</v>
      </c>
      <c r="G143" s="4">
        <v>1.7</v>
      </c>
      <c r="H143" s="98" t="s">
        <v>1369</v>
      </c>
    </row>
    <row r="144" spans="1:8" ht="13.2" hidden="1" customHeight="1" x14ac:dyDescent="0.25">
      <c r="A144" s="20" t="s">
        <v>1741</v>
      </c>
      <c r="B144" s="20" t="s">
        <v>1667</v>
      </c>
      <c r="C144" s="41" t="s">
        <v>89</v>
      </c>
      <c r="D144" s="107">
        <v>0.79</v>
      </c>
      <c r="E144" s="107">
        <v>4.2000000000000003E-2</v>
      </c>
      <c r="F144" s="105">
        <f>(grains_table[[#This Row],[Extract %]]*46.214)/1000+1</f>
        <v>1.03650906</v>
      </c>
      <c r="G144" s="4">
        <v>2.2999999999999998</v>
      </c>
      <c r="H144" s="98" t="s">
        <v>1742</v>
      </c>
    </row>
    <row r="145" spans="1:8" ht="13.2" hidden="1" customHeight="1" x14ac:dyDescent="0.25">
      <c r="A145" s="20" t="s">
        <v>1444</v>
      </c>
      <c r="B145" s="20" t="s">
        <v>1405</v>
      </c>
      <c r="C145" s="41" t="s">
        <v>89</v>
      </c>
      <c r="D145" s="107">
        <v>0.80500000000000005</v>
      </c>
      <c r="E145" s="107">
        <v>4.9000000000000002E-2</v>
      </c>
      <c r="F145" s="105">
        <f>(grains_table[[#This Row],[Extract %]]*46.214)/1000+1</f>
        <v>1.0372022700000001</v>
      </c>
      <c r="G145" s="4">
        <v>1.5</v>
      </c>
      <c r="H145" s="98" t="s">
        <v>1416</v>
      </c>
    </row>
    <row r="146" spans="1:8" ht="13.2" hidden="1" customHeight="1" x14ac:dyDescent="0.25">
      <c r="A146" s="20" t="s">
        <v>1445</v>
      </c>
      <c r="B146" s="20" t="s">
        <v>1405</v>
      </c>
      <c r="C146" s="41" t="s">
        <v>89</v>
      </c>
      <c r="D146" s="107">
        <v>0.80500000000000005</v>
      </c>
      <c r="E146" s="107">
        <v>4.9000000000000002E-2</v>
      </c>
      <c r="F146" s="105">
        <f>(grains_table[[#This Row],[Extract %]]*46.214)/1000+1</f>
        <v>1.0372022700000001</v>
      </c>
      <c r="G146" s="4">
        <v>1.95</v>
      </c>
      <c r="H146" s="98" t="s">
        <v>1417</v>
      </c>
    </row>
    <row r="147" spans="1:8" ht="13.2" hidden="1" customHeight="1" x14ac:dyDescent="0.25">
      <c r="A147" s="20" t="s">
        <v>1446</v>
      </c>
      <c r="B147" s="20" t="s">
        <v>1360</v>
      </c>
      <c r="C147" s="41" t="s">
        <v>89</v>
      </c>
      <c r="D147" s="107">
        <v>0.8</v>
      </c>
      <c r="E147" s="107">
        <v>0.05</v>
      </c>
      <c r="F147" s="105">
        <f>(grains_table[[#This Row],[Extract %]]*46.214)/1000+1</f>
        <v>1.0369712</v>
      </c>
      <c r="G147" s="4">
        <v>2.0499999999999998</v>
      </c>
      <c r="H147" s="98" t="s">
        <v>1401</v>
      </c>
    </row>
    <row r="148" spans="1:8" ht="13.2" hidden="1" customHeight="1" x14ac:dyDescent="0.25">
      <c r="A148" s="20" t="s">
        <v>1601</v>
      </c>
      <c r="B148" s="20" t="s">
        <v>1360</v>
      </c>
      <c r="C148" s="41" t="s">
        <v>89</v>
      </c>
      <c r="D148" s="107">
        <v>0.80500000000000005</v>
      </c>
      <c r="E148" s="107">
        <v>4.4999999999999998E-2</v>
      </c>
      <c r="F148" s="105">
        <f>(grains_table[[#This Row],[Extract %]]*46.214)/1000+1</f>
        <v>1.0372022700000001</v>
      </c>
      <c r="G148" s="4">
        <v>1.3</v>
      </c>
      <c r="H148" s="98" t="s">
        <v>1401</v>
      </c>
    </row>
    <row r="149" spans="1:8" ht="13.2" hidden="1" customHeight="1" x14ac:dyDescent="0.25">
      <c r="A149" s="20" t="s">
        <v>1447</v>
      </c>
      <c r="B149" s="20" t="s">
        <v>1361</v>
      </c>
      <c r="C149" s="41" t="s">
        <v>89</v>
      </c>
      <c r="D149" s="107">
        <v>0.81</v>
      </c>
      <c r="E149" s="107">
        <v>4.4999999999999998E-2</v>
      </c>
      <c r="F149" s="105">
        <f>(grains_table[[#This Row],[Extract %]]*46.214)/1000+1</f>
        <v>1.03743334</v>
      </c>
      <c r="G149" s="4">
        <v>1.7</v>
      </c>
      <c r="H149" s="98" t="s">
        <v>1372</v>
      </c>
    </row>
    <row r="150" spans="1:8" ht="13.2" hidden="1" customHeight="1" x14ac:dyDescent="0.25">
      <c r="A150" s="20" t="s">
        <v>1647</v>
      </c>
      <c r="B150" s="20" t="s">
        <v>1360</v>
      </c>
      <c r="C150" s="41" t="s">
        <v>89</v>
      </c>
      <c r="D150" s="107">
        <v>0.79</v>
      </c>
      <c r="E150" s="107">
        <v>5.5E-2</v>
      </c>
      <c r="F150" s="105">
        <f>(grains_table[[#This Row],[Extract %]]*46.214)/1000+1</f>
        <v>1.03650906</v>
      </c>
      <c r="G150" s="4">
        <v>1.95</v>
      </c>
      <c r="H150" s="98" t="s">
        <v>1401</v>
      </c>
    </row>
    <row r="151" spans="1:8" ht="13.2" hidden="1" customHeight="1" x14ac:dyDescent="0.25">
      <c r="A151" s="20" t="s">
        <v>2047</v>
      </c>
      <c r="B151" t="s">
        <v>2035</v>
      </c>
      <c r="C151" s="4" t="s">
        <v>89</v>
      </c>
      <c r="D151" s="104">
        <v>0.81</v>
      </c>
      <c r="E151" s="104">
        <v>3.5000000000000003E-2</v>
      </c>
      <c r="F151" s="105">
        <f>(grains_table[[#This Row],[Extract %]]*46.214)/1000+1</f>
        <v>1.03743334</v>
      </c>
      <c r="G151" s="4">
        <v>2.1</v>
      </c>
      <c r="H151" s="98" t="s">
        <v>2036</v>
      </c>
    </row>
    <row r="152" spans="1:8" ht="13.2" hidden="1" customHeight="1" x14ac:dyDescent="0.25">
      <c r="A152" s="20" t="s">
        <v>2050</v>
      </c>
      <c r="B152" t="s">
        <v>2035</v>
      </c>
      <c r="C152" s="4" t="s">
        <v>89</v>
      </c>
      <c r="D152" s="104">
        <v>0.81</v>
      </c>
      <c r="E152" s="104">
        <v>3.5000000000000003E-2</v>
      </c>
      <c r="F152" s="105">
        <f>(grains_table[[#This Row],[Extract %]]*46.214)/1000+1</f>
        <v>1.03743334</v>
      </c>
      <c r="G152" s="4">
        <v>1.6</v>
      </c>
      <c r="H152" s="98" t="s">
        <v>2036</v>
      </c>
    </row>
    <row r="153" spans="1:8" ht="13.2" hidden="1" customHeight="1" x14ac:dyDescent="0.25">
      <c r="A153" s="20" t="s">
        <v>1544</v>
      </c>
      <c r="B153" s="20" t="s">
        <v>1546</v>
      </c>
      <c r="C153" s="41" t="s">
        <v>89</v>
      </c>
      <c r="D153" s="107">
        <v>0.8</v>
      </c>
      <c r="E153" s="107">
        <v>0.04</v>
      </c>
      <c r="F153" s="105">
        <f>(grains_table[[#This Row],[Extract %]]*46.214)/1000+1</f>
        <v>1.0369712</v>
      </c>
      <c r="G153" s="4">
        <v>1.6</v>
      </c>
      <c r="H153" s="98" t="s">
        <v>1606</v>
      </c>
    </row>
    <row r="154" spans="1:8" ht="13.2" hidden="1" customHeight="1" x14ac:dyDescent="0.25">
      <c r="A154" s="20" t="s">
        <v>1448</v>
      </c>
      <c r="B154" s="20" t="s">
        <v>1362</v>
      </c>
      <c r="C154" s="41" t="s">
        <v>89</v>
      </c>
      <c r="D154" s="107">
        <v>0.80500000000000005</v>
      </c>
      <c r="E154" s="107">
        <v>4.4999999999999998E-2</v>
      </c>
      <c r="F154" s="105">
        <f>(grains_table[[#This Row],[Extract %]]*46.214)/1000+1</f>
        <v>1.0372022700000001</v>
      </c>
      <c r="G154" s="4">
        <v>1.2</v>
      </c>
      <c r="H154" s="98" t="s">
        <v>1412</v>
      </c>
    </row>
    <row r="155" spans="1:8" ht="13.2" hidden="1" customHeight="1" x14ac:dyDescent="0.25">
      <c r="A155" s="20" t="s">
        <v>1449</v>
      </c>
      <c r="B155" s="20" t="s">
        <v>1363</v>
      </c>
      <c r="C155" s="41" t="s">
        <v>89</v>
      </c>
      <c r="D155" s="107">
        <v>0.8</v>
      </c>
      <c r="E155" s="107">
        <v>4.4999999999999998E-2</v>
      </c>
      <c r="F155" s="105">
        <f>(grains_table[[#This Row],[Extract %]]*46.214)/1000+1</f>
        <v>1.0369712</v>
      </c>
      <c r="G155" s="4">
        <v>1.6</v>
      </c>
      <c r="H155" s="98" t="s">
        <v>1398</v>
      </c>
    </row>
    <row r="156" spans="1:8" ht="13.2" hidden="1" customHeight="1" x14ac:dyDescent="0.25">
      <c r="A156" s="20" t="s">
        <v>1450</v>
      </c>
      <c r="B156" s="20" t="s">
        <v>1360</v>
      </c>
      <c r="C156" s="41" t="s">
        <v>89</v>
      </c>
      <c r="D156" s="107">
        <v>0.80500000000000005</v>
      </c>
      <c r="E156" s="107">
        <v>0.05</v>
      </c>
      <c r="F156" s="105">
        <f>(grains_table[[#This Row],[Extract %]]*46.214)/1000+1</f>
        <v>1.0372022700000001</v>
      </c>
      <c r="G156" s="4">
        <v>1.85</v>
      </c>
      <c r="H156" s="98" t="s">
        <v>1401</v>
      </c>
    </row>
    <row r="157" spans="1:8" ht="13.2" hidden="1" customHeight="1" x14ac:dyDescent="0.25">
      <c r="A157" s="20" t="s">
        <v>2056</v>
      </c>
      <c r="B157" t="s">
        <v>2035</v>
      </c>
      <c r="C157" s="4" t="s">
        <v>89</v>
      </c>
      <c r="D157" s="104">
        <v>0.81</v>
      </c>
      <c r="E157" s="104">
        <v>3.5000000000000003E-2</v>
      </c>
      <c r="F157" s="105">
        <f>(grains_table[[#This Row],[Extract %]]*46.214)/1000+1</f>
        <v>1.03743334</v>
      </c>
      <c r="G157" s="4">
        <v>2</v>
      </c>
      <c r="H157" s="98" t="s">
        <v>2036</v>
      </c>
    </row>
    <row r="158" spans="1:8" ht="13.2" hidden="1" customHeight="1" x14ac:dyDescent="0.25">
      <c r="A158" s="20" t="s">
        <v>1748</v>
      </c>
      <c r="B158" t="s">
        <v>1747</v>
      </c>
      <c r="C158" s="4" t="s">
        <v>89</v>
      </c>
      <c r="D158" s="107">
        <v>0.81</v>
      </c>
      <c r="E158" s="107">
        <v>4.4999999999999998E-2</v>
      </c>
      <c r="F158" s="105">
        <f>(grains_table[[#This Row],[Extract %]]*46.214)/1000+1</f>
        <v>1.03743334</v>
      </c>
      <c r="G158" s="4">
        <v>2</v>
      </c>
      <c r="H158" s="98" t="s">
        <v>1746</v>
      </c>
    </row>
    <row r="159" spans="1:8" ht="13.2" hidden="1" customHeight="1" x14ac:dyDescent="0.25">
      <c r="A159" s="20" t="s">
        <v>1451</v>
      </c>
      <c r="B159" s="20" t="s">
        <v>1362</v>
      </c>
      <c r="C159" s="41" t="s">
        <v>89</v>
      </c>
      <c r="D159" s="107">
        <v>0.83299999999999996</v>
      </c>
      <c r="E159" s="107">
        <v>4.3999999999999997E-2</v>
      </c>
      <c r="F159" s="105">
        <f>(grains_table[[#This Row],[Extract %]]*46.214)/1000+1</f>
        <v>1.038496262</v>
      </c>
      <c r="G159" s="4">
        <v>1.8</v>
      </c>
      <c r="H159" s="98" t="s">
        <v>1412</v>
      </c>
    </row>
    <row r="160" spans="1:8" ht="13.2" hidden="1" customHeight="1" x14ac:dyDescent="0.25">
      <c r="A160" s="20" t="s">
        <v>1743</v>
      </c>
      <c r="C160" s="4" t="s">
        <v>89</v>
      </c>
      <c r="D160" s="104">
        <v>0</v>
      </c>
      <c r="E160" s="104">
        <v>0</v>
      </c>
      <c r="F160" s="105">
        <f>(grains_table[[#This Row],[Extract %]]*46.214)/1000+1</f>
        <v>1</v>
      </c>
      <c r="G160" s="4">
        <v>0</v>
      </c>
      <c r="H160" s="98"/>
    </row>
    <row r="161" spans="1:8" ht="13.2" hidden="1" customHeight="1" x14ac:dyDescent="0.25">
      <c r="A161" s="20" t="s">
        <v>1348</v>
      </c>
      <c r="B161" s="20" t="s">
        <v>1362</v>
      </c>
      <c r="C161" s="41" t="s">
        <v>89</v>
      </c>
      <c r="D161" s="107"/>
      <c r="E161" s="107">
        <v>0.05</v>
      </c>
      <c r="F161" s="105">
        <v>1.0249999999999999</v>
      </c>
      <c r="G161" s="4">
        <v>300</v>
      </c>
      <c r="H161" s="98" t="s">
        <v>1665</v>
      </c>
    </row>
    <row r="162" spans="1:8" ht="13.2" hidden="1" customHeight="1" x14ac:dyDescent="0.25">
      <c r="A162" s="20" t="s">
        <v>2058</v>
      </c>
      <c r="B162" t="s">
        <v>2035</v>
      </c>
      <c r="C162" s="4" t="s">
        <v>89</v>
      </c>
      <c r="D162" s="104">
        <v>0.72</v>
      </c>
      <c r="E162" s="104">
        <v>4.4999999999999998E-2</v>
      </c>
      <c r="F162" s="105">
        <f>(grains_table[[#This Row],[Extract %]]*46.214)/1000+1</f>
        <v>1.03327408</v>
      </c>
      <c r="G162" s="4">
        <v>507</v>
      </c>
      <c r="H162" s="98" t="s">
        <v>2036</v>
      </c>
    </row>
    <row r="163" spans="1:8" ht="13.2" hidden="1" customHeight="1" x14ac:dyDescent="0.25">
      <c r="A163" s="20" t="s">
        <v>1364</v>
      </c>
      <c r="B163" s="20" t="s">
        <v>1361</v>
      </c>
      <c r="C163" s="41" t="s">
        <v>89</v>
      </c>
      <c r="D163" s="107">
        <v>0.62</v>
      </c>
      <c r="E163" s="107">
        <v>0.03</v>
      </c>
      <c r="F163" s="105">
        <f>(grains_table[[#This Row],[Extract %]]*46.214)/1000+1</f>
        <v>1.02865268</v>
      </c>
      <c r="G163" s="4">
        <v>600.6</v>
      </c>
      <c r="H163" s="98" t="s">
        <v>1391</v>
      </c>
    </row>
    <row r="164" spans="1:8" ht="13.2" hidden="1" customHeight="1" x14ac:dyDescent="0.25">
      <c r="A164" s="20" t="s">
        <v>1365</v>
      </c>
      <c r="B164" s="20" t="s">
        <v>1360</v>
      </c>
      <c r="C164" s="41" t="s">
        <v>89</v>
      </c>
      <c r="D164" s="107">
        <v>0.65</v>
      </c>
      <c r="E164" s="107">
        <v>3.7999999999999999E-2</v>
      </c>
      <c r="F164" s="105">
        <f>(grains_table[[#This Row],[Extract %]]*46.214)/1000+1</f>
        <v>1.0300391</v>
      </c>
      <c r="G164" s="4">
        <v>431.5</v>
      </c>
      <c r="H164" s="98" t="s">
        <v>1401</v>
      </c>
    </row>
    <row r="165" spans="1:8" ht="13.2" hidden="1" customHeight="1" x14ac:dyDescent="0.25">
      <c r="A165" s="20" t="s">
        <v>1563</v>
      </c>
      <c r="B165" s="20" t="s">
        <v>1405</v>
      </c>
      <c r="C165" s="41" t="s">
        <v>89</v>
      </c>
      <c r="D165" s="107"/>
      <c r="E165" s="107">
        <v>5.5E-2</v>
      </c>
      <c r="F165" s="105">
        <f>(grains_table[[#This Row],[Extract %]]*46.214)/1000+1</f>
        <v>1</v>
      </c>
      <c r="G165" s="4">
        <v>490</v>
      </c>
      <c r="H165" s="99" t="s">
        <v>1443</v>
      </c>
    </row>
    <row r="166" spans="1:8" ht="13.2" hidden="1" customHeight="1" x14ac:dyDescent="0.25">
      <c r="A166" s="20" t="s">
        <v>1572</v>
      </c>
      <c r="B166" s="20" t="s">
        <v>1362</v>
      </c>
      <c r="C166" s="41" t="s">
        <v>89</v>
      </c>
      <c r="D166" s="107"/>
      <c r="E166" s="107">
        <v>0.06</v>
      </c>
      <c r="F166" s="105">
        <f>(grains_table[[#This Row],[Extract %]]*46.214)/1000+1</f>
        <v>1</v>
      </c>
      <c r="G166" s="4">
        <v>500</v>
      </c>
      <c r="H166" s="98" t="s">
        <v>1607</v>
      </c>
    </row>
    <row r="167" spans="1:8" ht="13.2" hidden="1" customHeight="1" x14ac:dyDescent="0.25">
      <c r="A167" s="20" t="s">
        <v>1548</v>
      </c>
      <c r="B167" s="20" t="s">
        <v>1363</v>
      </c>
      <c r="C167" s="41" t="s">
        <v>89</v>
      </c>
      <c r="D167" s="107">
        <v>0.7</v>
      </c>
      <c r="E167" s="107">
        <v>4.4999999999999998E-2</v>
      </c>
      <c r="F167" s="105">
        <f>(grains_table[[#This Row],[Extract %]]*46.214)/1000+1</f>
        <v>1.0323498</v>
      </c>
      <c r="G167" s="4">
        <v>453</v>
      </c>
      <c r="H167" s="99" t="s">
        <v>1400</v>
      </c>
    </row>
    <row r="168" spans="1:8" ht="13.2" hidden="1" customHeight="1" x14ac:dyDescent="0.25">
      <c r="A168" s="20" t="s">
        <v>1504</v>
      </c>
      <c r="B168" s="20" t="s">
        <v>1361</v>
      </c>
      <c r="C168" s="41" t="s">
        <v>89</v>
      </c>
      <c r="D168" s="107">
        <v>0.69</v>
      </c>
      <c r="E168" s="107">
        <v>0.05</v>
      </c>
      <c r="F168" s="105">
        <f>(grains_table[[#This Row],[Extract %]]*46.214)/1000+1</f>
        <v>1.03188766</v>
      </c>
      <c r="G168" s="4">
        <v>24</v>
      </c>
      <c r="H168" s="98" t="s">
        <v>1387</v>
      </c>
    </row>
    <row r="169" spans="1:8" ht="13.2" hidden="1" customHeight="1" x14ac:dyDescent="0.25">
      <c r="A169" s="20" t="s">
        <v>1505</v>
      </c>
      <c r="B169" s="20" t="s">
        <v>1405</v>
      </c>
      <c r="C169" s="41" t="s">
        <v>89</v>
      </c>
      <c r="D169" s="107">
        <v>0.65</v>
      </c>
      <c r="E169" s="107">
        <v>4.4999999999999998E-2</v>
      </c>
      <c r="F169" s="105">
        <f>(grains_table[[#This Row],[Extract %]]*46.214)/1000+1</f>
        <v>1.0300391</v>
      </c>
      <c r="G169" s="4">
        <v>432.5</v>
      </c>
      <c r="H169" s="99" t="s">
        <v>1437</v>
      </c>
    </row>
    <row r="170" spans="1:8" ht="13.2" hidden="1" customHeight="1" x14ac:dyDescent="0.25">
      <c r="A170" s="20" t="s">
        <v>1506</v>
      </c>
      <c r="B170" s="20" t="s">
        <v>1405</v>
      </c>
      <c r="C170" s="41" t="s">
        <v>89</v>
      </c>
      <c r="D170" s="107">
        <v>0.65</v>
      </c>
      <c r="E170" s="107">
        <v>4.4999999999999998E-2</v>
      </c>
      <c r="F170" s="105">
        <f>(grains_table[[#This Row],[Extract %]]*46.214)/1000+1</f>
        <v>1.0300391</v>
      </c>
      <c r="G170" s="4">
        <v>509.5</v>
      </c>
      <c r="H170" s="99" t="s">
        <v>1438</v>
      </c>
    </row>
    <row r="171" spans="1:8" ht="13.2" hidden="1" customHeight="1" x14ac:dyDescent="0.25">
      <c r="A171" s="20" t="s">
        <v>1507</v>
      </c>
      <c r="B171" s="20" t="s">
        <v>1405</v>
      </c>
      <c r="C171" s="41" t="s">
        <v>89</v>
      </c>
      <c r="D171" s="107">
        <v>0.75</v>
      </c>
      <c r="E171" s="107">
        <v>4.4999999999999998E-2</v>
      </c>
      <c r="F171" s="105">
        <f>(grains_table[[#This Row],[Extract %]]*46.214)/1000+1</f>
        <v>1.0346605</v>
      </c>
      <c r="G171" s="4">
        <v>340</v>
      </c>
      <c r="H171" s="98" t="s">
        <v>1617</v>
      </c>
    </row>
    <row r="172" spans="1:8" ht="13.2" hidden="1" customHeight="1" x14ac:dyDescent="0.25">
      <c r="A172" s="20" t="s">
        <v>1508</v>
      </c>
      <c r="B172" s="20" t="s">
        <v>1362</v>
      </c>
      <c r="C172" s="41" t="s">
        <v>89</v>
      </c>
      <c r="D172" s="107"/>
      <c r="E172" s="107">
        <v>0.06</v>
      </c>
      <c r="F172" s="105">
        <f>(grains_table[[#This Row],[Extract %]]*46.214)/1000+1</f>
        <v>1</v>
      </c>
      <c r="G172" s="4">
        <v>500</v>
      </c>
      <c r="H172" s="98" t="s">
        <v>1616</v>
      </c>
    </row>
    <row r="173" spans="1:8" ht="13.2" hidden="1" customHeight="1" x14ac:dyDescent="0.25">
      <c r="A173" s="20" t="s">
        <v>1509</v>
      </c>
      <c r="B173" s="20" t="s">
        <v>1361</v>
      </c>
      <c r="C173" s="41" t="s">
        <v>89</v>
      </c>
      <c r="D173" s="107">
        <v>0.69</v>
      </c>
      <c r="E173" s="107">
        <v>0.03</v>
      </c>
      <c r="F173" s="105">
        <f>(grains_table[[#This Row],[Extract %]]*46.214)/1000+1</f>
        <v>1.03188766</v>
      </c>
      <c r="G173" s="4">
        <v>625.54999999999995</v>
      </c>
      <c r="H173" s="98" t="s">
        <v>1390</v>
      </c>
    </row>
    <row r="174" spans="1:8" ht="13.2" hidden="1" customHeight="1" x14ac:dyDescent="0.25">
      <c r="A174" s="20" t="s">
        <v>1510</v>
      </c>
      <c r="B174" s="20" t="s">
        <v>1362</v>
      </c>
      <c r="C174" s="41" t="s">
        <v>89</v>
      </c>
      <c r="D174" s="107"/>
      <c r="E174" s="107">
        <v>0.06</v>
      </c>
      <c r="F174" s="105">
        <f>(grains_table[[#This Row],[Extract %]]*46.214)/1000+1</f>
        <v>1</v>
      </c>
      <c r="G174" s="4">
        <v>500</v>
      </c>
      <c r="H174" s="98" t="s">
        <v>1616</v>
      </c>
    </row>
    <row r="175" spans="1:8" ht="13.2" hidden="1" customHeight="1" x14ac:dyDescent="0.25">
      <c r="A175" s="20" t="s">
        <v>1511</v>
      </c>
      <c r="B175" s="20" t="s">
        <v>1362</v>
      </c>
      <c r="C175" s="41" t="s">
        <v>89</v>
      </c>
      <c r="D175" s="107"/>
      <c r="E175" s="107">
        <v>0.06</v>
      </c>
      <c r="F175" s="105">
        <f>(grains_table[[#This Row],[Extract %]]*46.214)/1000+1</f>
        <v>1</v>
      </c>
      <c r="G175" s="4">
        <v>500</v>
      </c>
      <c r="H175" s="98" t="s">
        <v>1616</v>
      </c>
    </row>
    <row r="176" spans="1:8" ht="13.2" hidden="1" customHeight="1" x14ac:dyDescent="0.25">
      <c r="A176" s="20" t="s">
        <v>1512</v>
      </c>
      <c r="B176" s="20" t="s">
        <v>1361</v>
      </c>
      <c r="C176" s="41" t="s">
        <v>89</v>
      </c>
      <c r="D176" s="107">
        <v>0.68700000000000006</v>
      </c>
      <c r="E176" s="107">
        <v>0.04</v>
      </c>
      <c r="F176" s="105">
        <f>(grains_table[[#This Row],[Extract %]]*46.214)/1000+1</f>
        <v>1.031749018</v>
      </c>
      <c r="G176" s="4">
        <v>193.7</v>
      </c>
      <c r="H176" s="98" t="s">
        <v>1388</v>
      </c>
    </row>
    <row r="177" spans="1:8" ht="13.2" hidden="1" customHeight="1" x14ac:dyDescent="0.25">
      <c r="A177" s="20" t="s">
        <v>1513</v>
      </c>
      <c r="B177" s="20" t="s">
        <v>1362</v>
      </c>
      <c r="C177" s="41" t="s">
        <v>89</v>
      </c>
      <c r="D177" s="107">
        <v>0.79</v>
      </c>
      <c r="E177" s="107">
        <v>2.1999999999999999E-2</v>
      </c>
      <c r="F177" s="105">
        <f>(grains_table[[#This Row],[Extract %]]*46.214)/1000+1</f>
        <v>1.03650906</v>
      </c>
      <c r="G177" s="4">
        <v>55</v>
      </c>
      <c r="H177" s="98" t="s">
        <v>1403</v>
      </c>
    </row>
    <row r="178" spans="1:8" ht="13.2" hidden="1" customHeight="1" x14ac:dyDescent="0.25">
      <c r="A178" s="20" t="s">
        <v>1514</v>
      </c>
      <c r="B178" s="20" t="s">
        <v>1362</v>
      </c>
      <c r="C178" s="41" t="s">
        <v>89</v>
      </c>
      <c r="D178" s="107">
        <v>0.6</v>
      </c>
      <c r="E178" s="107">
        <v>0</v>
      </c>
      <c r="F178" s="105">
        <f>(grains_table[[#This Row],[Extract %]]*46.214)/1000+1</f>
        <v>1.0277284</v>
      </c>
      <c r="G178" s="4">
        <v>350</v>
      </c>
      <c r="H178" s="98" t="s">
        <v>1407</v>
      </c>
    </row>
    <row r="179" spans="1:8" ht="13.2" hidden="1" customHeight="1" x14ac:dyDescent="0.25">
      <c r="A179" s="20" t="s">
        <v>1515</v>
      </c>
      <c r="B179" s="20" t="s">
        <v>1361</v>
      </c>
      <c r="C179" s="41" t="s">
        <v>89</v>
      </c>
      <c r="D179" s="107">
        <v>0.69</v>
      </c>
      <c r="E179" s="107">
        <v>0.03</v>
      </c>
      <c r="F179" s="105">
        <f>(grains_table[[#This Row],[Extract %]]*46.214)/1000+1</f>
        <v>1.03188766</v>
      </c>
      <c r="G179" s="4">
        <v>444.4</v>
      </c>
      <c r="H179" s="98" t="s">
        <v>1389</v>
      </c>
    </row>
    <row r="180" spans="1:8" ht="13.2" hidden="1" customHeight="1" x14ac:dyDescent="0.25">
      <c r="A180" s="20" t="s">
        <v>1541</v>
      </c>
      <c r="B180" s="20" t="s">
        <v>1360</v>
      </c>
      <c r="C180" s="41" t="s">
        <v>89</v>
      </c>
      <c r="D180" s="107">
        <v>0.65</v>
      </c>
      <c r="E180" s="107">
        <v>0.04</v>
      </c>
      <c r="F180" s="105">
        <f>(grains_table[[#This Row],[Extract %]]*46.214)/1000+1</f>
        <v>1.0300391</v>
      </c>
      <c r="G180" s="4">
        <v>244</v>
      </c>
      <c r="H180" s="98" t="s">
        <v>1401</v>
      </c>
    </row>
    <row r="181" spans="1:8" ht="13.2" hidden="1" customHeight="1" x14ac:dyDescent="0.25">
      <c r="A181" s="20" t="s">
        <v>1542</v>
      </c>
      <c r="B181" s="20" t="s">
        <v>1360</v>
      </c>
      <c r="C181" s="41" t="s">
        <v>89</v>
      </c>
      <c r="D181" s="107">
        <v>0.65</v>
      </c>
      <c r="E181" s="107">
        <v>0.04</v>
      </c>
      <c r="F181" s="105">
        <f>(grains_table[[#This Row],[Extract %]]*46.214)/1000+1</f>
        <v>1.0300391</v>
      </c>
      <c r="G181" s="4">
        <v>273</v>
      </c>
      <c r="H181" s="98" t="s">
        <v>1401</v>
      </c>
    </row>
    <row r="182" spans="1:8" ht="13.2" hidden="1" customHeight="1" x14ac:dyDescent="0.25">
      <c r="A182" s="20" t="s">
        <v>1543</v>
      </c>
      <c r="B182" s="20" t="s">
        <v>1360</v>
      </c>
      <c r="C182" s="41" t="s">
        <v>89</v>
      </c>
      <c r="D182" s="107">
        <v>0.65</v>
      </c>
      <c r="E182" s="107">
        <v>0.04</v>
      </c>
      <c r="F182" s="105">
        <f>(grains_table[[#This Row],[Extract %]]*46.214)/1000+1</f>
        <v>1.0300391</v>
      </c>
      <c r="G182" s="4">
        <v>394.5</v>
      </c>
      <c r="H182" s="98" t="s">
        <v>1401</v>
      </c>
    </row>
    <row r="183" spans="1:8" ht="13.2" hidden="1" customHeight="1" x14ac:dyDescent="0.25">
      <c r="A183" s="20" t="s">
        <v>1516</v>
      </c>
      <c r="B183" s="20" t="s">
        <v>1362</v>
      </c>
      <c r="C183" s="41" t="s">
        <v>89</v>
      </c>
      <c r="D183" s="107"/>
      <c r="E183" s="107">
        <v>5.5E-2</v>
      </c>
      <c r="F183" s="105">
        <f>(grains_table[[#This Row],[Extract %]]*46.214)/1000+1</f>
        <v>1</v>
      </c>
      <c r="G183" s="4">
        <v>420</v>
      </c>
      <c r="H183" s="98" t="s">
        <v>1608</v>
      </c>
    </row>
    <row r="184" spans="1:8" ht="13.2" hidden="1" customHeight="1" x14ac:dyDescent="0.25">
      <c r="A184" s="20" t="s">
        <v>1517</v>
      </c>
      <c r="B184" s="20" t="s">
        <v>1362</v>
      </c>
      <c r="C184" s="41" t="s">
        <v>89</v>
      </c>
      <c r="D184" s="107">
        <v>0.72</v>
      </c>
      <c r="E184" s="107">
        <v>2.5000000000000001E-2</v>
      </c>
      <c r="F184" s="105">
        <f>(grains_table[[#This Row],[Extract %]]*46.214)/1000+1</f>
        <v>1.03327408</v>
      </c>
      <c r="G184" s="4">
        <v>130</v>
      </c>
      <c r="H184" s="98" t="s">
        <v>1408</v>
      </c>
    </row>
    <row r="185" spans="1:8" ht="13.2" hidden="1" customHeight="1" x14ac:dyDescent="0.25">
      <c r="A185" s="20" t="s">
        <v>1518</v>
      </c>
      <c r="B185" s="20" t="s">
        <v>1362</v>
      </c>
      <c r="C185" s="41" t="s">
        <v>89</v>
      </c>
      <c r="D185" s="107"/>
      <c r="E185" s="107">
        <v>6.5000000000000002E-2</v>
      </c>
      <c r="F185" s="105">
        <f>(grains_table[[#This Row],[Extract %]]*46.214)/1000+1</f>
        <v>1</v>
      </c>
      <c r="G185" s="4">
        <v>550</v>
      </c>
      <c r="H185" s="99" t="s">
        <v>1608</v>
      </c>
    </row>
    <row r="186" spans="1:8" ht="13.2" hidden="1" customHeight="1" x14ac:dyDescent="0.25">
      <c r="A186" s="20" t="s">
        <v>1550</v>
      </c>
      <c r="B186" s="20" t="s">
        <v>1360</v>
      </c>
      <c r="C186" s="41" t="s">
        <v>89</v>
      </c>
      <c r="D186" s="107">
        <v>0.65</v>
      </c>
      <c r="E186" s="107">
        <v>0.04</v>
      </c>
      <c r="F186" s="105">
        <f>(grains_table[[#This Row],[Extract %]]*46.214)/1000+1</f>
        <v>1.0300391</v>
      </c>
      <c r="G186" s="4">
        <v>244</v>
      </c>
      <c r="H186" s="98" t="s">
        <v>1401</v>
      </c>
    </row>
    <row r="187" spans="1:8" ht="13.2" hidden="1" customHeight="1" x14ac:dyDescent="0.25">
      <c r="A187" s="20" t="s">
        <v>2064</v>
      </c>
      <c r="B187" t="s">
        <v>2035</v>
      </c>
      <c r="C187" s="4" t="s">
        <v>89</v>
      </c>
      <c r="D187" s="104">
        <v>0.78</v>
      </c>
      <c r="E187" s="104">
        <v>0.05</v>
      </c>
      <c r="F187" s="105">
        <f>(grains_table[[#This Row],[Extract %]]*46.214)/1000+1</f>
        <v>1.03604692</v>
      </c>
      <c r="G187" s="4">
        <v>120.6</v>
      </c>
      <c r="H187" s="98" t="s">
        <v>2036</v>
      </c>
    </row>
    <row r="188" spans="1:8" ht="13.2" hidden="1" customHeight="1" x14ac:dyDescent="0.25">
      <c r="A188" s="20" t="s">
        <v>1519</v>
      </c>
      <c r="B188" s="20" t="s">
        <v>1363</v>
      </c>
      <c r="C188" s="41" t="s">
        <v>89</v>
      </c>
      <c r="D188" s="107">
        <v>0.83</v>
      </c>
      <c r="E188" s="107">
        <v>6.5000000000000002E-2</v>
      </c>
      <c r="F188" s="105">
        <f>(grains_table[[#This Row],[Extract %]]*46.214)/1000+1</f>
        <v>1.03835762</v>
      </c>
      <c r="G188" s="4">
        <v>12</v>
      </c>
      <c r="H188" s="98" t="s">
        <v>1400</v>
      </c>
    </row>
    <row r="189" spans="1:8" ht="13.2" hidden="1" customHeight="1" x14ac:dyDescent="0.25">
      <c r="A189" s="20" t="s">
        <v>2059</v>
      </c>
      <c r="B189" t="s">
        <v>2035</v>
      </c>
      <c r="C189" s="4" t="s">
        <v>89</v>
      </c>
      <c r="D189" s="104">
        <v>0.71</v>
      </c>
      <c r="E189" s="104">
        <v>4.4999999999999998E-2</v>
      </c>
      <c r="F189" s="105">
        <f>(grains_table[[#This Row],[Extract %]]*46.214)/1000+1</f>
        <v>1.03281194</v>
      </c>
      <c r="G189" s="4">
        <v>207</v>
      </c>
      <c r="H189" s="99" t="s">
        <v>2036</v>
      </c>
    </row>
    <row r="190" spans="1:8" ht="13.2" hidden="1" customHeight="1" x14ac:dyDescent="0.25">
      <c r="A190" s="20" t="s">
        <v>2060</v>
      </c>
      <c r="C190" s="4" t="s">
        <v>89</v>
      </c>
      <c r="D190" s="104">
        <v>0</v>
      </c>
      <c r="E190" s="104">
        <v>0</v>
      </c>
      <c r="F190" s="105">
        <v>1.032</v>
      </c>
      <c r="G190" s="4">
        <v>2.5</v>
      </c>
      <c r="H190" s="98"/>
    </row>
    <row r="191" spans="1:8" ht="13.2" hidden="1" customHeight="1" x14ac:dyDescent="0.25">
      <c r="A191" s="20" t="s">
        <v>2062</v>
      </c>
      <c r="B191" t="s">
        <v>2035</v>
      </c>
      <c r="C191" s="4" t="s">
        <v>89</v>
      </c>
      <c r="D191" s="104">
        <v>0.73</v>
      </c>
      <c r="E191" s="104">
        <v>0.03</v>
      </c>
      <c r="F191" s="105">
        <f>(grains_table[[#This Row],[Extract %]]*46.214)/1000+1</f>
        <v>1.03373622</v>
      </c>
      <c r="G191" s="4">
        <v>188</v>
      </c>
      <c r="H191" s="98" t="s">
        <v>2036</v>
      </c>
    </row>
    <row r="192" spans="1:8" ht="13.2" hidden="1" customHeight="1" x14ac:dyDescent="0.25">
      <c r="A192" s="20" t="s">
        <v>1569</v>
      </c>
      <c r="B192" s="20" t="s">
        <v>1361</v>
      </c>
      <c r="C192" s="41" t="s">
        <v>89</v>
      </c>
      <c r="D192" s="107">
        <v>0.78</v>
      </c>
      <c r="E192" s="107">
        <v>7.0000000000000007E-2</v>
      </c>
      <c r="F192" s="105">
        <f>(grains_table[[#This Row],[Extract %]]*46.214)/1000+1</f>
        <v>1.03604692</v>
      </c>
      <c r="G192" s="4">
        <v>2.0499999999999998</v>
      </c>
      <c r="H192" s="98" t="s">
        <v>1396</v>
      </c>
    </row>
    <row r="193" spans="1:8" ht="13.2" hidden="1" customHeight="1" x14ac:dyDescent="0.25">
      <c r="A193" s="20" t="s">
        <v>1547</v>
      </c>
      <c r="B193" s="20" t="s">
        <v>1360</v>
      </c>
      <c r="C193" s="41" t="s">
        <v>89</v>
      </c>
      <c r="D193" s="107">
        <v>0.81</v>
      </c>
      <c r="E193" s="107">
        <v>0.06</v>
      </c>
      <c r="F193" s="105">
        <f>(grains_table[[#This Row],[Extract %]]*46.214)/1000+1</f>
        <v>1.03743334</v>
      </c>
      <c r="G193" s="4">
        <v>3.15</v>
      </c>
      <c r="H193" s="98" t="s">
        <v>1401</v>
      </c>
    </row>
    <row r="194" spans="1:8" ht="13.2" hidden="1" customHeight="1" x14ac:dyDescent="0.25">
      <c r="A194" s="20" t="s">
        <v>1571</v>
      </c>
      <c r="B194" s="20" t="s">
        <v>1362</v>
      </c>
      <c r="C194" s="41" t="s">
        <v>89</v>
      </c>
      <c r="D194" s="107">
        <v>0.8</v>
      </c>
      <c r="E194" s="107">
        <v>4.4999999999999998E-2</v>
      </c>
      <c r="F194" s="105">
        <f>(grains_table[[#This Row],[Extract %]]*46.214)/1000+1</f>
        <v>1.0369712</v>
      </c>
      <c r="G194" s="4">
        <v>3.7</v>
      </c>
      <c r="H194" s="98" t="s">
        <v>1610</v>
      </c>
    </row>
    <row r="195" spans="1:8" ht="13.2" hidden="1" customHeight="1" x14ac:dyDescent="0.25">
      <c r="A195" s="20" t="s">
        <v>2061</v>
      </c>
      <c r="B195" t="s">
        <v>2035</v>
      </c>
      <c r="C195" s="4" t="s">
        <v>89</v>
      </c>
      <c r="D195" s="104">
        <v>0.81</v>
      </c>
      <c r="E195" s="104">
        <v>0.06</v>
      </c>
      <c r="F195" s="105">
        <f>(grains_table[[#This Row],[Extract %]]*46.214)/1000+1</f>
        <v>1.03743334</v>
      </c>
      <c r="G195" s="4">
        <v>3.2</v>
      </c>
      <c r="H195" s="98" t="s">
        <v>2036</v>
      </c>
    </row>
    <row r="196" spans="1:8" ht="13.2" hidden="1" customHeight="1" x14ac:dyDescent="0.25">
      <c r="A196" s="20" t="s">
        <v>1524</v>
      </c>
      <c r="B196" s="20" t="s">
        <v>1362</v>
      </c>
      <c r="C196" s="41" t="s">
        <v>89</v>
      </c>
      <c r="D196" s="107">
        <v>0.80500000000000005</v>
      </c>
      <c r="E196" s="107">
        <v>0.06</v>
      </c>
      <c r="F196" s="105">
        <f>(grains_table[[#This Row],[Extract %]]*46.214)/1000+1</f>
        <v>1.0372022700000001</v>
      </c>
      <c r="G196" s="4">
        <v>6</v>
      </c>
      <c r="H196" s="98" t="s">
        <v>1610</v>
      </c>
    </row>
    <row r="197" spans="1:8" ht="13.2" hidden="1" customHeight="1" x14ac:dyDescent="0.25">
      <c r="A197" s="20" t="s">
        <v>1525</v>
      </c>
      <c r="B197" s="20" t="s">
        <v>1360</v>
      </c>
      <c r="C197" s="41" t="s">
        <v>89</v>
      </c>
      <c r="D197" s="107">
        <v>0.77</v>
      </c>
      <c r="E197" s="107">
        <v>0.05</v>
      </c>
      <c r="F197" s="105">
        <f>(grains_table[[#This Row],[Extract %]]*46.214)/1000+1</f>
        <v>1.03558478</v>
      </c>
      <c r="G197" s="4">
        <v>2.85</v>
      </c>
      <c r="H197" s="98" t="s">
        <v>1401</v>
      </c>
    </row>
    <row r="198" spans="1:8" ht="13.2" hidden="1" customHeight="1" x14ac:dyDescent="0.25">
      <c r="A198" s="20" t="s">
        <v>1526</v>
      </c>
      <c r="B198" s="20" t="s">
        <v>1405</v>
      </c>
      <c r="C198" s="41" t="s">
        <v>89</v>
      </c>
      <c r="D198" s="107">
        <v>0.78</v>
      </c>
      <c r="E198" s="107">
        <v>5.5E-2</v>
      </c>
      <c r="F198" s="105">
        <f>(grains_table[[#This Row],[Extract %]]*46.214)/1000+1</f>
        <v>1.03604692</v>
      </c>
      <c r="G198" s="4">
        <v>5.85</v>
      </c>
      <c r="H198" s="99" t="s">
        <v>1442</v>
      </c>
    </row>
    <row r="199" spans="1:8" ht="13.2" hidden="1" customHeight="1" x14ac:dyDescent="0.25">
      <c r="A199" s="20" t="s">
        <v>1527</v>
      </c>
      <c r="B199" s="20" t="s">
        <v>1405</v>
      </c>
      <c r="C199" s="41" t="s">
        <v>89</v>
      </c>
      <c r="D199" s="107">
        <v>0.77</v>
      </c>
      <c r="E199" s="107">
        <v>5.5E-2</v>
      </c>
      <c r="F199" s="105">
        <f>(grains_table[[#This Row],[Extract %]]*46.214)/1000+1</f>
        <v>1.03558478</v>
      </c>
      <c r="G199" s="4">
        <v>5.85</v>
      </c>
      <c r="H199" s="99" t="s">
        <v>1441</v>
      </c>
    </row>
    <row r="200" spans="1:8" ht="13.2" hidden="1" customHeight="1" x14ac:dyDescent="0.25">
      <c r="A200" s="20" t="s">
        <v>1528</v>
      </c>
      <c r="B200" s="20" t="s">
        <v>1362</v>
      </c>
      <c r="C200" s="41" t="s">
        <v>89</v>
      </c>
      <c r="D200" s="107">
        <v>0.80500000000000005</v>
      </c>
      <c r="E200" s="107">
        <v>0.06</v>
      </c>
      <c r="F200" s="105">
        <f>(grains_table[[#This Row],[Extract %]]*46.214)/1000+1</f>
        <v>1.0372022700000001</v>
      </c>
      <c r="G200" s="4">
        <v>5</v>
      </c>
      <c r="H200" s="98" t="s">
        <v>1610</v>
      </c>
    </row>
    <row r="201" spans="1:8" ht="13.2" hidden="1" customHeight="1" x14ac:dyDescent="0.25">
      <c r="A201" s="20" t="s">
        <v>2052</v>
      </c>
      <c r="B201" t="s">
        <v>2035</v>
      </c>
      <c r="C201" s="4" t="s">
        <v>89</v>
      </c>
      <c r="D201" s="104">
        <v>0.81499999999999995</v>
      </c>
      <c r="E201" s="104">
        <v>3.7999999999999999E-2</v>
      </c>
      <c r="F201" s="105">
        <f>(grains_table[[#This Row],[Extract %]]*46.214)/1000+1</f>
        <v>1.0376644100000001</v>
      </c>
      <c r="G201" s="4">
        <v>2.02</v>
      </c>
      <c r="H201" s="98" t="s">
        <v>2036</v>
      </c>
    </row>
    <row r="202" spans="1:8" ht="13.2" hidden="1" customHeight="1" x14ac:dyDescent="0.25">
      <c r="A202" s="20" t="s">
        <v>1529</v>
      </c>
      <c r="B202" s="20" t="s">
        <v>1362</v>
      </c>
      <c r="C202" s="41" t="s">
        <v>89</v>
      </c>
      <c r="D202" s="107">
        <v>0.80500000000000005</v>
      </c>
      <c r="E202" s="107">
        <v>0.06</v>
      </c>
      <c r="F202" s="105">
        <f>(grains_table[[#This Row],[Extract %]]*46.214)/1000+1</f>
        <v>1.0372022700000001</v>
      </c>
      <c r="G202" s="4">
        <v>5</v>
      </c>
      <c r="H202" s="98" t="s">
        <v>1610</v>
      </c>
    </row>
    <row r="203" spans="1:8" ht="13.2" hidden="1" customHeight="1" x14ac:dyDescent="0.25">
      <c r="A203" s="20" t="s">
        <v>2053</v>
      </c>
      <c r="B203" t="s">
        <v>2035</v>
      </c>
      <c r="C203" s="4" t="s">
        <v>89</v>
      </c>
      <c r="D203" s="104">
        <v>0.81</v>
      </c>
      <c r="E203" s="104">
        <v>3.5000000000000003E-2</v>
      </c>
      <c r="F203" s="105">
        <f>(grains_table[[#This Row],[Extract %]]*46.214)/1000+1</f>
        <v>1.03743334</v>
      </c>
      <c r="G203" s="4">
        <v>1.99</v>
      </c>
      <c r="H203" s="98" t="s">
        <v>2036</v>
      </c>
    </row>
    <row r="204" spans="1:8" ht="13.2" hidden="1" customHeight="1" x14ac:dyDescent="0.25">
      <c r="A204" s="20" t="s">
        <v>1530</v>
      </c>
      <c r="B204" s="20" t="s">
        <v>1360</v>
      </c>
      <c r="C204" s="41" t="s">
        <v>89</v>
      </c>
      <c r="D204" s="107">
        <v>0.82</v>
      </c>
      <c r="E204" s="107">
        <v>5.5E-2</v>
      </c>
      <c r="F204" s="105">
        <f>(grains_table[[#This Row],[Extract %]]*46.214)/1000+1</f>
        <v>1.03789548</v>
      </c>
      <c r="G204" s="4">
        <v>2.4500000000000002</v>
      </c>
      <c r="H204" s="98" t="s">
        <v>1401</v>
      </c>
    </row>
    <row r="205" spans="1:8" ht="13.2" hidden="1" customHeight="1" x14ac:dyDescent="0.25">
      <c r="A205" s="20" t="s">
        <v>1366</v>
      </c>
      <c r="B205" s="20" t="s">
        <v>1360</v>
      </c>
      <c r="C205" s="41" t="s">
        <v>89</v>
      </c>
      <c r="D205" s="107">
        <v>0.8</v>
      </c>
      <c r="E205" s="107">
        <v>0.06</v>
      </c>
      <c r="F205" s="105">
        <f>(grains_table[[#This Row],[Extract %]]*46.214)/1000+1</f>
        <v>1.0369712</v>
      </c>
      <c r="G205" s="4">
        <v>2.4500000000000002</v>
      </c>
      <c r="H205" s="98" t="s">
        <v>1401</v>
      </c>
    </row>
    <row r="206" spans="1:8" ht="13.2" hidden="1" customHeight="1" x14ac:dyDescent="0.25">
      <c r="A206" s="20" t="s">
        <v>1565</v>
      </c>
      <c r="B206" s="20" t="s">
        <v>1405</v>
      </c>
      <c r="C206" s="41" t="s">
        <v>89</v>
      </c>
      <c r="D206" s="107">
        <v>0.82</v>
      </c>
      <c r="E206" s="107">
        <v>5.5E-2</v>
      </c>
      <c r="F206" s="105">
        <f>(grains_table[[#This Row],[Extract %]]*46.214)/1000+1</f>
        <v>1.03789548</v>
      </c>
      <c r="G206" s="4">
        <v>2.25</v>
      </c>
      <c r="H206" s="99" t="s">
        <v>1426</v>
      </c>
    </row>
    <row r="207" spans="1:8" ht="13.2" customHeight="1" x14ac:dyDescent="0.25">
      <c r="A207" s="20" t="s">
        <v>1613</v>
      </c>
      <c r="B207" s="20"/>
      <c r="C207" s="41" t="s">
        <v>776</v>
      </c>
      <c r="D207" s="107"/>
      <c r="E207" s="107"/>
      <c r="F207" s="105">
        <v>1.046</v>
      </c>
      <c r="G207" s="4">
        <v>50</v>
      </c>
      <c r="H207" s="98" t="s">
        <v>1611</v>
      </c>
    </row>
    <row r="208" spans="1:8" ht="13.2" customHeight="1" x14ac:dyDescent="0.25">
      <c r="A208" s="20" t="s">
        <v>1612</v>
      </c>
      <c r="B208" s="20"/>
      <c r="C208" s="41" t="s">
        <v>776</v>
      </c>
      <c r="D208" s="107"/>
      <c r="E208" s="107"/>
      <c r="F208" s="105">
        <v>1.046</v>
      </c>
      <c r="G208" s="4">
        <v>8</v>
      </c>
      <c r="H208" s="98" t="s">
        <v>1611</v>
      </c>
    </row>
    <row r="209" spans="1:8" ht="13.2" customHeight="1" x14ac:dyDescent="0.25">
      <c r="A209" s="20" t="s">
        <v>2083</v>
      </c>
      <c r="B209" s="20"/>
      <c r="C209" s="41" t="s">
        <v>776</v>
      </c>
      <c r="D209" s="107"/>
      <c r="E209" s="107"/>
      <c r="F209" s="105">
        <v>1.0449999999999999</v>
      </c>
      <c r="G209" s="4">
        <v>75</v>
      </c>
      <c r="H209" s="98" t="s">
        <v>2081</v>
      </c>
    </row>
    <row r="210" spans="1:8" ht="13.2" customHeight="1" x14ac:dyDescent="0.25">
      <c r="A210" s="20" t="s">
        <v>2084</v>
      </c>
      <c r="B210" s="20"/>
      <c r="C210" s="41" t="s">
        <v>776</v>
      </c>
      <c r="D210" s="107"/>
      <c r="E210" s="107"/>
      <c r="F210" s="105">
        <v>1.0449999999999999</v>
      </c>
      <c r="G210" s="4">
        <v>1</v>
      </c>
      <c r="H210" s="98" t="s">
        <v>2081</v>
      </c>
    </row>
    <row r="211" spans="1:8" ht="13.2" customHeight="1" x14ac:dyDescent="0.25">
      <c r="A211" s="20" t="s">
        <v>2085</v>
      </c>
      <c r="B211" s="20"/>
      <c r="C211" s="41" t="s">
        <v>776</v>
      </c>
      <c r="D211" s="107"/>
      <c r="E211" s="107"/>
      <c r="F211" s="105">
        <v>1.0449999999999999</v>
      </c>
      <c r="G211" s="4">
        <v>275</v>
      </c>
      <c r="H211" s="98" t="s">
        <v>2081</v>
      </c>
    </row>
    <row r="212" spans="1:8" ht="13.2" customHeight="1" x14ac:dyDescent="0.25">
      <c r="A212" s="20" t="s">
        <v>1614</v>
      </c>
      <c r="B212" s="20"/>
      <c r="C212" s="41" t="s">
        <v>776</v>
      </c>
      <c r="D212" s="107"/>
      <c r="E212" s="107"/>
      <c r="F212" s="105">
        <v>1.042</v>
      </c>
      <c r="G212" s="4">
        <v>0</v>
      </c>
      <c r="H212" s="98" t="s">
        <v>2081</v>
      </c>
    </row>
    <row r="213" spans="1:8" ht="13.2" customHeight="1" x14ac:dyDescent="0.25">
      <c r="A213" s="20" t="s">
        <v>1562</v>
      </c>
      <c r="B213" s="20"/>
      <c r="C213" s="41" t="s">
        <v>776</v>
      </c>
      <c r="D213" s="107"/>
      <c r="E213" s="107"/>
      <c r="F213" s="105">
        <v>1.046</v>
      </c>
      <c r="G213" s="4">
        <v>2</v>
      </c>
      <c r="H213" s="98" t="s">
        <v>1611</v>
      </c>
    </row>
    <row r="214" spans="1:8" ht="13.2" customHeight="1" x14ac:dyDescent="0.25">
      <c r="A214" s="20" t="s">
        <v>1556</v>
      </c>
      <c r="B214" s="20"/>
      <c r="C214" s="41" t="s">
        <v>776</v>
      </c>
      <c r="D214" s="107"/>
      <c r="E214" s="107"/>
      <c r="F214" s="105">
        <v>1.036</v>
      </c>
      <c r="G214" s="4">
        <v>1</v>
      </c>
      <c r="H214" s="98" t="s">
        <v>2081</v>
      </c>
    </row>
    <row r="215" spans="1:8" ht="13.2" customHeight="1" x14ac:dyDescent="0.25">
      <c r="A215" s="20" t="s">
        <v>1557</v>
      </c>
      <c r="B215" s="20"/>
      <c r="C215" s="41" t="s">
        <v>776</v>
      </c>
      <c r="D215" s="107"/>
      <c r="E215" s="107"/>
      <c r="F215" s="105">
        <v>1.036</v>
      </c>
      <c r="G215" s="4">
        <v>0</v>
      </c>
      <c r="H215" s="98" t="s">
        <v>1611</v>
      </c>
    </row>
    <row r="216" spans="1:8" ht="13.2" customHeight="1" x14ac:dyDescent="0.25">
      <c r="A216" s="20" t="s">
        <v>1558</v>
      </c>
      <c r="B216" s="20"/>
      <c r="C216" s="41" t="s">
        <v>776</v>
      </c>
      <c r="D216" s="107"/>
      <c r="E216" s="107"/>
      <c r="F216" s="105">
        <v>1.046</v>
      </c>
      <c r="G216" s="4">
        <v>0</v>
      </c>
      <c r="H216" s="98" t="s">
        <v>2081</v>
      </c>
    </row>
    <row r="217" spans="1:8" ht="13.2" customHeight="1" x14ac:dyDescent="0.25">
      <c r="A217" s="20" t="s">
        <v>1559</v>
      </c>
      <c r="B217" s="20"/>
      <c r="C217" s="41" t="s">
        <v>776</v>
      </c>
      <c r="D217" s="107"/>
      <c r="E217" s="107"/>
      <c r="F217" s="105">
        <v>1.0309999999999999</v>
      </c>
      <c r="G217" s="4">
        <v>35</v>
      </c>
      <c r="H217" s="98" t="s">
        <v>2081</v>
      </c>
    </row>
    <row r="218" spans="1:8" ht="13.2" customHeight="1" x14ac:dyDescent="0.25">
      <c r="A218" s="20" t="s">
        <v>1560</v>
      </c>
      <c r="B218" s="20"/>
      <c r="C218" s="41" t="s">
        <v>776</v>
      </c>
      <c r="D218" s="107"/>
      <c r="E218" s="107"/>
      <c r="F218" s="105">
        <v>1.036</v>
      </c>
      <c r="G218" s="4">
        <v>80</v>
      </c>
      <c r="H218" s="98" t="s">
        <v>2081</v>
      </c>
    </row>
    <row r="219" spans="1:8" ht="13.2" customHeight="1" x14ac:dyDescent="0.25">
      <c r="A219" s="20" t="s">
        <v>1561</v>
      </c>
      <c r="B219" s="20"/>
      <c r="C219" s="41" t="s">
        <v>776</v>
      </c>
      <c r="D219" s="107"/>
      <c r="E219" s="107"/>
      <c r="F219" s="105">
        <v>1.046</v>
      </c>
      <c r="G219" s="4">
        <v>1</v>
      </c>
      <c r="H219" s="98" t="s">
        <v>2081</v>
      </c>
    </row>
    <row r="220" spans="1:8" ht="13.2" hidden="1" customHeight="1" x14ac:dyDescent="0.25">
      <c r="A220" s="20" t="s">
        <v>1349</v>
      </c>
      <c r="B220" s="20" t="s">
        <v>1362</v>
      </c>
      <c r="C220" s="41" t="s">
        <v>89</v>
      </c>
      <c r="D220" s="107">
        <v>0.76</v>
      </c>
      <c r="E220" s="107">
        <v>8.5000000000000006E-2</v>
      </c>
      <c r="F220" s="105">
        <f>(grains_table[[#This Row],[Extract %]]*46.214)/1000+1</f>
        <v>1.03512264</v>
      </c>
      <c r="G220" s="4">
        <v>1.5</v>
      </c>
      <c r="H220" s="98" t="s">
        <v>1615</v>
      </c>
    </row>
    <row r="221" spans="1:8" ht="13.2" hidden="1" customHeight="1" x14ac:dyDescent="0.25">
      <c r="A221" s="20" t="s">
        <v>1520</v>
      </c>
      <c r="B221" s="20" t="s">
        <v>1405</v>
      </c>
      <c r="C221" s="41" t="s">
        <v>89</v>
      </c>
      <c r="D221" s="107">
        <v>0.80500000000000005</v>
      </c>
      <c r="E221" s="107">
        <v>4.9000000000000002E-2</v>
      </c>
      <c r="F221" s="105">
        <f>(grains_table[[#This Row],[Extract %]]*46.214)/1000+1</f>
        <v>1.0372022700000001</v>
      </c>
      <c r="G221" s="4">
        <v>3.85</v>
      </c>
      <c r="H221" s="98" t="s">
        <v>1419</v>
      </c>
    </row>
    <row r="222" spans="1:8" ht="13.2" hidden="1" customHeight="1" x14ac:dyDescent="0.25">
      <c r="A222" s="20" t="s">
        <v>1521</v>
      </c>
      <c r="B222" s="20" t="s">
        <v>1362</v>
      </c>
      <c r="C222" s="41" t="s">
        <v>89</v>
      </c>
      <c r="D222" s="107">
        <v>0.8</v>
      </c>
      <c r="E222" s="107">
        <v>3.5000000000000003E-2</v>
      </c>
      <c r="F222" s="105">
        <f>(grains_table[[#This Row],[Extract %]]*46.214)/1000+1</f>
        <v>1.0369712</v>
      </c>
      <c r="G222" s="4">
        <v>3.5</v>
      </c>
      <c r="H222" s="98" t="s">
        <v>1413</v>
      </c>
    </row>
    <row r="223" spans="1:8" ht="13.2" hidden="1" customHeight="1" x14ac:dyDescent="0.25">
      <c r="A223" s="20" t="s">
        <v>2068</v>
      </c>
      <c r="B223" t="s">
        <v>2035</v>
      </c>
      <c r="C223" s="4" t="s">
        <v>89</v>
      </c>
      <c r="D223" s="104">
        <v>0.80500000000000005</v>
      </c>
      <c r="E223" s="104">
        <v>3.5000000000000003E-2</v>
      </c>
      <c r="F223" s="105">
        <f>(grains_table[[#This Row],[Extract %]]*46.214)/1000+1</f>
        <v>1.0372022700000001</v>
      </c>
      <c r="G223" s="4">
        <v>3.1</v>
      </c>
      <c r="H223" s="98" t="s">
        <v>2036</v>
      </c>
    </row>
    <row r="224" spans="1:8" ht="13.2" hidden="1" customHeight="1" x14ac:dyDescent="0.25">
      <c r="A224" s="20" t="s">
        <v>1522</v>
      </c>
      <c r="B224" s="20" t="s">
        <v>1361</v>
      </c>
      <c r="C224" s="41" t="s">
        <v>89</v>
      </c>
      <c r="D224" s="107">
        <v>0.75</v>
      </c>
      <c r="E224" s="107">
        <v>3.5000000000000003E-2</v>
      </c>
      <c r="F224" s="105">
        <f>(grains_table[[#This Row],[Extract %]]*46.214)/1000+1</f>
        <v>1.0346605</v>
      </c>
      <c r="G224" s="41">
        <v>3.35</v>
      </c>
      <c r="H224" s="98" t="s">
        <v>1373</v>
      </c>
    </row>
    <row r="225" spans="1:8" ht="13.2" hidden="1" customHeight="1" x14ac:dyDescent="0.25">
      <c r="A225" s="20" t="s">
        <v>1523</v>
      </c>
      <c r="B225" s="20" t="s">
        <v>1360</v>
      </c>
      <c r="C225" s="41" t="s">
        <v>89</v>
      </c>
      <c r="D225" s="107">
        <v>0.79</v>
      </c>
      <c r="E225" s="107">
        <v>5.5E-2</v>
      </c>
      <c r="F225" s="105">
        <f>(grains_table[[#This Row],[Extract %]]*46.214)/1000+1</f>
        <v>1.03650906</v>
      </c>
      <c r="G225" s="4">
        <v>3.35</v>
      </c>
      <c r="H225" s="98" t="s">
        <v>1401</v>
      </c>
    </row>
    <row r="226" spans="1:8" ht="13.2" hidden="1" customHeight="1" x14ac:dyDescent="0.25">
      <c r="A226" s="20" t="s">
        <v>1531</v>
      </c>
      <c r="B226" s="20" t="s">
        <v>1405</v>
      </c>
      <c r="C226" s="41" t="s">
        <v>89</v>
      </c>
      <c r="D226" s="107">
        <v>0.82</v>
      </c>
      <c r="E226" s="107">
        <v>5.5E-2</v>
      </c>
      <c r="F226" s="105">
        <f>(grains_table[[#This Row],[Extract %]]*46.214)/1000+1</f>
        <v>1.03789548</v>
      </c>
      <c r="G226" s="4">
        <v>1.6</v>
      </c>
      <c r="H226" s="99" t="s">
        <v>1427</v>
      </c>
    </row>
    <row r="227" spans="1:8" ht="13.2" hidden="1" customHeight="1" x14ac:dyDescent="0.25">
      <c r="A227" s="20" t="s">
        <v>1532</v>
      </c>
      <c r="B227" s="20" t="s">
        <v>1405</v>
      </c>
      <c r="C227" s="41" t="s">
        <v>89</v>
      </c>
      <c r="D227" s="107">
        <v>0.82</v>
      </c>
      <c r="E227" s="107">
        <v>5.5E-2</v>
      </c>
      <c r="F227" s="105">
        <f>(grains_table[[#This Row],[Extract %]]*46.214)/1000+1</f>
        <v>1.03789548</v>
      </c>
      <c r="G227" s="4">
        <v>2.25</v>
      </c>
      <c r="H227" s="99" t="s">
        <v>1424</v>
      </c>
    </row>
    <row r="228" spans="1:8" ht="13.2" hidden="1" customHeight="1" x14ac:dyDescent="0.25">
      <c r="A228" s="20" t="s">
        <v>1533</v>
      </c>
      <c r="B228" s="20" t="s">
        <v>1405</v>
      </c>
      <c r="C228" s="41" t="s">
        <v>89</v>
      </c>
      <c r="D228" s="107">
        <v>0.82</v>
      </c>
      <c r="E228" s="107">
        <v>5.5E-2</v>
      </c>
      <c r="F228" s="105">
        <f>(grains_table[[#This Row],[Extract %]]*46.214)/1000+1</f>
        <v>1.03789548</v>
      </c>
      <c r="G228" s="4">
        <v>7.25</v>
      </c>
      <c r="H228" s="99" t="s">
        <v>1425</v>
      </c>
    </row>
    <row r="229" spans="1:8" ht="13.2" hidden="1" customHeight="1" x14ac:dyDescent="0.25">
      <c r="A229" s="20" t="s">
        <v>1534</v>
      </c>
      <c r="B229" s="20" t="s">
        <v>1360</v>
      </c>
      <c r="C229" s="41" t="s">
        <v>89</v>
      </c>
      <c r="D229" s="107">
        <v>0.81</v>
      </c>
      <c r="E229" s="107">
        <v>7.0000000000000007E-2</v>
      </c>
      <c r="F229" s="105">
        <f>(grains_table[[#This Row],[Extract %]]*46.214)/1000+1</f>
        <v>1.03743334</v>
      </c>
      <c r="G229" s="4">
        <v>2.0499999999999998</v>
      </c>
      <c r="H229" s="98" t="s">
        <v>1401</v>
      </c>
    </row>
    <row r="230" spans="1:8" ht="13.2" hidden="1" customHeight="1" x14ac:dyDescent="0.25">
      <c r="A230" s="20" t="s">
        <v>1535</v>
      </c>
      <c r="B230" s="20" t="s">
        <v>1360</v>
      </c>
      <c r="C230" s="41" t="s">
        <v>89</v>
      </c>
      <c r="D230" s="107">
        <v>0.82</v>
      </c>
      <c r="E230" s="107">
        <v>5.5E-2</v>
      </c>
      <c r="F230" s="105">
        <f>(grains_table[[#This Row],[Extract %]]*46.214)/1000+1</f>
        <v>1.03789548</v>
      </c>
      <c r="G230" s="4">
        <v>2.0499999999999998</v>
      </c>
      <c r="H230" s="98" t="s">
        <v>1401</v>
      </c>
    </row>
    <row r="231" spans="1:8" ht="13.2" hidden="1" customHeight="1" x14ac:dyDescent="0.25">
      <c r="A231" s="20" t="s">
        <v>2069</v>
      </c>
      <c r="B231" t="s">
        <v>2035</v>
      </c>
      <c r="C231" s="4" t="s">
        <v>89</v>
      </c>
      <c r="D231" s="104">
        <v>0.85</v>
      </c>
      <c r="E231" s="104">
        <v>4.8000000000000001E-2</v>
      </c>
      <c r="F231" s="105">
        <f>(grains_table[[#This Row],[Extract %]]*46.214)/1000+1</f>
        <v>1.0392819</v>
      </c>
      <c r="G231" s="4">
        <v>2.1</v>
      </c>
      <c r="H231" s="98" t="s">
        <v>2036</v>
      </c>
    </row>
    <row r="232" spans="1:8" ht="13.2" hidden="1" customHeight="1" x14ac:dyDescent="0.25">
      <c r="A232" s="20" t="s">
        <v>1536</v>
      </c>
      <c r="B232" s="20" t="s">
        <v>1361</v>
      </c>
      <c r="C232" s="41" t="s">
        <v>89</v>
      </c>
      <c r="D232" s="107">
        <v>0.82899999999999996</v>
      </c>
      <c r="E232" s="107">
        <v>0.04</v>
      </c>
      <c r="F232" s="105">
        <f>(grains_table[[#This Row],[Extract %]]*46.214)/1000+1</f>
        <v>1.038311406</v>
      </c>
      <c r="G232" s="4">
        <v>2.0499999999999998</v>
      </c>
      <c r="H232" s="99" t="s">
        <v>1393</v>
      </c>
    </row>
    <row r="233" spans="1:8" ht="13.2" hidden="1" customHeight="1" x14ac:dyDescent="0.25">
      <c r="A233" s="20" t="s">
        <v>1537</v>
      </c>
      <c r="B233" s="20" t="s">
        <v>1363</v>
      </c>
      <c r="C233" s="41" t="s">
        <v>89</v>
      </c>
      <c r="D233" s="107">
        <v>0.83</v>
      </c>
      <c r="E233" s="107">
        <v>6.5000000000000002E-2</v>
      </c>
      <c r="F233" s="105">
        <f>(grains_table[[#This Row],[Extract %]]*46.214)/1000+1</f>
        <v>1.03835762</v>
      </c>
      <c r="G233" s="4">
        <v>1.6</v>
      </c>
      <c r="H233" s="98" t="s">
        <v>1398</v>
      </c>
    </row>
    <row r="234" spans="1:8" ht="13.2" hidden="1" customHeight="1" x14ac:dyDescent="0.25">
      <c r="A234" s="20" t="s">
        <v>1538</v>
      </c>
      <c r="B234" s="20" t="s">
        <v>1360</v>
      </c>
      <c r="C234" s="41" t="s">
        <v>89</v>
      </c>
      <c r="D234" s="107"/>
      <c r="E234" s="107"/>
      <c r="F234" s="105">
        <f>(grains_table[[#This Row],[Extract %]]*46.214)/1000+1</f>
        <v>1</v>
      </c>
      <c r="G234" s="4">
        <v>7.15</v>
      </c>
      <c r="H234" s="98" t="s">
        <v>1401</v>
      </c>
    </row>
    <row r="235" spans="1:8" ht="13.2" hidden="1" customHeight="1" x14ac:dyDescent="0.25">
      <c r="A235" s="20" t="s">
        <v>1539</v>
      </c>
      <c r="B235" s="20" t="s">
        <v>1362</v>
      </c>
      <c r="C235" s="41" t="s">
        <v>89</v>
      </c>
      <c r="D235" s="107">
        <v>0.81</v>
      </c>
      <c r="E235" s="107">
        <v>0.04</v>
      </c>
      <c r="F235" s="105">
        <f>(grains_table[[#This Row],[Extract %]]*46.214)/1000+1</f>
        <v>1.03743334</v>
      </c>
      <c r="G235" s="4">
        <v>2.2999999999999998</v>
      </c>
      <c r="H235" s="99" t="s">
        <v>1414</v>
      </c>
    </row>
    <row r="236" spans="1:8" ht="13.2" hidden="1" customHeight="1" x14ac:dyDescent="0.25">
      <c r="A236" s="20" t="s">
        <v>1540</v>
      </c>
      <c r="B236" s="20" t="s">
        <v>1362</v>
      </c>
      <c r="C236" s="41" t="s">
        <v>89</v>
      </c>
      <c r="D236" s="107">
        <v>0.85</v>
      </c>
      <c r="E236" s="107">
        <v>0.04</v>
      </c>
      <c r="F236" s="105">
        <f>(grains_table[[#This Row],[Extract %]]*46.214)/1000+1</f>
        <v>1.0392819</v>
      </c>
      <c r="G236" s="4">
        <v>2.5</v>
      </c>
      <c r="H236" s="99" t="s">
        <v>1414</v>
      </c>
    </row>
    <row r="240" spans="1:8" x14ac:dyDescent="0.25">
      <c r="B240" s="20"/>
      <c r="C240" s="20"/>
      <c r="D240" s="20"/>
      <c r="E240" s="20"/>
    </row>
    <row r="241" spans="2:5" x14ac:dyDescent="0.25">
      <c r="B241" s="20"/>
      <c r="C241" s="20"/>
      <c r="D241" s="20"/>
      <c r="E241" s="20"/>
    </row>
    <row r="242" spans="2:5" x14ac:dyDescent="0.25">
      <c r="B242" s="20"/>
      <c r="C242" s="20"/>
      <c r="D242" s="20"/>
      <c r="E242" s="20"/>
    </row>
  </sheetData>
  <sheetProtection sheet="1" formatCells="0" formatColumns="0" formatRows="0" insertRows="0" sort="0" autoFilter="0"/>
  <sortState ref="A1:AC1">
    <sortCondition ref="A1"/>
  </sortState>
  <dataValidations count="2">
    <dataValidation type="list" showInputMessage="1" showErrorMessage="1" sqref="C2:C236" xr:uid="{00000000-0002-0000-0600-000000000000}">
      <formula1>"Grain,Sugar"</formula1>
    </dataValidation>
    <dataValidation showInputMessage="1" showErrorMessage="1" sqref="D2:E236" xr:uid="{00000000-0002-0000-0600-000001000000}"/>
  </dataValidations>
  <hyperlinks>
    <hyperlink ref="H129" r:id="rId1" xr:uid="{00000000-0004-0000-0600-000000000000}"/>
    <hyperlink ref="H130" r:id="rId2" xr:uid="{00000000-0004-0000-0600-000001000000}"/>
    <hyperlink ref="H143" r:id="rId3" xr:uid="{00000000-0004-0000-0600-000002000000}"/>
    <hyperlink ref="H131" r:id="rId4" xr:uid="{00000000-0004-0000-0600-000003000000}"/>
    <hyperlink ref="H128" r:id="rId5" xr:uid="{00000000-0004-0000-0600-000004000000}"/>
    <hyperlink ref="H149" r:id="rId6" xr:uid="{00000000-0004-0000-0600-000005000000}"/>
    <hyperlink ref="H224" r:id="rId7" xr:uid="{00000000-0004-0000-0600-000006000000}"/>
    <hyperlink ref="H117" r:id="rId8" xr:uid="{00000000-0004-0000-0600-000007000000}"/>
    <hyperlink ref="H132" r:id="rId9" xr:uid="{00000000-0004-0000-0600-000008000000}"/>
    <hyperlink ref="H6" r:id="rId10" xr:uid="{00000000-0004-0000-0600-000009000000}"/>
    <hyperlink ref="H127" r:id="rId11" xr:uid="{00000000-0004-0000-0600-00000A000000}"/>
    <hyperlink ref="H39" r:id="rId12" xr:uid="{00000000-0004-0000-0600-00000B000000}"/>
    <hyperlink ref="H69" r:id="rId13" xr:uid="{00000000-0004-0000-0600-00000C000000}"/>
    <hyperlink ref="H61" r:id="rId14" xr:uid="{00000000-0004-0000-0600-00000D000000}"/>
    <hyperlink ref="H64" r:id="rId15" xr:uid="{00000000-0004-0000-0600-00000E000000}"/>
    <hyperlink ref="H62" r:id="rId16" xr:uid="{00000000-0004-0000-0600-00000F000000}"/>
    <hyperlink ref="H60" r:id="rId17" xr:uid="{00000000-0004-0000-0600-000010000000}"/>
    <hyperlink ref="H72" r:id="rId18" xr:uid="{00000000-0004-0000-0600-000011000000}"/>
    <hyperlink ref="H66" r:id="rId19" xr:uid="{00000000-0004-0000-0600-000012000000}"/>
    <hyperlink ref="H168" r:id="rId20" xr:uid="{00000000-0004-0000-0600-000013000000}"/>
    <hyperlink ref="H176" r:id="rId21" xr:uid="{00000000-0004-0000-0600-000014000000}"/>
    <hyperlink ref="H179" r:id="rId22" xr:uid="{00000000-0004-0000-0600-000015000000}"/>
    <hyperlink ref="H173" r:id="rId23" xr:uid="{00000000-0004-0000-0600-000016000000}"/>
    <hyperlink ref="H163" r:id="rId24" xr:uid="{00000000-0004-0000-0600-000017000000}"/>
    <hyperlink ref="H121" r:id="rId25" xr:uid="{00000000-0004-0000-0600-000018000000}"/>
    <hyperlink ref="H232" r:id="rId26" xr:uid="{00000000-0004-0000-0600-000019000000}"/>
    <hyperlink ref="H120" r:id="rId27" xr:uid="{00000000-0004-0000-0600-00001A000000}"/>
    <hyperlink ref="H70" r:id="rId28" xr:uid="{00000000-0004-0000-0600-00001B000000}"/>
    <hyperlink ref="H192" r:id="rId29" xr:uid="{00000000-0004-0000-0600-00001C000000}"/>
    <hyperlink ref="H83" r:id="rId30" xr:uid="{00000000-0004-0000-0600-00001D000000}"/>
    <hyperlink ref="H155" r:id="rId31" xr:uid="{00000000-0004-0000-0600-00001E000000}"/>
    <hyperlink ref="H233" r:id="rId32" xr:uid="{00000000-0004-0000-0600-00001F000000}"/>
    <hyperlink ref="H136" r:id="rId33" xr:uid="{00000000-0004-0000-0600-000020000000}"/>
    <hyperlink ref="H118" r:id="rId34" xr:uid="{00000000-0004-0000-0600-000021000000}"/>
    <hyperlink ref="H7" r:id="rId35" xr:uid="{00000000-0004-0000-0600-000022000000}"/>
    <hyperlink ref="H8" r:id="rId36" xr:uid="{00000000-0004-0000-0600-000023000000}"/>
    <hyperlink ref="H26" r:id="rId37" xr:uid="{00000000-0004-0000-0600-000024000000}"/>
    <hyperlink ref="H27" r:id="rId38" xr:uid="{00000000-0004-0000-0600-000025000000}"/>
    <hyperlink ref="H25" r:id="rId39" xr:uid="{00000000-0004-0000-0600-000026000000}"/>
    <hyperlink ref="H73" r:id="rId40" xr:uid="{00000000-0004-0000-0600-000027000000}"/>
    <hyperlink ref="H11" r:id="rId41" xr:uid="{00000000-0004-0000-0600-000028000000}"/>
    <hyperlink ref="H79" r:id="rId42" xr:uid="{00000000-0004-0000-0600-000029000000}"/>
    <hyperlink ref="H17" r:id="rId43" xr:uid="{00000000-0004-0000-0600-00002A000000}"/>
    <hyperlink ref="H167" r:id="rId44" xr:uid="{00000000-0004-0000-0600-00002B000000}"/>
    <hyperlink ref="H188" r:id="rId45" xr:uid="{00000000-0004-0000-0600-00002C000000}"/>
    <hyperlink ref="H5" r:id="rId46" xr:uid="{00000000-0004-0000-0600-00002D000000}"/>
    <hyperlink ref="H124" r:id="rId47" xr:uid="{00000000-0004-0000-0600-00002E000000}"/>
    <hyperlink ref="H2" r:id="rId48" xr:uid="{00000000-0004-0000-0600-00002F000000}"/>
    <hyperlink ref="H197" r:id="rId49" xr:uid="{00000000-0004-0000-0600-000030000000}"/>
    <hyperlink ref="H26:H28" r:id="rId50" display="https://www.weyermann.de/usa/gelbe_seiten_usa.asp?go=brewery&amp;umenue=yes&amp;idmenue=269&amp;sprache=10" xr:uid="{00000000-0004-0000-0600-000031000000}"/>
    <hyperlink ref="H41:H42" r:id="rId51" display="https://www.weyermann.de/usa/gelbe_seiten_usa.asp?go=brewery&amp;umenue=yes&amp;idmenue=269&amp;sprache=10" xr:uid="{00000000-0004-0000-0600-000032000000}"/>
    <hyperlink ref="H48:H55" r:id="rId52" display="https://www.weyermann.de/usa/gelbe_seiten_usa.asp?go=brewery&amp;umenue=yes&amp;idmenue=269&amp;sprache=10" xr:uid="{00000000-0004-0000-0600-000033000000}"/>
    <hyperlink ref="H40" r:id="rId53" xr:uid="{00000000-0004-0000-0600-000034000000}"/>
    <hyperlink ref="H55" r:id="rId54" xr:uid="{00000000-0004-0000-0600-000036000000}"/>
    <hyperlink ref="H102" r:id="rId55" xr:uid="{00000000-0004-0000-0600-000037000000}"/>
    <hyperlink ref="H148" r:id="rId56" xr:uid="{00000000-0004-0000-0600-000038000000}"/>
    <hyperlink ref="H111" r:id="rId57" xr:uid="{00000000-0004-0000-0600-000039000000}"/>
    <hyperlink ref="H204" r:id="rId58" xr:uid="{00000000-0004-0000-0600-00003A000000}"/>
    <hyperlink ref="H135" r:id="rId59" xr:uid="{00000000-0004-0000-0600-00003B000000}"/>
    <hyperlink ref="H159" r:id="rId60" location="Brewers" xr:uid="{00000000-0004-0000-0600-00003C000000}"/>
    <hyperlink ref="H156" r:id="rId61" xr:uid="{00000000-0004-0000-0600-00003D000000}"/>
    <hyperlink ref="H164" r:id="rId62" xr:uid="{00000000-0004-0000-0600-00003E000000}"/>
    <hyperlink ref="H186" r:id="rId63" xr:uid="{00000000-0004-0000-0600-00003F000000}"/>
    <hyperlink ref="H205" r:id="rId64" xr:uid="{00000000-0004-0000-0600-000040000000}"/>
    <hyperlink ref="H225" r:id="rId65" xr:uid="{00000000-0004-0000-0600-000041000000}"/>
    <hyperlink ref="H234" r:id="rId66" xr:uid="{00000000-0004-0000-0600-000042000000}"/>
    <hyperlink ref="H112" r:id="rId67" location="Aromatic" xr:uid="{00000000-0004-0000-0600-000043000000}"/>
    <hyperlink ref="H177" r:id="rId68" location="Carabrown" xr:uid="{00000000-0004-0000-0600-000044000000}"/>
    <hyperlink ref="H30" r:id="rId69" xr:uid="{00000000-0004-0000-0600-000045000000}"/>
    <hyperlink ref="H41" r:id="rId70" xr:uid="{00000000-0004-0000-0600-000046000000}"/>
    <hyperlink ref="H42" r:id="rId71" xr:uid="{00000000-0004-0000-0600-000047000000}"/>
    <hyperlink ref="H43" r:id="rId72" xr:uid="{00000000-0004-0000-0600-000048000000}"/>
    <hyperlink ref="H44" r:id="rId73" xr:uid="{00000000-0004-0000-0600-000049000000}"/>
    <hyperlink ref="H45" r:id="rId74" xr:uid="{00000000-0004-0000-0600-00004A000000}"/>
    <hyperlink ref="H46" r:id="rId75" xr:uid="{00000000-0004-0000-0600-00004B000000}"/>
    <hyperlink ref="H47" r:id="rId76" xr:uid="{00000000-0004-0000-0600-00004C000000}"/>
    <hyperlink ref="H48" r:id="rId77" xr:uid="{00000000-0004-0000-0600-00004D000000}"/>
    <hyperlink ref="H49" r:id="rId78" xr:uid="{00000000-0004-0000-0600-00004E000000}"/>
    <hyperlink ref="H50" r:id="rId79" xr:uid="{00000000-0004-0000-0600-00004F000000}"/>
    <hyperlink ref="H51" r:id="rId80" xr:uid="{00000000-0004-0000-0600-000050000000}"/>
    <hyperlink ref="H81" r:id="rId81" xr:uid="{00000000-0004-0000-0600-000051000000}"/>
    <hyperlink ref="H82" r:id="rId82" xr:uid="{00000000-0004-0000-0600-000052000000}"/>
    <hyperlink ref="H178" r:id="rId83" location="2RowChocolate" xr:uid="{00000000-0004-0000-0600-000053000000}"/>
    <hyperlink ref="H184" r:id="rId84" location="ExtraSpecial" xr:uid="{00000000-0004-0000-0600-000054000000}"/>
    <hyperlink ref="H115" r:id="rId85" location="Bonlander" xr:uid="{00000000-0004-0000-0600-000055000000}"/>
    <hyperlink ref="H154" r:id="rId86" location="Brewers" xr:uid="{00000000-0004-0000-0600-000056000000}"/>
    <hyperlink ref="H142" r:id="rId87" location="Brewers" xr:uid="{00000000-0004-0000-0600-000057000000}"/>
    <hyperlink ref="H133" r:id="rId88" xr:uid="{00000000-0004-0000-0600-000058000000}"/>
    <hyperlink ref="H222" r:id="rId89" location="Goldpils" xr:uid="{00000000-0004-0000-0600-000059000000}"/>
    <hyperlink ref="H139" r:id="rId90" xr:uid="{00000000-0004-0000-0600-00005A000000}"/>
    <hyperlink ref="H235" r:id="rId91" xr:uid="{00000000-0004-0000-0600-00005B000000}"/>
    <hyperlink ref="H236" r:id="rId92" xr:uid="{00000000-0004-0000-0600-00005C000000}"/>
    <hyperlink ref="H15" r:id="rId93" xr:uid="{00000000-0004-0000-0600-00005D000000}"/>
    <hyperlink ref="H145" r:id="rId94" xr:uid="{00000000-0004-0000-0600-00005E000000}"/>
    <hyperlink ref="H146" r:id="rId95" xr:uid="{00000000-0004-0000-0600-00005F000000}"/>
    <hyperlink ref="H125" r:id="rId96" xr:uid="{00000000-0004-0000-0600-000060000000}"/>
    <hyperlink ref="H221" r:id="rId97" xr:uid="{00000000-0004-0000-0600-000061000000}"/>
    <hyperlink ref="H114" r:id="rId98" xr:uid="{00000000-0004-0000-0600-000062000000}"/>
    <hyperlink ref="H109" r:id="rId99" xr:uid="{00000000-0004-0000-0600-000063000000}"/>
    <hyperlink ref="H110" r:id="rId100" xr:uid="{00000000-0004-0000-0600-000064000000}"/>
    <hyperlink ref="H113" r:id="rId101" xr:uid="{00000000-0004-0000-0600-000065000000}"/>
    <hyperlink ref="H126" r:id="rId102" xr:uid="{00000000-0004-0000-0600-000066000000}"/>
    <hyperlink ref="H59" r:id="rId103" xr:uid="{00000000-0004-0000-0600-000067000000}"/>
    <hyperlink ref="H227" r:id="rId104" xr:uid="{00000000-0004-0000-0600-000068000000}"/>
    <hyperlink ref="H228" r:id="rId105" xr:uid="{00000000-0004-0000-0600-000069000000}"/>
    <hyperlink ref="H206" r:id="rId106" xr:uid="{00000000-0004-0000-0600-00006A000000}"/>
    <hyperlink ref="H226" r:id="rId107" xr:uid="{00000000-0004-0000-0600-00006B000000}"/>
    <hyperlink ref="H122" r:id="rId108" xr:uid="{00000000-0004-0000-0600-00006C000000}"/>
    <hyperlink ref="H123" r:id="rId109" xr:uid="{00000000-0004-0000-0600-00006D000000}"/>
    <hyperlink ref="H20" r:id="rId110" xr:uid="{00000000-0004-0000-0600-00006E000000}"/>
    <hyperlink ref="H19" r:id="rId111" xr:uid="{00000000-0004-0000-0600-00006F000000}"/>
    <hyperlink ref="H18" r:id="rId112" xr:uid="{00000000-0004-0000-0600-000070000000}"/>
    <hyperlink ref="H24" r:id="rId113" xr:uid="{00000000-0004-0000-0600-000071000000}"/>
    <hyperlink ref="H21" r:id="rId114" xr:uid="{00000000-0004-0000-0600-000072000000}"/>
    <hyperlink ref="H22" r:id="rId115" xr:uid="{00000000-0004-0000-0600-000073000000}"/>
    <hyperlink ref="H23" r:id="rId116" xr:uid="{00000000-0004-0000-0600-000074000000}"/>
    <hyperlink ref="H169" r:id="rId117" xr:uid="{00000000-0004-0000-0600-000075000000}"/>
    <hyperlink ref="H170" r:id="rId118" xr:uid="{00000000-0004-0000-0600-000076000000}"/>
    <hyperlink ref="H76" r:id="rId119" xr:uid="{00000000-0004-0000-0600-000077000000}"/>
    <hyperlink ref="H3" r:id="rId120" xr:uid="{00000000-0004-0000-0600-000078000000}"/>
    <hyperlink ref="H199" r:id="rId121" xr:uid="{00000000-0004-0000-0600-000079000000}"/>
    <hyperlink ref="H198" r:id="rId122" xr:uid="{00000000-0004-0000-0600-00007A000000}"/>
    <hyperlink ref="H165" r:id="rId123" xr:uid="{00000000-0004-0000-0600-00007B000000}"/>
    <hyperlink ref="H90" r:id="rId124" xr:uid="{00000000-0004-0000-0600-00007C000000}"/>
    <hyperlink ref="H87" r:id="rId125" xr:uid="{00000000-0004-0000-0600-00007D000000}"/>
    <hyperlink ref="H88" r:id="rId126" xr:uid="{00000000-0004-0000-0600-00007E000000}"/>
    <hyperlink ref="H89" r:id="rId127" xr:uid="{00000000-0004-0000-0600-00007F000000}"/>
    <hyperlink ref="H91" r:id="rId128" xr:uid="{00000000-0004-0000-0600-000080000000}"/>
    <hyperlink ref="H92" r:id="rId129" xr:uid="{00000000-0004-0000-0600-000081000000}"/>
    <hyperlink ref="H93" r:id="rId130" xr:uid="{00000000-0004-0000-0600-000082000000}"/>
    <hyperlink ref="H105" r:id="rId131" xr:uid="{00000000-0004-0000-0600-000083000000}"/>
    <hyperlink ref="H106" r:id="rId132" xr:uid="{00000000-0004-0000-0600-000084000000}"/>
    <hyperlink ref="H107" r:id="rId133" xr:uid="{00000000-0004-0000-0600-000085000000}"/>
    <hyperlink ref="H108" r:id="rId134" xr:uid="{00000000-0004-0000-0600-000086000000}"/>
    <hyperlink ref="H104" r:id="rId135" xr:uid="{00000000-0004-0000-0600-000087000000}"/>
    <hyperlink ref="H97" r:id="rId136" xr:uid="{00000000-0004-0000-0600-000088000000}"/>
    <hyperlink ref="H94" r:id="rId137" xr:uid="{00000000-0004-0000-0600-000089000000}"/>
    <hyperlink ref="H153" r:id="rId138" xr:uid="{00000000-0004-0000-0600-00008A000000}"/>
    <hyperlink ref="H166" r:id="rId139" xr:uid="{00000000-0004-0000-0600-00008C000000}"/>
    <hyperlink ref="H183" r:id="rId140" xr:uid="{00000000-0004-0000-0600-00008D000000}"/>
    <hyperlink ref="H185" r:id="rId141" xr:uid="{00000000-0004-0000-0600-00008E000000}"/>
    <hyperlink ref="H14" r:id="rId142" xr:uid="{00000000-0004-0000-0600-00008F000000}"/>
    <hyperlink ref="H194" r:id="rId143" xr:uid="{00000000-0004-0000-0600-000090000000}"/>
    <hyperlink ref="H196" r:id="rId144" xr:uid="{00000000-0004-0000-0600-000091000000}"/>
    <hyperlink ref="H200" r:id="rId145" xr:uid="{00000000-0004-0000-0600-000092000000}"/>
    <hyperlink ref="H202" r:id="rId146" xr:uid="{00000000-0004-0000-0600-000093000000}"/>
    <hyperlink ref="H210" r:id="rId147" display="http://www.beersmith.com/Grains/Grains/GrainList.htm" xr:uid="{00000000-0004-0000-0600-000094000000}"/>
    <hyperlink ref="H209" r:id="rId148" display="http://www.beersmith.com/Grains/Grains/GrainList.htm" xr:uid="{00000000-0004-0000-0600-000095000000}"/>
    <hyperlink ref="H211" r:id="rId149" display="http://www.beersmith.com/Grains/Grains/GrainList.htm" xr:uid="{00000000-0004-0000-0600-000096000000}"/>
    <hyperlink ref="H208" r:id="rId150" xr:uid="{00000000-0004-0000-0600-000097000000}"/>
    <hyperlink ref="H207" r:id="rId151" xr:uid="{00000000-0004-0000-0600-000098000000}"/>
    <hyperlink ref="H212" r:id="rId152" display="http://www.beersmith.com/Grains/Grains/GrainList.htm" xr:uid="{00000000-0004-0000-0600-000099000000}"/>
    <hyperlink ref="H214" r:id="rId153" display="http://www.beersmith.com/Grains/Grains/GrainList.htm" xr:uid="{00000000-0004-0000-0600-00009A000000}"/>
    <hyperlink ref="H213" r:id="rId154" xr:uid="{00000000-0004-0000-0600-00009B000000}"/>
    <hyperlink ref="H215" r:id="rId155" xr:uid="{00000000-0004-0000-0600-00009C000000}"/>
    <hyperlink ref="H216" r:id="rId156" display="http://www.beersmith.com/Grains/Grains/GrainList.htm" xr:uid="{00000000-0004-0000-0600-00009D000000}"/>
    <hyperlink ref="H217" r:id="rId157" display="http://www.beersmith.com/Grains/Grains/GrainList.htm" xr:uid="{00000000-0004-0000-0600-00009E000000}"/>
    <hyperlink ref="H218" r:id="rId158" display="http://www.beersmith.com/Grains/Grains/GrainList.htm" xr:uid="{00000000-0004-0000-0600-00009F000000}"/>
    <hyperlink ref="H219" r:id="rId159" display="http://www.beersmith.com/Grains/Grains/GrainList.htm" xr:uid="{00000000-0004-0000-0600-0000A0000000}"/>
    <hyperlink ref="H220" r:id="rId160" location="TorrifiedWheat" xr:uid="{00000000-0004-0000-0600-0000A1000000}"/>
    <hyperlink ref="H174" r:id="rId161" xr:uid="{00000000-0004-0000-0600-0000A2000000}"/>
    <hyperlink ref="H175" r:id="rId162" xr:uid="{00000000-0004-0000-0600-0000A3000000}"/>
    <hyperlink ref="H172" r:id="rId163" xr:uid="{00000000-0004-0000-0600-0000A4000000}"/>
    <hyperlink ref="H171" r:id="rId164" xr:uid="{00000000-0004-0000-0600-0000A5000000}"/>
    <hyperlink ref="H140" r:id="rId165" xr:uid="{00000000-0004-0000-0600-0000A6000000}"/>
    <hyperlink ref="H37" r:id="rId166" xr:uid="{00000000-0004-0000-0600-0000A7000000}"/>
    <hyperlink ref="H86" r:id="rId167" xr:uid="{00000000-0004-0000-0600-0000A8000000}"/>
    <hyperlink ref="H85" r:id="rId168" xr:uid="{00000000-0004-0000-0600-0000A9000000}"/>
    <hyperlink ref="H103" r:id="rId169" xr:uid="{00000000-0004-0000-0600-0000AA000000}"/>
    <hyperlink ref="H141" r:id="rId170" xr:uid="{00000000-0004-0000-0600-0000AB000000}"/>
    <hyperlink ref="H144" r:id="rId171" xr:uid="{00000000-0004-0000-0600-0000AC000000}"/>
    <hyperlink ref="H158" r:id="rId172" xr:uid="{13711CBD-0205-45C4-B7F3-ACC02CED9BE4}"/>
    <hyperlink ref="H134" r:id="rId173" location="{%22issue_id%22:453924,%22page%22:50}" xr:uid="{8C439332-78DE-437D-A3C5-08B1B6A74DE3}"/>
    <hyperlink ref="H138" r:id="rId174" xr:uid="{D7F8BAFD-07E5-4957-BD7E-DF8F85B6BE61}"/>
    <hyperlink ref="H137" r:id="rId175" xr:uid="{BAD7748C-F653-4CE0-83B3-FFFA0DD429F2}"/>
    <hyperlink ref="H9" r:id="rId176" xr:uid="{D9793794-F757-4BE1-B91C-D06F57FD838A}"/>
    <hyperlink ref="H12" r:id="rId177" xr:uid="{04FB2C70-A82D-4C42-94D9-9EA10123BF6E}"/>
    <hyperlink ref="H78" r:id="rId178" xr:uid="{3E14905F-D6C4-4F13-A430-3D50AE1C1703}"/>
    <hyperlink ref="H16" r:id="rId179" xr:uid="{226A8B64-F0E6-433B-90B6-B6EB8E814B3D}"/>
    <hyperlink ref="H95" r:id="rId180" xr:uid="{196F91B8-D176-4823-8B02-10D685658319}"/>
    <hyperlink ref="H84" r:id="rId181" xr:uid="{C42C6794-E0B7-47E1-9E18-DEB7D82EBD26}"/>
    <hyperlink ref="H201" r:id="rId182" xr:uid="{BC7D9F85-5E58-4871-9070-80A69172F7EA}"/>
    <hyperlink ref="H161" r:id="rId183" display="http://brewingwithbriess.com/Products/Roasted_Barley.htm" xr:uid="{00000000-0004-0000-0600-00008B000000}"/>
    <hyperlink ref="H63" r:id="rId184" xr:uid="{83F66515-E287-4E70-8E28-B92DBEB65257}"/>
  </hyperlinks>
  <pageMargins left="0.7" right="0.7" top="0.75" bottom="0.75" header="0.3" footer="0.3"/>
  <pageSetup orientation="portrait" r:id="rId185"/>
  <tableParts count="1">
    <tablePart r:id="rId18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A1:D141"/>
  <sheetViews>
    <sheetView topLeftCell="A25" workbookViewId="0">
      <selection activeCell="A23" sqref="A23:XFD23"/>
    </sheetView>
  </sheetViews>
  <sheetFormatPr defaultRowHeight="13.2" x14ac:dyDescent="0.25"/>
  <cols>
    <col min="1" max="1" width="34.77734375" customWidth="1"/>
    <col min="2" max="2" width="12" bestFit="1" customWidth="1"/>
    <col min="3" max="3" width="48.33203125" bestFit="1" customWidth="1"/>
    <col min="4" max="4" width="218.109375" bestFit="1" customWidth="1"/>
  </cols>
  <sheetData>
    <row r="1" spans="1:4" x14ac:dyDescent="0.25">
      <c r="A1" s="43" t="s">
        <v>132</v>
      </c>
      <c r="B1" s="43" t="s">
        <v>778</v>
      </c>
      <c r="C1" s="43" t="s">
        <v>779</v>
      </c>
      <c r="D1" s="43" t="s">
        <v>151</v>
      </c>
    </row>
    <row r="2" spans="1:4" x14ac:dyDescent="0.25">
      <c r="A2" t="s">
        <v>152</v>
      </c>
      <c r="B2" t="s">
        <v>153</v>
      </c>
      <c r="C2" t="s">
        <v>154</v>
      </c>
      <c r="D2" t="s">
        <v>155</v>
      </c>
    </row>
    <row r="3" spans="1:4" x14ac:dyDescent="0.25">
      <c r="A3" t="s">
        <v>780</v>
      </c>
      <c r="B3" t="s">
        <v>156</v>
      </c>
      <c r="C3" t="s">
        <v>157</v>
      </c>
      <c r="D3" t="s">
        <v>158</v>
      </c>
    </row>
    <row r="4" spans="1:4" x14ac:dyDescent="0.25">
      <c r="A4" t="s">
        <v>781</v>
      </c>
      <c r="B4" t="s">
        <v>160</v>
      </c>
      <c r="C4" t="s">
        <v>161</v>
      </c>
      <c r="D4" t="s">
        <v>162</v>
      </c>
    </row>
    <row r="5" spans="1:4" x14ac:dyDescent="0.25">
      <c r="A5" t="s">
        <v>163</v>
      </c>
      <c r="B5" t="s">
        <v>164</v>
      </c>
      <c r="C5" t="s">
        <v>165</v>
      </c>
      <c r="D5" t="s">
        <v>166</v>
      </c>
    </row>
    <row r="6" spans="1:4" x14ac:dyDescent="0.25">
      <c r="A6" t="s">
        <v>917</v>
      </c>
      <c r="B6" t="s">
        <v>191</v>
      </c>
      <c r="C6" t="s">
        <v>280</v>
      </c>
    </row>
    <row r="7" spans="1:4" x14ac:dyDescent="0.25">
      <c r="A7" t="s">
        <v>782</v>
      </c>
      <c r="B7" t="s">
        <v>783</v>
      </c>
      <c r="D7" t="s">
        <v>784</v>
      </c>
    </row>
    <row r="8" spans="1:4" x14ac:dyDescent="0.25">
      <c r="A8" t="s">
        <v>884</v>
      </c>
      <c r="B8" s="45">
        <v>0.121</v>
      </c>
      <c r="D8" t="s">
        <v>885</v>
      </c>
    </row>
    <row r="9" spans="1:4" x14ac:dyDescent="0.25">
      <c r="A9" t="s">
        <v>785</v>
      </c>
      <c r="B9" t="s">
        <v>160</v>
      </c>
      <c r="D9" t="s">
        <v>786</v>
      </c>
    </row>
    <row r="10" spans="1:4" x14ac:dyDescent="0.25">
      <c r="A10" t="s">
        <v>893</v>
      </c>
      <c r="B10" t="s">
        <v>894</v>
      </c>
      <c r="C10" t="s">
        <v>837</v>
      </c>
    </row>
    <row r="11" spans="1:4" x14ac:dyDescent="0.25">
      <c r="A11" t="s">
        <v>167</v>
      </c>
      <c r="B11" t="s">
        <v>168</v>
      </c>
      <c r="C11" t="s">
        <v>169</v>
      </c>
      <c r="D11" t="s">
        <v>170</v>
      </c>
    </row>
    <row r="12" spans="1:4" x14ac:dyDescent="0.25">
      <c r="A12" t="s">
        <v>171</v>
      </c>
      <c r="B12" t="s">
        <v>172</v>
      </c>
      <c r="C12" t="s">
        <v>173</v>
      </c>
    </row>
    <row r="13" spans="1:4" x14ac:dyDescent="0.25">
      <c r="A13" t="s">
        <v>174</v>
      </c>
      <c r="B13" t="s">
        <v>175</v>
      </c>
      <c r="C13" t="s">
        <v>176</v>
      </c>
      <c r="D13" t="s">
        <v>177</v>
      </c>
    </row>
    <row r="14" spans="1:4" x14ac:dyDescent="0.25">
      <c r="A14" t="s">
        <v>178</v>
      </c>
      <c r="B14" t="s">
        <v>179</v>
      </c>
      <c r="C14" t="s">
        <v>180</v>
      </c>
      <c r="D14" t="s">
        <v>181</v>
      </c>
    </row>
    <row r="15" spans="1:4" x14ac:dyDescent="0.25">
      <c r="A15" t="s">
        <v>182</v>
      </c>
      <c r="B15" t="s">
        <v>183</v>
      </c>
      <c r="C15" t="s">
        <v>184</v>
      </c>
      <c r="D15" t="s">
        <v>185</v>
      </c>
    </row>
    <row r="16" spans="1:4" x14ac:dyDescent="0.25">
      <c r="A16" t="s">
        <v>886</v>
      </c>
      <c r="B16" t="s">
        <v>287</v>
      </c>
      <c r="D16" t="s">
        <v>887</v>
      </c>
    </row>
    <row r="17" spans="1:4" x14ac:dyDescent="0.25">
      <c r="A17" t="s">
        <v>186</v>
      </c>
      <c r="B17" t="s">
        <v>187</v>
      </c>
      <c r="C17" t="s">
        <v>188</v>
      </c>
      <c r="D17" t="s">
        <v>189</v>
      </c>
    </row>
    <row r="18" spans="1:4" x14ac:dyDescent="0.25">
      <c r="A18" t="s">
        <v>190</v>
      </c>
      <c r="B18" t="s">
        <v>191</v>
      </c>
      <c r="C18" t="s">
        <v>192</v>
      </c>
      <c r="D18" t="s">
        <v>193</v>
      </c>
    </row>
    <row r="19" spans="1:4" x14ac:dyDescent="0.25">
      <c r="A19" t="s">
        <v>194</v>
      </c>
      <c r="B19" t="s">
        <v>195</v>
      </c>
      <c r="C19" t="s">
        <v>196</v>
      </c>
      <c r="D19" t="s">
        <v>197</v>
      </c>
    </row>
    <row r="20" spans="1:4" x14ac:dyDescent="0.25">
      <c r="A20" t="s">
        <v>787</v>
      </c>
      <c r="B20" t="s">
        <v>788</v>
      </c>
      <c r="D20" t="s">
        <v>789</v>
      </c>
    </row>
    <row r="21" spans="1:4" x14ac:dyDescent="0.25">
      <c r="A21" t="s">
        <v>862</v>
      </c>
      <c r="B21" t="s">
        <v>275</v>
      </c>
      <c r="C21" t="s">
        <v>821</v>
      </c>
      <c r="D21" t="s">
        <v>863</v>
      </c>
    </row>
    <row r="22" spans="1:4" x14ac:dyDescent="0.25">
      <c r="A22" t="s">
        <v>198</v>
      </c>
      <c r="B22" t="s">
        <v>199</v>
      </c>
      <c r="C22" t="s">
        <v>200</v>
      </c>
      <c r="D22" t="s">
        <v>201</v>
      </c>
    </row>
    <row r="23" spans="1:4" x14ac:dyDescent="0.25">
      <c r="A23" t="s">
        <v>202</v>
      </c>
      <c r="B23" t="s">
        <v>203</v>
      </c>
      <c r="C23" t="s">
        <v>204</v>
      </c>
      <c r="D23" t="s">
        <v>205</v>
      </c>
    </row>
    <row r="24" spans="1:4" x14ac:dyDescent="0.25">
      <c r="A24" t="s">
        <v>206</v>
      </c>
      <c r="B24" t="s">
        <v>207</v>
      </c>
      <c r="C24" t="s">
        <v>208</v>
      </c>
      <c r="D24" t="s">
        <v>209</v>
      </c>
    </row>
    <row r="25" spans="1:4" x14ac:dyDescent="0.25">
      <c r="A25" t="s">
        <v>790</v>
      </c>
      <c r="B25" t="s">
        <v>265</v>
      </c>
      <c r="D25" t="s">
        <v>791</v>
      </c>
    </row>
    <row r="26" spans="1:4" x14ac:dyDescent="0.25">
      <c r="A26" t="s">
        <v>210</v>
      </c>
      <c r="B26" t="s">
        <v>211</v>
      </c>
      <c r="C26" t="s">
        <v>212</v>
      </c>
      <c r="D26" t="s">
        <v>213</v>
      </c>
    </row>
    <row r="27" spans="1:4" x14ac:dyDescent="0.25">
      <c r="A27" t="s">
        <v>214</v>
      </c>
      <c r="B27" t="s">
        <v>215</v>
      </c>
      <c r="C27" t="s">
        <v>216</v>
      </c>
      <c r="D27" t="s">
        <v>217</v>
      </c>
    </row>
    <row r="28" spans="1:4" x14ac:dyDescent="0.25">
      <c r="A28" t="s">
        <v>792</v>
      </c>
      <c r="B28" t="s">
        <v>793</v>
      </c>
      <c r="D28" t="s">
        <v>794</v>
      </c>
    </row>
    <row r="29" spans="1:4" x14ac:dyDescent="0.25">
      <c r="A29" t="s">
        <v>864</v>
      </c>
      <c r="B29" t="s">
        <v>865</v>
      </c>
      <c r="C29" t="s">
        <v>866</v>
      </c>
      <c r="D29" t="s">
        <v>867</v>
      </c>
    </row>
    <row r="30" spans="1:4" x14ac:dyDescent="0.25">
      <c r="A30" t="s">
        <v>2024</v>
      </c>
      <c r="B30" t="s">
        <v>2025</v>
      </c>
      <c r="D30" t="s">
        <v>2026</v>
      </c>
    </row>
    <row r="31" spans="1:4" x14ac:dyDescent="0.25">
      <c r="A31" t="s">
        <v>795</v>
      </c>
      <c r="B31" t="s">
        <v>783</v>
      </c>
      <c r="D31" t="s">
        <v>796</v>
      </c>
    </row>
    <row r="32" spans="1:4" x14ac:dyDescent="0.25">
      <c r="A32" t="s">
        <v>868</v>
      </c>
      <c r="B32" t="s">
        <v>869</v>
      </c>
      <c r="D32" t="s">
        <v>870</v>
      </c>
    </row>
    <row r="33" spans="1:4" x14ac:dyDescent="0.25">
      <c r="A33" t="s">
        <v>218</v>
      </c>
      <c r="B33" t="s">
        <v>219</v>
      </c>
      <c r="C33" t="s">
        <v>220</v>
      </c>
      <c r="D33" t="s">
        <v>221</v>
      </c>
    </row>
    <row r="34" spans="1:4" x14ac:dyDescent="0.25">
      <c r="A34" t="s">
        <v>797</v>
      </c>
      <c r="B34" t="s">
        <v>798</v>
      </c>
      <c r="C34" t="s">
        <v>362</v>
      </c>
      <c r="D34" t="s">
        <v>799</v>
      </c>
    </row>
    <row r="35" spans="1:4" x14ac:dyDescent="0.25">
      <c r="A35" t="s">
        <v>222</v>
      </c>
      <c r="B35" t="s">
        <v>203</v>
      </c>
      <c r="C35" t="s">
        <v>223</v>
      </c>
      <c r="D35" t="s">
        <v>224</v>
      </c>
    </row>
    <row r="36" spans="1:4" x14ac:dyDescent="0.25">
      <c r="A36" t="s">
        <v>225</v>
      </c>
      <c r="B36" t="s">
        <v>226</v>
      </c>
      <c r="C36" t="s">
        <v>227</v>
      </c>
      <c r="D36" t="s">
        <v>228</v>
      </c>
    </row>
    <row r="37" spans="1:4" x14ac:dyDescent="0.25">
      <c r="A37" t="s">
        <v>229</v>
      </c>
      <c r="B37" t="s">
        <v>226</v>
      </c>
      <c r="C37" t="s">
        <v>230</v>
      </c>
      <c r="D37" t="s">
        <v>231</v>
      </c>
    </row>
    <row r="38" spans="1:4" x14ac:dyDescent="0.25">
      <c r="A38" t="s">
        <v>800</v>
      </c>
      <c r="B38" t="s">
        <v>215</v>
      </c>
      <c r="D38" t="s">
        <v>801</v>
      </c>
    </row>
    <row r="39" spans="1:4" x14ac:dyDescent="0.25">
      <c r="A39" t="s">
        <v>212</v>
      </c>
      <c r="B39" t="s">
        <v>207</v>
      </c>
      <c r="C39" t="s">
        <v>232</v>
      </c>
      <c r="D39" t="s">
        <v>233</v>
      </c>
    </row>
    <row r="40" spans="1:4" x14ac:dyDescent="0.25">
      <c r="A40" t="s">
        <v>234</v>
      </c>
      <c r="B40" t="s">
        <v>235</v>
      </c>
      <c r="C40" t="s">
        <v>236</v>
      </c>
      <c r="D40" t="s">
        <v>237</v>
      </c>
    </row>
    <row r="41" spans="1:4" x14ac:dyDescent="0.25">
      <c r="A41" t="s">
        <v>238</v>
      </c>
      <c r="B41" t="s">
        <v>239</v>
      </c>
      <c r="C41" t="s">
        <v>240</v>
      </c>
      <c r="D41" t="s">
        <v>241</v>
      </c>
    </row>
    <row r="42" spans="1:4" x14ac:dyDescent="0.25">
      <c r="A42" t="s">
        <v>242</v>
      </c>
      <c r="B42" t="s">
        <v>243</v>
      </c>
      <c r="C42" t="s">
        <v>244</v>
      </c>
      <c r="D42" t="s">
        <v>245</v>
      </c>
    </row>
    <row r="43" spans="1:4" x14ac:dyDescent="0.25">
      <c r="A43" t="s">
        <v>246</v>
      </c>
      <c r="B43" t="s">
        <v>203</v>
      </c>
      <c r="C43" t="s">
        <v>247</v>
      </c>
      <c r="D43" t="s">
        <v>248</v>
      </c>
    </row>
    <row r="44" spans="1:4" x14ac:dyDescent="0.25">
      <c r="A44" t="s">
        <v>888</v>
      </c>
      <c r="B44" t="s">
        <v>219</v>
      </c>
      <c r="D44" t="s">
        <v>889</v>
      </c>
    </row>
    <row r="45" spans="1:4" x14ac:dyDescent="0.25">
      <c r="A45" t="s">
        <v>249</v>
      </c>
      <c r="B45" t="s">
        <v>250</v>
      </c>
      <c r="C45" t="s">
        <v>251</v>
      </c>
      <c r="D45" t="s">
        <v>252</v>
      </c>
    </row>
    <row r="46" spans="1:4" x14ac:dyDescent="0.25">
      <c r="A46" t="s">
        <v>253</v>
      </c>
      <c r="B46" t="s">
        <v>254</v>
      </c>
      <c r="C46" t="s">
        <v>255</v>
      </c>
      <c r="D46" t="s">
        <v>256</v>
      </c>
    </row>
    <row r="47" spans="1:4" x14ac:dyDescent="0.25">
      <c r="A47" t="s">
        <v>257</v>
      </c>
      <c r="B47" t="s">
        <v>258</v>
      </c>
      <c r="C47" t="s">
        <v>259</v>
      </c>
      <c r="D47" t="s">
        <v>260</v>
      </c>
    </row>
    <row r="48" spans="1:4" x14ac:dyDescent="0.25">
      <c r="A48" t="s">
        <v>261</v>
      </c>
      <c r="B48" t="s">
        <v>250</v>
      </c>
      <c r="C48" t="s">
        <v>262</v>
      </c>
      <c r="D48" t="s">
        <v>263</v>
      </c>
    </row>
    <row r="49" spans="1:4" x14ac:dyDescent="0.25">
      <c r="A49" t="s">
        <v>264</v>
      </c>
      <c r="B49" t="s">
        <v>265</v>
      </c>
      <c r="D49" t="s">
        <v>266</v>
      </c>
    </row>
    <row r="50" spans="1:4" x14ac:dyDescent="0.25">
      <c r="A50" t="s">
        <v>871</v>
      </c>
      <c r="B50" t="s">
        <v>872</v>
      </c>
      <c r="D50" t="s">
        <v>873</v>
      </c>
    </row>
    <row r="51" spans="1:4" x14ac:dyDescent="0.25">
      <c r="A51" t="s">
        <v>267</v>
      </c>
      <c r="B51" t="s">
        <v>258</v>
      </c>
      <c r="C51" t="s">
        <v>268</v>
      </c>
      <c r="D51" t="s">
        <v>269</v>
      </c>
    </row>
    <row r="52" spans="1:4" x14ac:dyDescent="0.25">
      <c r="A52" t="s">
        <v>270</v>
      </c>
      <c r="B52" t="s">
        <v>243</v>
      </c>
      <c r="C52" t="s">
        <v>278</v>
      </c>
      <c r="D52" t="s">
        <v>802</v>
      </c>
    </row>
    <row r="53" spans="1:4" x14ac:dyDescent="0.25">
      <c r="A53" t="s">
        <v>898</v>
      </c>
      <c r="B53" t="s">
        <v>899</v>
      </c>
      <c r="D53" t="s">
        <v>900</v>
      </c>
    </row>
    <row r="54" spans="1:4" x14ac:dyDescent="0.25">
      <c r="A54" t="s">
        <v>803</v>
      </c>
      <c r="B54" t="s">
        <v>804</v>
      </c>
      <c r="D54" t="s">
        <v>805</v>
      </c>
    </row>
    <row r="55" spans="1:4" x14ac:dyDescent="0.25">
      <c r="A55" t="s">
        <v>806</v>
      </c>
      <c r="B55" t="s">
        <v>414</v>
      </c>
      <c r="D55" t="s">
        <v>807</v>
      </c>
    </row>
    <row r="56" spans="1:4" x14ac:dyDescent="0.25">
      <c r="A56" t="s">
        <v>271</v>
      </c>
      <c r="B56" t="s">
        <v>226</v>
      </c>
      <c r="C56" t="s">
        <v>272</v>
      </c>
      <c r="D56" t="s">
        <v>273</v>
      </c>
    </row>
    <row r="57" spans="1:4" x14ac:dyDescent="0.25">
      <c r="A57" t="s">
        <v>808</v>
      </c>
      <c r="B57" s="44">
        <v>0.03</v>
      </c>
      <c r="D57" t="s">
        <v>809</v>
      </c>
    </row>
    <row r="58" spans="1:4" x14ac:dyDescent="0.25">
      <c r="A58" t="s">
        <v>810</v>
      </c>
      <c r="B58" t="s">
        <v>149</v>
      </c>
      <c r="D58" t="s">
        <v>811</v>
      </c>
    </row>
    <row r="59" spans="1:4" x14ac:dyDescent="0.25">
      <c r="A59" t="s">
        <v>812</v>
      </c>
      <c r="B59" t="s">
        <v>168</v>
      </c>
      <c r="C59" t="s">
        <v>159</v>
      </c>
      <c r="D59" t="s">
        <v>813</v>
      </c>
    </row>
    <row r="60" spans="1:4" x14ac:dyDescent="0.25">
      <c r="A60" t="s">
        <v>274</v>
      </c>
      <c r="B60" t="s">
        <v>275</v>
      </c>
      <c r="C60" t="s">
        <v>276</v>
      </c>
      <c r="D60" t="s">
        <v>277</v>
      </c>
    </row>
    <row r="61" spans="1:4" x14ac:dyDescent="0.25">
      <c r="A61" t="s">
        <v>920</v>
      </c>
      <c r="B61" t="s">
        <v>346</v>
      </c>
      <c r="C61" t="s">
        <v>365</v>
      </c>
      <c r="D61" t="s">
        <v>921</v>
      </c>
    </row>
    <row r="62" spans="1:4" x14ac:dyDescent="0.25">
      <c r="A62" t="s">
        <v>814</v>
      </c>
      <c r="B62" t="s">
        <v>395</v>
      </c>
      <c r="C62" t="s">
        <v>815</v>
      </c>
      <c r="D62" t="s">
        <v>281</v>
      </c>
    </row>
    <row r="63" spans="1:4" x14ac:dyDescent="0.25">
      <c r="A63" t="s">
        <v>816</v>
      </c>
      <c r="B63" t="s">
        <v>207</v>
      </c>
      <c r="C63" t="s">
        <v>815</v>
      </c>
      <c r="D63" t="s">
        <v>817</v>
      </c>
    </row>
    <row r="64" spans="1:4" x14ac:dyDescent="0.25">
      <c r="A64" t="s">
        <v>890</v>
      </c>
      <c r="B64" t="s">
        <v>179</v>
      </c>
      <c r="C64" t="s">
        <v>891</v>
      </c>
      <c r="D64" t="s">
        <v>892</v>
      </c>
    </row>
    <row r="65" spans="1:4" x14ac:dyDescent="0.25">
      <c r="A65" t="s">
        <v>918</v>
      </c>
      <c r="B65" t="s">
        <v>219</v>
      </c>
      <c r="D65" t="s">
        <v>919</v>
      </c>
    </row>
    <row r="66" spans="1:4" x14ac:dyDescent="0.25">
      <c r="A66" t="s">
        <v>874</v>
      </c>
      <c r="B66" t="s">
        <v>804</v>
      </c>
      <c r="C66" t="s">
        <v>278</v>
      </c>
      <c r="D66" t="s">
        <v>875</v>
      </c>
    </row>
    <row r="67" spans="1:4" x14ac:dyDescent="0.25">
      <c r="A67" t="s">
        <v>876</v>
      </c>
      <c r="B67" t="s">
        <v>804</v>
      </c>
      <c r="C67" t="s">
        <v>304</v>
      </c>
      <c r="D67" t="s">
        <v>877</v>
      </c>
    </row>
    <row r="68" spans="1:4" x14ac:dyDescent="0.25">
      <c r="A68" t="s">
        <v>927</v>
      </c>
      <c r="B68" t="s">
        <v>928</v>
      </c>
      <c r="C68" t="s">
        <v>929</v>
      </c>
      <c r="D68" t="s">
        <v>930</v>
      </c>
    </row>
    <row r="69" spans="1:4" x14ac:dyDescent="0.25">
      <c r="A69" t="s">
        <v>910</v>
      </c>
      <c r="B69" t="s">
        <v>911</v>
      </c>
      <c r="C69" t="s">
        <v>912</v>
      </c>
      <c r="D69" t="s">
        <v>913</v>
      </c>
    </row>
    <row r="70" spans="1:4" x14ac:dyDescent="0.25">
      <c r="A70" t="s">
        <v>282</v>
      </c>
      <c r="B70" t="s">
        <v>283</v>
      </c>
      <c r="C70" t="s">
        <v>284</v>
      </c>
      <c r="D70" t="s">
        <v>285</v>
      </c>
    </row>
    <row r="71" spans="1:4" x14ac:dyDescent="0.25">
      <c r="A71" t="s">
        <v>878</v>
      </c>
      <c r="B71" t="s">
        <v>879</v>
      </c>
      <c r="C71" t="s">
        <v>880</v>
      </c>
      <c r="D71" t="s">
        <v>881</v>
      </c>
    </row>
    <row r="72" spans="1:4" x14ac:dyDescent="0.25">
      <c r="A72" t="s">
        <v>286</v>
      </c>
      <c r="B72" t="s">
        <v>287</v>
      </c>
      <c r="D72" t="s">
        <v>818</v>
      </c>
    </row>
    <row r="73" spans="1:4" x14ac:dyDescent="0.25">
      <c r="A73" t="s">
        <v>288</v>
      </c>
      <c r="B73" t="s">
        <v>289</v>
      </c>
      <c r="C73" t="s">
        <v>290</v>
      </c>
      <c r="D73" t="s">
        <v>291</v>
      </c>
    </row>
    <row r="74" spans="1:4" x14ac:dyDescent="0.25">
      <c r="A74" t="s">
        <v>292</v>
      </c>
      <c r="B74" t="s">
        <v>293</v>
      </c>
      <c r="D74" t="s">
        <v>294</v>
      </c>
    </row>
    <row r="75" spans="1:4" x14ac:dyDescent="0.25">
      <c r="A75" t="s">
        <v>295</v>
      </c>
      <c r="B75" t="s">
        <v>179</v>
      </c>
      <c r="C75" t="s">
        <v>296</v>
      </c>
      <c r="D75" t="s">
        <v>297</v>
      </c>
    </row>
    <row r="76" spans="1:4" x14ac:dyDescent="0.25">
      <c r="A76" t="s">
        <v>298</v>
      </c>
      <c r="B76" t="s">
        <v>299</v>
      </c>
      <c r="C76" t="s">
        <v>300</v>
      </c>
      <c r="D76" t="s">
        <v>297</v>
      </c>
    </row>
    <row r="77" spans="1:4" x14ac:dyDescent="0.25">
      <c r="A77" t="s">
        <v>301</v>
      </c>
      <c r="B77" t="s">
        <v>302</v>
      </c>
      <c r="D77" t="s">
        <v>303</v>
      </c>
    </row>
    <row r="78" spans="1:4" x14ac:dyDescent="0.25">
      <c r="A78" t="s">
        <v>304</v>
      </c>
      <c r="B78" t="s">
        <v>305</v>
      </c>
      <c r="C78" t="s">
        <v>306</v>
      </c>
      <c r="D78" t="s">
        <v>307</v>
      </c>
    </row>
    <row r="79" spans="1:4" x14ac:dyDescent="0.25">
      <c r="A79" t="s">
        <v>308</v>
      </c>
      <c r="B79" t="s">
        <v>265</v>
      </c>
      <c r="C79" t="s">
        <v>206</v>
      </c>
      <c r="D79" t="s">
        <v>309</v>
      </c>
    </row>
    <row r="80" spans="1:4" x14ac:dyDescent="0.25">
      <c r="A80" t="s">
        <v>819</v>
      </c>
      <c r="B80" t="s">
        <v>820</v>
      </c>
      <c r="C80" t="s">
        <v>821</v>
      </c>
      <c r="D80" t="s">
        <v>822</v>
      </c>
    </row>
    <row r="81" spans="1:4" x14ac:dyDescent="0.25">
      <c r="A81" t="s">
        <v>823</v>
      </c>
      <c r="B81" t="s">
        <v>149</v>
      </c>
      <c r="D81" t="s">
        <v>824</v>
      </c>
    </row>
    <row r="82" spans="1:4" x14ac:dyDescent="0.25">
      <c r="A82" t="s">
        <v>310</v>
      </c>
      <c r="B82" t="s">
        <v>279</v>
      </c>
      <c r="C82" t="s">
        <v>212</v>
      </c>
      <c r="D82" t="s">
        <v>825</v>
      </c>
    </row>
    <row r="83" spans="1:4" x14ac:dyDescent="0.25">
      <c r="A83" t="s">
        <v>311</v>
      </c>
      <c r="B83" t="s">
        <v>287</v>
      </c>
      <c r="D83" t="s">
        <v>312</v>
      </c>
    </row>
    <row r="84" spans="1:4" x14ac:dyDescent="0.25">
      <c r="A84" t="s">
        <v>313</v>
      </c>
      <c r="B84" t="s">
        <v>314</v>
      </c>
      <c r="C84" t="s">
        <v>315</v>
      </c>
      <c r="D84" t="s">
        <v>316</v>
      </c>
    </row>
    <row r="85" spans="1:4" x14ac:dyDescent="0.25">
      <c r="A85" t="s">
        <v>826</v>
      </c>
      <c r="B85" t="s">
        <v>317</v>
      </c>
      <c r="C85" t="s">
        <v>318</v>
      </c>
      <c r="D85" t="s">
        <v>319</v>
      </c>
    </row>
    <row r="86" spans="1:4" x14ac:dyDescent="0.25">
      <c r="A86" t="s">
        <v>827</v>
      </c>
      <c r="B86" t="s">
        <v>368</v>
      </c>
      <c r="C86" t="s">
        <v>383</v>
      </c>
      <c r="D86" t="s">
        <v>828</v>
      </c>
    </row>
    <row r="87" spans="1:4" x14ac:dyDescent="0.25">
      <c r="A87" t="s">
        <v>320</v>
      </c>
      <c r="B87" t="s">
        <v>321</v>
      </c>
      <c r="C87" t="s">
        <v>322</v>
      </c>
      <c r="D87" t="s">
        <v>323</v>
      </c>
    </row>
    <row r="88" spans="1:4" x14ac:dyDescent="0.25">
      <c r="A88" t="s">
        <v>324</v>
      </c>
      <c r="B88" t="s">
        <v>325</v>
      </c>
      <c r="C88" t="s">
        <v>326</v>
      </c>
      <c r="D88" t="s">
        <v>327</v>
      </c>
    </row>
    <row r="89" spans="1:4" x14ac:dyDescent="0.25">
      <c r="A89" t="s">
        <v>328</v>
      </c>
      <c r="B89" t="s">
        <v>830</v>
      </c>
      <c r="C89" t="s">
        <v>329</v>
      </c>
      <c r="D89" t="s">
        <v>895</v>
      </c>
    </row>
    <row r="90" spans="1:4" x14ac:dyDescent="0.25">
      <c r="A90" t="s">
        <v>829</v>
      </c>
      <c r="B90" t="s">
        <v>830</v>
      </c>
      <c r="C90" t="s">
        <v>831</v>
      </c>
      <c r="D90" t="s">
        <v>832</v>
      </c>
    </row>
    <row r="91" spans="1:4" x14ac:dyDescent="0.25">
      <c r="A91" t="s">
        <v>330</v>
      </c>
      <c r="B91" t="s">
        <v>331</v>
      </c>
      <c r="C91" t="s">
        <v>332</v>
      </c>
      <c r="D91" t="s">
        <v>333</v>
      </c>
    </row>
    <row r="92" spans="1:4" x14ac:dyDescent="0.25">
      <c r="A92" t="s">
        <v>901</v>
      </c>
      <c r="B92" t="s">
        <v>902</v>
      </c>
      <c r="D92" t="s">
        <v>903</v>
      </c>
    </row>
    <row r="93" spans="1:4" x14ac:dyDescent="0.25">
      <c r="A93" t="s">
        <v>922</v>
      </c>
      <c r="B93" t="s">
        <v>923</v>
      </c>
      <c r="D93" t="s">
        <v>924</v>
      </c>
    </row>
    <row r="94" spans="1:4" x14ac:dyDescent="0.25">
      <c r="A94" t="s">
        <v>334</v>
      </c>
      <c r="B94" t="s">
        <v>179</v>
      </c>
      <c r="C94" t="s">
        <v>335</v>
      </c>
      <c r="D94" t="s">
        <v>336</v>
      </c>
    </row>
    <row r="95" spans="1:4" x14ac:dyDescent="0.25">
      <c r="A95" t="s">
        <v>337</v>
      </c>
      <c r="B95" t="s">
        <v>338</v>
      </c>
      <c r="C95" t="s">
        <v>339</v>
      </c>
      <c r="D95" t="s">
        <v>340</v>
      </c>
    </row>
    <row r="96" spans="1:4" x14ac:dyDescent="0.25">
      <c r="A96" t="s">
        <v>833</v>
      </c>
      <c r="B96" t="s">
        <v>793</v>
      </c>
      <c r="D96" t="s">
        <v>834</v>
      </c>
    </row>
    <row r="97" spans="1:4" x14ac:dyDescent="0.25">
      <c r="A97" t="s">
        <v>341</v>
      </c>
      <c r="B97" t="s">
        <v>342</v>
      </c>
      <c r="C97" t="s">
        <v>343</v>
      </c>
      <c r="D97" t="s">
        <v>344</v>
      </c>
    </row>
    <row r="98" spans="1:4" x14ac:dyDescent="0.25">
      <c r="A98" t="s">
        <v>345</v>
      </c>
      <c r="B98" t="s">
        <v>346</v>
      </c>
      <c r="C98" t="s">
        <v>347</v>
      </c>
      <c r="D98" t="s">
        <v>348</v>
      </c>
    </row>
    <row r="99" spans="1:4" x14ac:dyDescent="0.25">
      <c r="A99" t="s">
        <v>349</v>
      </c>
      <c r="B99" t="s">
        <v>187</v>
      </c>
      <c r="C99" t="s">
        <v>350</v>
      </c>
      <c r="D99" t="s">
        <v>351</v>
      </c>
    </row>
    <row r="100" spans="1:4" x14ac:dyDescent="0.25">
      <c r="A100" t="s">
        <v>352</v>
      </c>
      <c r="B100" t="s">
        <v>353</v>
      </c>
      <c r="C100" t="s">
        <v>354</v>
      </c>
      <c r="D100" t="s">
        <v>355</v>
      </c>
    </row>
    <row r="101" spans="1:4" x14ac:dyDescent="0.25">
      <c r="A101" t="s">
        <v>356</v>
      </c>
      <c r="B101" t="s">
        <v>357</v>
      </c>
      <c r="C101" t="s">
        <v>188</v>
      </c>
      <c r="D101" t="s">
        <v>358</v>
      </c>
    </row>
    <row r="102" spans="1:4" x14ac:dyDescent="0.25">
      <c r="A102" t="s">
        <v>359</v>
      </c>
      <c r="B102" t="s">
        <v>360</v>
      </c>
      <c r="C102" t="s">
        <v>212</v>
      </c>
      <c r="D102" t="s">
        <v>361</v>
      </c>
    </row>
    <row r="103" spans="1:4" x14ac:dyDescent="0.25">
      <c r="A103" t="s">
        <v>914</v>
      </c>
      <c r="B103" t="s">
        <v>239</v>
      </c>
      <c r="C103" t="s">
        <v>915</v>
      </c>
      <c r="D103" t="s">
        <v>916</v>
      </c>
    </row>
    <row r="104" spans="1:4" x14ac:dyDescent="0.25">
      <c r="A104" t="s">
        <v>835</v>
      </c>
      <c r="B104" t="s">
        <v>287</v>
      </c>
      <c r="D104" t="s">
        <v>363</v>
      </c>
    </row>
    <row r="105" spans="1:4" x14ac:dyDescent="0.25">
      <c r="A105" t="s">
        <v>364</v>
      </c>
      <c r="B105" t="s">
        <v>314</v>
      </c>
      <c r="C105" t="s">
        <v>365</v>
      </c>
      <c r="D105" t="s">
        <v>366</v>
      </c>
    </row>
    <row r="106" spans="1:4" x14ac:dyDescent="0.25">
      <c r="A106" t="s">
        <v>925</v>
      </c>
      <c r="B106" t="s">
        <v>239</v>
      </c>
      <c r="D106" t="s">
        <v>926</v>
      </c>
    </row>
    <row r="107" spans="1:4" x14ac:dyDescent="0.25">
      <c r="A107" t="s">
        <v>367</v>
      </c>
      <c r="B107" t="s">
        <v>368</v>
      </c>
      <c r="D107" t="s">
        <v>369</v>
      </c>
    </row>
    <row r="108" spans="1:4" x14ac:dyDescent="0.25">
      <c r="A108" t="s">
        <v>370</v>
      </c>
      <c r="B108" t="s">
        <v>243</v>
      </c>
      <c r="D108" t="s">
        <v>371</v>
      </c>
    </row>
    <row r="109" spans="1:4" x14ac:dyDescent="0.25">
      <c r="A109" t="s">
        <v>836</v>
      </c>
      <c r="B109" t="s">
        <v>314</v>
      </c>
      <c r="C109" t="s">
        <v>837</v>
      </c>
      <c r="D109" t="s">
        <v>838</v>
      </c>
    </row>
    <row r="110" spans="1:4" x14ac:dyDescent="0.25">
      <c r="A110" t="s">
        <v>372</v>
      </c>
      <c r="B110" t="s">
        <v>226</v>
      </c>
      <c r="C110" t="s">
        <v>373</v>
      </c>
      <c r="D110" t="s">
        <v>374</v>
      </c>
    </row>
    <row r="111" spans="1:4" x14ac:dyDescent="0.25">
      <c r="A111" t="s">
        <v>375</v>
      </c>
      <c r="B111" t="s">
        <v>239</v>
      </c>
      <c r="C111" t="s">
        <v>376</v>
      </c>
      <c r="D111" t="s">
        <v>377</v>
      </c>
    </row>
    <row r="112" spans="1:4" x14ac:dyDescent="0.25">
      <c r="A112" t="s">
        <v>378</v>
      </c>
      <c r="B112" t="s">
        <v>187</v>
      </c>
      <c r="C112" t="s">
        <v>379</v>
      </c>
      <c r="D112" t="s">
        <v>380</v>
      </c>
    </row>
    <row r="113" spans="1:4" x14ac:dyDescent="0.25">
      <c r="A113" t="s">
        <v>381</v>
      </c>
      <c r="B113" t="s">
        <v>382</v>
      </c>
      <c r="C113" t="s">
        <v>383</v>
      </c>
      <c r="D113" t="s">
        <v>384</v>
      </c>
    </row>
    <row r="114" spans="1:4" x14ac:dyDescent="0.25">
      <c r="A114" t="s">
        <v>385</v>
      </c>
      <c r="B114" t="s">
        <v>187</v>
      </c>
      <c r="C114" t="s">
        <v>386</v>
      </c>
      <c r="D114" t="s">
        <v>387</v>
      </c>
    </row>
    <row r="115" spans="1:4" x14ac:dyDescent="0.25">
      <c r="A115" t="s">
        <v>839</v>
      </c>
      <c r="B115" t="s">
        <v>840</v>
      </c>
      <c r="C115" t="s">
        <v>841</v>
      </c>
      <c r="D115" t="s">
        <v>842</v>
      </c>
    </row>
    <row r="116" spans="1:4" x14ac:dyDescent="0.25">
      <c r="A116" t="s">
        <v>904</v>
      </c>
      <c r="B116" t="s">
        <v>894</v>
      </c>
      <c r="C116" t="s">
        <v>905</v>
      </c>
      <c r="D116" t="s">
        <v>906</v>
      </c>
    </row>
    <row r="117" spans="1:4" x14ac:dyDescent="0.25">
      <c r="A117" t="s">
        <v>907</v>
      </c>
      <c r="B117" t="s">
        <v>275</v>
      </c>
      <c r="C117" t="s">
        <v>908</v>
      </c>
      <c r="D117" t="s">
        <v>909</v>
      </c>
    </row>
    <row r="118" spans="1:4" x14ac:dyDescent="0.25">
      <c r="A118" t="s">
        <v>388</v>
      </c>
      <c r="B118" t="s">
        <v>389</v>
      </c>
      <c r="C118" t="s">
        <v>390</v>
      </c>
      <c r="D118" t="s">
        <v>391</v>
      </c>
    </row>
    <row r="119" spans="1:4" x14ac:dyDescent="0.25">
      <c r="A119" t="s">
        <v>843</v>
      </c>
      <c r="B119" t="s">
        <v>844</v>
      </c>
      <c r="D119" t="s">
        <v>845</v>
      </c>
    </row>
    <row r="120" spans="1:4" x14ac:dyDescent="0.25">
      <c r="A120" t="s">
        <v>846</v>
      </c>
      <c r="B120" t="s">
        <v>392</v>
      </c>
      <c r="C120" t="s">
        <v>362</v>
      </c>
      <c r="D120" t="s">
        <v>393</v>
      </c>
    </row>
    <row r="121" spans="1:4" x14ac:dyDescent="0.25">
      <c r="A121" t="s">
        <v>394</v>
      </c>
      <c r="B121" t="s">
        <v>395</v>
      </c>
      <c r="C121" t="s">
        <v>278</v>
      </c>
      <c r="D121" t="s">
        <v>396</v>
      </c>
    </row>
    <row r="122" spans="1:4" x14ac:dyDescent="0.25">
      <c r="A122" t="s">
        <v>397</v>
      </c>
      <c r="B122" t="s">
        <v>398</v>
      </c>
      <c r="D122" t="s">
        <v>399</v>
      </c>
    </row>
    <row r="123" spans="1:4" x14ac:dyDescent="0.25">
      <c r="A123" t="s">
        <v>400</v>
      </c>
      <c r="B123" s="44">
        <v>0.14000000000000001</v>
      </c>
      <c r="C123" t="s">
        <v>401</v>
      </c>
      <c r="D123" t="s">
        <v>402</v>
      </c>
    </row>
    <row r="124" spans="1:4" x14ac:dyDescent="0.25">
      <c r="A124" t="s">
        <v>403</v>
      </c>
      <c r="B124" t="s">
        <v>404</v>
      </c>
      <c r="C124" t="s">
        <v>405</v>
      </c>
      <c r="D124" t="s">
        <v>406</v>
      </c>
    </row>
    <row r="125" spans="1:4" x14ac:dyDescent="0.25">
      <c r="A125" t="s">
        <v>882</v>
      </c>
      <c r="B125" t="s">
        <v>872</v>
      </c>
      <c r="C125" t="s">
        <v>278</v>
      </c>
      <c r="D125" t="s">
        <v>883</v>
      </c>
    </row>
    <row r="126" spans="1:4" x14ac:dyDescent="0.25">
      <c r="A126" t="s">
        <v>407</v>
      </c>
      <c r="B126" t="s">
        <v>250</v>
      </c>
      <c r="C126" t="s">
        <v>408</v>
      </c>
      <c r="D126" t="s">
        <v>409</v>
      </c>
    </row>
    <row r="127" spans="1:4" x14ac:dyDescent="0.25">
      <c r="A127" t="s">
        <v>410</v>
      </c>
      <c r="B127" t="s">
        <v>411</v>
      </c>
      <c r="C127" t="s">
        <v>412</v>
      </c>
      <c r="D127" t="s">
        <v>413</v>
      </c>
    </row>
    <row r="128" spans="1:4" x14ac:dyDescent="0.25">
      <c r="A128" t="s">
        <v>847</v>
      </c>
      <c r="B128" t="s">
        <v>414</v>
      </c>
      <c r="C128" t="s">
        <v>214</v>
      </c>
      <c r="D128" t="s">
        <v>415</v>
      </c>
    </row>
    <row r="129" spans="1:4" x14ac:dyDescent="0.25">
      <c r="A129" t="s">
        <v>848</v>
      </c>
      <c r="B129" t="s">
        <v>849</v>
      </c>
      <c r="D129" t="s">
        <v>850</v>
      </c>
    </row>
    <row r="130" spans="1:4" x14ac:dyDescent="0.25">
      <c r="A130" t="s">
        <v>416</v>
      </c>
      <c r="B130" t="s">
        <v>168</v>
      </c>
      <c r="C130" t="s">
        <v>417</v>
      </c>
      <c r="D130" t="s">
        <v>418</v>
      </c>
    </row>
    <row r="131" spans="1:4" x14ac:dyDescent="0.25">
      <c r="A131" t="s">
        <v>419</v>
      </c>
      <c r="B131" t="s">
        <v>420</v>
      </c>
      <c r="C131" t="s">
        <v>421</v>
      </c>
      <c r="D131" t="s">
        <v>422</v>
      </c>
    </row>
    <row r="132" spans="1:4" x14ac:dyDescent="0.25">
      <c r="A132" t="s">
        <v>423</v>
      </c>
      <c r="B132" t="s">
        <v>424</v>
      </c>
      <c r="C132" t="s">
        <v>425</v>
      </c>
      <c r="D132" t="s">
        <v>426</v>
      </c>
    </row>
    <row r="133" spans="1:4" x14ac:dyDescent="0.25">
      <c r="A133" t="s">
        <v>851</v>
      </c>
      <c r="B133" t="s">
        <v>172</v>
      </c>
      <c r="D133" t="s">
        <v>852</v>
      </c>
    </row>
    <row r="134" spans="1:4" x14ac:dyDescent="0.25">
      <c r="A134" t="s">
        <v>853</v>
      </c>
      <c r="B134" s="45">
        <v>3.4000000000000002E-2</v>
      </c>
      <c r="C134" t="s">
        <v>383</v>
      </c>
      <c r="D134" t="s">
        <v>854</v>
      </c>
    </row>
    <row r="135" spans="1:4" x14ac:dyDescent="0.25">
      <c r="A135" t="s">
        <v>855</v>
      </c>
      <c r="B135" t="s">
        <v>856</v>
      </c>
      <c r="D135" t="s">
        <v>857</v>
      </c>
    </row>
    <row r="136" spans="1:4" x14ac:dyDescent="0.25">
      <c r="A136" t="s">
        <v>858</v>
      </c>
      <c r="B136" t="s">
        <v>149</v>
      </c>
      <c r="C136" t="s">
        <v>859</v>
      </c>
      <c r="D136" t="s">
        <v>860</v>
      </c>
    </row>
    <row r="137" spans="1:4" x14ac:dyDescent="0.25">
      <c r="A137" t="s">
        <v>861</v>
      </c>
      <c r="B137" t="s">
        <v>414</v>
      </c>
      <c r="C137" t="s">
        <v>304</v>
      </c>
      <c r="D137" t="s">
        <v>363</v>
      </c>
    </row>
    <row r="138" spans="1:4" x14ac:dyDescent="0.25">
      <c r="A138" s="20" t="s">
        <v>1587</v>
      </c>
      <c r="B138" t="s">
        <v>168</v>
      </c>
      <c r="C138" t="s">
        <v>896</v>
      </c>
      <c r="D138" t="s">
        <v>897</v>
      </c>
    </row>
    <row r="139" spans="1:4" x14ac:dyDescent="0.25">
      <c r="A139" t="s">
        <v>427</v>
      </c>
      <c r="B139" t="s">
        <v>428</v>
      </c>
      <c r="C139" t="s">
        <v>429</v>
      </c>
      <c r="D139" t="s">
        <v>430</v>
      </c>
    </row>
    <row r="140" spans="1:4" x14ac:dyDescent="0.25">
      <c r="A140" t="s">
        <v>431</v>
      </c>
      <c r="B140" t="s">
        <v>321</v>
      </c>
      <c r="D140" t="s">
        <v>432</v>
      </c>
    </row>
    <row r="141" spans="1:4" x14ac:dyDescent="0.25">
      <c r="A141" t="s">
        <v>165</v>
      </c>
      <c r="B141" t="s">
        <v>289</v>
      </c>
      <c r="C141" t="s">
        <v>214</v>
      </c>
      <c r="D141" t="s">
        <v>433</v>
      </c>
    </row>
  </sheetData>
  <sheetProtection sheet="1" objects="1" scenarios="1"/>
  <sortState ref="A2:D1211">
    <sortCondition ref="A2:A1211"/>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Instructions</vt:lpstr>
      <vt:lpstr>Recipe Sheet</vt:lpstr>
      <vt:lpstr>Brewhouse Setup &amp; Calcs</vt:lpstr>
      <vt:lpstr>Grain &amp; Sugar Calcs</vt:lpstr>
      <vt:lpstr>Hop Calcs</vt:lpstr>
      <vt:lpstr>Water-English</vt:lpstr>
      <vt:lpstr>Water-Metric</vt:lpstr>
      <vt:lpstr>Grain &amp; Sugar List</vt:lpstr>
      <vt:lpstr>Hops List</vt:lpstr>
      <vt:lpstr>Yeast List</vt:lpstr>
      <vt:lpstr>Hydrometer Testing &amp; Correction</vt:lpstr>
      <vt:lpstr>Beer Line Length</vt:lpstr>
      <vt:lpstr>Carbonation</vt:lpstr>
      <vt:lpstr>Beer Category &amp; Style List</vt:lpstr>
      <vt:lpstr>Malt Sheet PPG Calcs</vt:lpstr>
      <vt:lpstr>Conversion Tables</vt:lpstr>
      <vt:lpstr>Common Variables</vt:lpstr>
      <vt:lpstr>'Recipe Sheet'!BeerList_Headers</vt:lpstr>
      <vt:lpstr>BeerList_Headers</vt:lpstr>
      <vt:lpstr>'Recipe Sheet'!Category</vt:lpstr>
      <vt:lpstr>'Brewhouse Setup &amp; Calcs'!Print_Area</vt:lpstr>
      <vt:lpstr>'Recipe Sheet'!Print_Area</vt:lpstr>
      <vt:lpstr>yeastlist_headers</vt:lpstr>
    </vt:vector>
  </TitlesOfParts>
  <Company>BEER-N-BBQ by Larry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Brewing Recipe Template</dc:title>
  <dc:subject>Home Brewing Calculator</dc:subject>
  <dc:creator>BEER-N-BBQ by Larry</dc:creator>
  <dc:description>By BEER-N-BBQ by Larry</dc:description>
  <cp:lastModifiedBy>Larry Carpenter</cp:lastModifiedBy>
  <cp:lastPrinted>2019-01-09T20:39:50Z</cp:lastPrinted>
  <dcterms:created xsi:type="dcterms:W3CDTF">2003-11-09T22:26:20Z</dcterms:created>
  <dcterms:modified xsi:type="dcterms:W3CDTF">2019-02-27T01:17:30Z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2110240703</vt:i4>
  </property>
  <property fmtid="{D5CDD505-2E9C-101B-9397-08002B2CF9AE}" pid="3" name="_NewReviewCycle">
    <vt:lpwstr/>
  </property>
  <property fmtid="{D5CDD505-2E9C-101B-9397-08002B2CF9AE}" pid="4" name="_EmailSubject">
    <vt:lpwstr>v3.0.4 latest</vt:lpwstr>
  </property>
  <property fmtid="{D5CDD505-2E9C-101B-9397-08002B2CF9AE}" pid="5" name="_AuthorEmail">
    <vt:lpwstr>larry.carpenter@siemens-healthineers.com</vt:lpwstr>
  </property>
  <property fmtid="{D5CDD505-2E9C-101B-9397-08002B2CF9AE}" pid="6" name="_AuthorEmailDisplayName">
    <vt:lpwstr>Carpenter Jr, Larry (SHS DI MI PLM-R&amp;D HDE MC-HES)</vt:lpwstr>
  </property>
  <property fmtid="{D5CDD505-2E9C-101B-9397-08002B2CF9AE}" pid="7" name="_PreviousAdHocReviewCycleID">
    <vt:i4>-1761044411</vt:i4>
  </property>
  <property fmtid="{D5CDD505-2E9C-101B-9397-08002B2CF9AE}" pid="8" name="_ReviewingToolsShownOnce">
    <vt:lpwstr/>
  </property>
</Properties>
</file>