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embeddings/oleObject3.bin" ContentType="application/vnd.openxmlformats-officedocument.oleObject"/>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codeName="ThisWorkbook" defaultThemeVersion="124226"/>
  <mc:AlternateContent xmlns:mc="http://schemas.openxmlformats.org/markup-compatibility/2006">
    <mc:Choice Requires="x15">
      <x15ac:absPath xmlns:x15ac="http://schemas.microsoft.com/office/spreadsheetml/2010/11/ac" url="C:\Users\Larry\Documents\Hobbies\Beer\"/>
    </mc:Choice>
  </mc:AlternateContent>
  <xr:revisionPtr revIDLastSave="0" documentId="13_ncr:1_{5EA75C87-B414-4411-BBD5-E19BBC9A6A01}" xr6:coauthVersionLast="40" xr6:coauthVersionMax="40" xr10:uidLastSave="{00000000-0000-0000-0000-000000000000}"/>
  <bookViews>
    <workbookView xWindow="0" yWindow="0" windowWidth="23700" windowHeight="13692" tabRatio="907" xr2:uid="{00000000-000D-0000-FFFF-FFFF00000000}"/>
  </bookViews>
  <sheets>
    <sheet name="Instructions" sheetId="29" r:id="rId1"/>
    <sheet name="Recipe Sheet" sheetId="28" r:id="rId2"/>
    <sheet name="Brewhouse Setup &amp; Calcs" sheetId="14" r:id="rId3"/>
    <sheet name="Grain &amp; Sugar Calcs" sheetId="13" r:id="rId4"/>
    <sheet name="Hop Calcs" sheetId="16" r:id="rId5"/>
    <sheet name="Water-English" sheetId="32" r:id="rId6"/>
    <sheet name="Water-Metric" sheetId="33" r:id="rId7"/>
    <sheet name="Hydrometer Testing &amp; Correction" sheetId="31" r:id="rId8"/>
    <sheet name="Beer Line Length" sheetId="34" r:id="rId9"/>
    <sheet name="Grain &amp; Sugar List" sheetId="24" r:id="rId10"/>
    <sheet name="Hops List" sheetId="25" r:id="rId11"/>
    <sheet name="Yeast List" sheetId="26" r:id="rId12"/>
    <sheet name="Beer Category &amp; Style List" sheetId="19" r:id="rId13"/>
    <sheet name="Malt Sheet PPG Calcs" sheetId="30" r:id="rId14"/>
    <sheet name="Carbonation" sheetId="7" r:id="rId15"/>
    <sheet name="Conversion Tables" sheetId="5" r:id="rId16"/>
    <sheet name="Common Variables" sheetId="8" r:id="rId17"/>
  </sheets>
  <definedNames>
    <definedName name="_xlnm._FilterDatabase" localSheetId="3" hidden="1">'Grain &amp; Sugar Calcs'!$B$2:$L$16</definedName>
    <definedName name="_xlnm._FilterDatabase" localSheetId="9" hidden="1">'Grain &amp; Sugar List'!$A$1:$W$204</definedName>
    <definedName name="_xlnm._FilterDatabase" localSheetId="11" hidden="1">'Yeast List'!$A$1:$I$663</definedName>
    <definedName name="BeerList_Headers" localSheetId="1">BeerList_Table[#Headers]</definedName>
    <definedName name="BeerList_Headers">BeerList_Table[#Headers]</definedName>
    <definedName name="BeerList_list" localSheetId="1">INDEX(BeerList_Table[],,MATCH('Recipe Sheet'!Category,'Recipe Sheet'!BeerList_Headers,0))</definedName>
    <definedName name="BeerList_list">INDEX(BeerList_Table[],,MATCH(Category,BeerList_Headers,0))</definedName>
    <definedName name="BeerList_list2" localSheetId="1">INDEX(BeerList_Table[],1,'Recipe Sheet'!col_num) : INDEX(BeerList_Table[], COUNTA('Recipe Sheet'!entire_col), 'Recipe Sheet'!col_num)</definedName>
    <definedName name="BeerList_list2">INDEX(BeerList_Table[],1,col_num) : INDEX(BeerList_Table[], COUNTA(entire_col), col_num)</definedName>
    <definedName name="Category" localSheetId="1">'Recipe Sheet'!$B$1</definedName>
    <definedName name="col_num" localSheetId="1">MATCH('Recipe Sheet'!Category,'Recipe Sheet'!BeerList_Headers,0)</definedName>
    <definedName name="col_num">MATCH('Recipe Sheet'!Category,BeerList_Headers,0)</definedName>
    <definedName name="entire_col" localSheetId="1">INDEX(BeerList_Table[],,'Recipe Sheet'!col_num)</definedName>
    <definedName name="entire_col">INDEX(BeerList_Table[],,col_num)</definedName>
    <definedName name="_xlnm.Print_Area" localSheetId="2">'Brewhouse Setup &amp; Calcs'!$A:$H</definedName>
    <definedName name="_xlnm.Print_Area" localSheetId="1">'Recipe Sheet'!$A$1:$V$42</definedName>
    <definedName name="Yeast_Brand">'Recipe Sheet'!#REF!</definedName>
    <definedName name="yeastlist_headers">yeast_table[#Headers]</definedName>
    <definedName name="yeastlist_list">INDEX(BeerList_Table[],,MATCH(Yeast_Brand,yeastlist_headers,0))</definedName>
  </definedNames>
  <calcPr calcId="181029"/>
</workbook>
</file>

<file path=xl/calcChain.xml><?xml version="1.0" encoding="utf-8"?>
<calcChain xmlns="http://schemas.openxmlformats.org/spreadsheetml/2006/main">
  <c r="N33" i="28" l="1"/>
  <c r="T22" i="28" l="1"/>
  <c r="T33" i="28" l="1"/>
  <c r="K15" i="28"/>
  <c r="K14" i="28"/>
  <c r="T28" i="28"/>
  <c r="E28" i="14" l="1"/>
  <c r="D28" i="14"/>
  <c r="C28" i="14"/>
  <c r="A28" i="14"/>
  <c r="J25" i="28" l="1"/>
  <c r="J26" i="28"/>
  <c r="J27" i="28"/>
  <c r="J28" i="28"/>
  <c r="J20" i="28"/>
  <c r="J21" i="28"/>
  <c r="J22" i="28"/>
  <c r="J23" i="28"/>
  <c r="J24" i="28"/>
  <c r="A10" i="16"/>
  <c r="A11" i="16"/>
  <c r="A12" i="16"/>
  <c r="A13" i="16"/>
  <c r="A14" i="16"/>
  <c r="A15" i="16"/>
  <c r="A7" i="16"/>
  <c r="A8" i="16"/>
  <c r="A9" i="16"/>
  <c r="U16" i="28" l="1"/>
  <c r="U15" i="28"/>
  <c r="R16" i="28"/>
  <c r="Q13" i="28"/>
  <c r="R15" i="28"/>
  <c r="N23" i="28" l="1"/>
  <c r="N22" i="28"/>
  <c r="N21" i="28"/>
  <c r="N20" i="28"/>
  <c r="N19" i="28"/>
  <c r="N18" i="28"/>
  <c r="U14" i="28"/>
  <c r="R14" i="28"/>
  <c r="U13" i="28"/>
  <c r="R13" i="28"/>
  <c r="S10" i="28" l="1"/>
  <c r="T6" i="28" l="1"/>
  <c r="I5" i="33" l="1"/>
  <c r="H5" i="33"/>
  <c r="G5" i="33"/>
  <c r="F5" i="33"/>
  <c r="E5" i="33"/>
  <c r="D5" i="33"/>
  <c r="I5" i="32"/>
  <c r="H5" i="32"/>
  <c r="G5" i="32"/>
  <c r="F5" i="32"/>
  <c r="E5" i="32"/>
  <c r="D5" i="32"/>
  <c r="N14" i="28"/>
  <c r="C16" i="34"/>
  <c r="C15" i="34"/>
  <c r="C13" i="34"/>
  <c r="E10" i="34"/>
  <c r="C11" i="34" s="1"/>
  <c r="C6" i="34"/>
  <c r="E5" i="34"/>
  <c r="C12" i="34" s="1"/>
  <c r="C4" i="34"/>
  <c r="E2" i="34"/>
  <c r="C14" i="34" l="1"/>
  <c r="C17" i="34"/>
  <c r="C18" i="34" s="1"/>
  <c r="C20" i="34" s="1"/>
  <c r="E16" i="33" l="1"/>
  <c r="E17" i="33"/>
  <c r="E18" i="33"/>
  <c r="E19" i="33"/>
  <c r="E20" i="33"/>
  <c r="E21" i="33"/>
  <c r="E22" i="33"/>
  <c r="E23" i="33"/>
  <c r="E15" i="33"/>
  <c r="D8" i="33"/>
  <c r="E15" i="32"/>
  <c r="E16" i="32"/>
  <c r="E17" i="32"/>
  <c r="E18" i="32"/>
  <c r="E19" i="32"/>
  <c r="E20" i="32"/>
  <c r="E21" i="32"/>
  <c r="E22" i="32"/>
  <c r="E14" i="32"/>
  <c r="E24" i="33" l="1"/>
  <c r="H39" i="33" s="1"/>
  <c r="H38" i="33"/>
  <c r="G23" i="33"/>
  <c r="G22" i="33"/>
  <c r="G21" i="33"/>
  <c r="G20" i="33"/>
  <c r="G19" i="33"/>
  <c r="G18" i="33"/>
  <c r="G17" i="33"/>
  <c r="G16" i="33"/>
  <c r="G15" i="33"/>
  <c r="D9" i="33"/>
  <c r="H51" i="33" s="1"/>
  <c r="G51" i="33" l="1"/>
  <c r="I51" i="33" s="1"/>
  <c r="D32" i="33"/>
  <c r="E51" i="33"/>
  <c r="E25" i="33"/>
  <c r="E27" i="33" s="1"/>
  <c r="F51" i="33"/>
  <c r="E26" i="33"/>
  <c r="D51" i="33"/>
  <c r="E32" i="33" l="1"/>
  <c r="F32" i="33" s="1"/>
  <c r="G22" i="32" l="1"/>
  <c r="G21" i="32"/>
  <c r="G20" i="32"/>
  <c r="G19" i="32"/>
  <c r="G18" i="32"/>
  <c r="G17" i="32"/>
  <c r="G16" i="32"/>
  <c r="G15" i="32"/>
  <c r="G14" i="32"/>
  <c r="E23" i="32" l="1"/>
  <c r="H37" i="32" l="1"/>
  <c r="F116" i="24"/>
  <c r="C21" i="14" l="1"/>
  <c r="Q36" i="28"/>
  <c r="D21" i="14" l="1"/>
  <c r="E48" i="14"/>
  <c r="Q6" i="28"/>
  <c r="T35" i="28"/>
  <c r="J10" i="28"/>
  <c r="J9" i="28" l="1"/>
  <c r="J12" i="28" s="1"/>
  <c r="S32" i="28"/>
  <c r="J15" i="28"/>
  <c r="S31" i="28" s="1"/>
  <c r="J14" i="28" l="1"/>
  <c r="J7" i="28"/>
  <c r="M26" i="28"/>
  <c r="G17" i="16" l="1"/>
  <c r="B64" i="14" s="1"/>
  <c r="B63" i="14" s="1"/>
  <c r="T30" i="28" l="1"/>
  <c r="K6" i="28"/>
  <c r="K9" i="28"/>
  <c r="Q7" i="28"/>
  <c r="S7" i="28"/>
  <c r="E21" i="14"/>
  <c r="D64" i="14"/>
  <c r="E64" i="14"/>
  <c r="B61" i="14"/>
  <c r="C19" i="14"/>
  <c r="G4" i="31"/>
  <c r="G3" i="31"/>
  <c r="B10" i="31"/>
  <c r="F6" i="31"/>
  <c r="B5" i="31"/>
  <c r="B6" i="31" s="1"/>
  <c r="B3" i="31"/>
  <c r="K8" i="28" l="1"/>
  <c r="K12" i="28" s="1"/>
  <c r="L9" i="13"/>
  <c r="L10" i="13"/>
  <c r="L11" i="13"/>
  <c r="L12" i="13"/>
  <c r="L13" i="13"/>
  <c r="F8" i="13"/>
  <c r="F9" i="13"/>
  <c r="F10" i="13"/>
  <c r="F11" i="13"/>
  <c r="F12" i="13"/>
  <c r="F13" i="13"/>
  <c r="K10" i="28" l="1"/>
  <c r="J9" i="7"/>
  <c r="J5" i="7"/>
  <c r="J7" i="7" s="1"/>
  <c r="J4" i="7"/>
  <c r="F4" i="7"/>
  <c r="F5" i="7"/>
  <c r="F9" i="7" s="1"/>
  <c r="F11" i="7" s="1"/>
  <c r="B4" i="7"/>
  <c r="P4" i="7"/>
  <c r="J8" i="7" l="1"/>
  <c r="J6" i="7"/>
  <c r="F7" i="7"/>
  <c r="F8" i="7" s="1"/>
  <c r="F6" i="7"/>
  <c r="F12" i="7"/>
  <c r="F10" i="7"/>
  <c r="F13" i="7"/>
  <c r="F15" i="7" s="1"/>
  <c r="F16" i="7" s="1"/>
  <c r="F17" i="7"/>
  <c r="F19" i="7" s="1"/>
  <c r="F20" i="7" s="1"/>
  <c r="F133" i="24"/>
  <c r="J11" i="7" l="1"/>
  <c r="J12" i="7" s="1"/>
  <c r="J10" i="7"/>
  <c r="F14" i="7"/>
  <c r="F18" i="7"/>
  <c r="F122" i="24"/>
  <c r="E40" i="14"/>
  <c r="E63" i="14"/>
  <c r="E62" i="14"/>
  <c r="E61" i="14"/>
  <c r="E58" i="14"/>
  <c r="E57" i="14"/>
  <c r="E56" i="14"/>
  <c r="E55" i="14"/>
  <c r="E53" i="14"/>
  <c r="E52" i="14"/>
  <c r="E49" i="14"/>
  <c r="E47" i="14"/>
  <c r="E46" i="14"/>
  <c r="E43" i="14"/>
  <c r="E41" i="14"/>
  <c r="E60" i="14"/>
  <c r="E33" i="14"/>
  <c r="D33" i="14"/>
  <c r="E32" i="14"/>
  <c r="D32" i="14"/>
  <c r="E31" i="14"/>
  <c r="D31" i="14"/>
  <c r="E29" i="14"/>
  <c r="D29" i="14"/>
  <c r="E25" i="14"/>
  <c r="D25" i="14"/>
  <c r="E16" i="14"/>
  <c r="D16" i="14"/>
  <c r="E15" i="14"/>
  <c r="D15" i="14"/>
  <c r="E12" i="14"/>
  <c r="D12" i="14"/>
  <c r="G19" i="8"/>
  <c r="E19" i="8"/>
  <c r="C19" i="8"/>
  <c r="A19" i="8"/>
  <c r="C12" i="30" l="1"/>
  <c r="C6" i="30"/>
  <c r="F203" i="24" l="1"/>
  <c r="F202" i="24"/>
  <c r="F201" i="24"/>
  <c r="F200" i="24"/>
  <c r="F199" i="24"/>
  <c r="F198" i="24"/>
  <c r="F197" i="24"/>
  <c r="F196" i="24"/>
  <c r="F195" i="24"/>
  <c r="F194" i="24"/>
  <c r="F193" i="24"/>
  <c r="F192" i="24"/>
  <c r="F191" i="24"/>
  <c r="F190" i="24"/>
  <c r="F189" i="24"/>
  <c r="F175" i="24"/>
  <c r="F174" i="24"/>
  <c r="F173" i="24"/>
  <c r="F172" i="24"/>
  <c r="F171" i="24"/>
  <c r="F170" i="24"/>
  <c r="F169" i="24"/>
  <c r="F168" i="24"/>
  <c r="F167" i="24"/>
  <c r="F166" i="24"/>
  <c r="F165" i="24"/>
  <c r="F164" i="24"/>
  <c r="F12" i="24"/>
  <c r="F163" i="24"/>
  <c r="F11" i="24"/>
  <c r="F162" i="24"/>
  <c r="F66" i="24"/>
  <c r="F13" i="24"/>
  <c r="F161" i="24"/>
  <c r="F160" i="24"/>
  <c r="F159" i="24"/>
  <c r="F158" i="24"/>
  <c r="F157" i="24"/>
  <c r="F156" i="24"/>
  <c r="F155" i="24"/>
  <c r="F154" i="24"/>
  <c r="F153" i="24"/>
  <c r="F152" i="24"/>
  <c r="F151" i="24"/>
  <c r="F150" i="24"/>
  <c r="F149" i="24"/>
  <c r="F148" i="24"/>
  <c r="F10" i="24"/>
  <c r="F147" i="24"/>
  <c r="F146" i="24"/>
  <c r="F145" i="24"/>
  <c r="F144" i="24"/>
  <c r="F143" i="24"/>
  <c r="F142" i="24"/>
  <c r="F141" i="24"/>
  <c r="F140" i="24"/>
  <c r="F139" i="24"/>
  <c r="F136" i="24"/>
  <c r="F135" i="24"/>
  <c r="F134" i="24"/>
  <c r="F132" i="24"/>
  <c r="F131" i="24"/>
  <c r="F130" i="24"/>
  <c r="F129" i="24"/>
  <c r="F128" i="24"/>
  <c r="F127" i="24"/>
  <c r="F126" i="24"/>
  <c r="F125" i="24"/>
  <c r="F124" i="24"/>
  <c r="F123" i="24"/>
  <c r="F120" i="24"/>
  <c r="F5" i="13" s="1"/>
  <c r="F119" i="24"/>
  <c r="F118" i="24"/>
  <c r="F117" i="24"/>
  <c r="F115" i="24"/>
  <c r="F114" i="24"/>
  <c r="F113" i="24"/>
  <c r="F112" i="24"/>
  <c r="F111" i="24"/>
  <c r="F110" i="24"/>
  <c r="F109" i="24"/>
  <c r="F108" i="24"/>
  <c r="F107" i="24"/>
  <c r="F106" i="24"/>
  <c r="F105" i="24"/>
  <c r="F104" i="24"/>
  <c r="F103" i="24"/>
  <c r="F102" i="24"/>
  <c r="F101" i="24"/>
  <c r="F100" i="24"/>
  <c r="F99" i="24"/>
  <c r="F98" i="24"/>
  <c r="F97" i="24"/>
  <c r="F96" i="24"/>
  <c r="F95" i="24"/>
  <c r="F94" i="24"/>
  <c r="F93" i="24"/>
  <c r="F86" i="24"/>
  <c r="F85" i="24"/>
  <c r="F84" i="24"/>
  <c r="F83" i="24"/>
  <c r="F82" i="24"/>
  <c r="F81" i="24"/>
  <c r="F7" i="13" s="1"/>
  <c r="F80" i="24"/>
  <c r="F79" i="24"/>
  <c r="F69" i="24"/>
  <c r="F68" i="24"/>
  <c r="F67" i="24"/>
  <c r="F65" i="24"/>
  <c r="F64" i="24"/>
  <c r="F63"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17" i="24"/>
  <c r="F16" i="24"/>
  <c r="F15" i="24"/>
  <c r="F14" i="24"/>
  <c r="F5" i="24"/>
  <c r="F9" i="24"/>
  <c r="F8" i="24"/>
  <c r="F7" i="24"/>
  <c r="F6" i="24"/>
  <c r="F4" i="24"/>
  <c r="F3" i="24"/>
  <c r="F6" i="13" l="1"/>
  <c r="B8" i="14"/>
  <c r="O33" i="28" s="1"/>
  <c r="G35" i="7" l="1"/>
  <c r="E6" i="13" l="1"/>
  <c r="E7" i="13"/>
  <c r="E8" i="13"/>
  <c r="E9" i="13"/>
  <c r="E10" i="13"/>
  <c r="E11" i="13"/>
  <c r="E12" i="13"/>
  <c r="E13" i="13"/>
  <c r="E5" i="13"/>
  <c r="G6" i="13" l="1"/>
  <c r="G7" i="13"/>
  <c r="G8" i="13"/>
  <c r="G9" i="13"/>
  <c r="G10" i="13"/>
  <c r="G11" i="13"/>
  <c r="G12" i="13"/>
  <c r="G13" i="13"/>
  <c r="B44" i="14" l="1"/>
  <c r="C16" i="14" l="1"/>
  <c r="C15" i="14"/>
  <c r="G11" i="5" l="1"/>
  <c r="H7" i="5"/>
  <c r="H11" i="13" l="1"/>
  <c r="H12" i="13"/>
  <c r="H13" i="13"/>
  <c r="E10" i="28" l="1"/>
  <c r="E11" i="28"/>
  <c r="E12" i="28"/>
  <c r="E13" i="28"/>
  <c r="E14" i="28"/>
  <c r="E15" i="28"/>
  <c r="A23" i="28" l="1"/>
  <c r="E7" i="28"/>
  <c r="E8" i="28"/>
  <c r="E9" i="28"/>
  <c r="S8" i="28"/>
  <c r="S36" i="28"/>
  <c r="U25" i="28"/>
  <c r="S25" i="28"/>
  <c r="Q10" i="28"/>
  <c r="Q9" i="28"/>
  <c r="Q8" i="28"/>
  <c r="G28" i="28"/>
  <c r="F28" i="28"/>
  <c r="A28" i="28"/>
  <c r="E28" i="28"/>
  <c r="A15" i="28"/>
  <c r="G27" i="28"/>
  <c r="F27" i="28"/>
  <c r="A27" i="28"/>
  <c r="E27" i="28"/>
  <c r="A14" i="28"/>
  <c r="G26" i="28"/>
  <c r="F26" i="28"/>
  <c r="A26" i="28"/>
  <c r="E26" i="28"/>
  <c r="A13" i="28"/>
  <c r="G25" i="28"/>
  <c r="F25" i="28"/>
  <c r="A25" i="28"/>
  <c r="E25" i="28"/>
  <c r="A12" i="28"/>
  <c r="G24" i="28"/>
  <c r="F24" i="28"/>
  <c r="A24" i="28"/>
  <c r="E24" i="28"/>
  <c r="A11" i="28"/>
  <c r="G23" i="28"/>
  <c r="F23" i="28"/>
  <c r="E23" i="28"/>
  <c r="A10" i="28"/>
  <c r="G22" i="28"/>
  <c r="F22" i="28"/>
  <c r="A22" i="28"/>
  <c r="E22" i="28"/>
  <c r="A9" i="28"/>
  <c r="G21" i="28"/>
  <c r="F21" i="28"/>
  <c r="A21" i="28"/>
  <c r="E21" i="28"/>
  <c r="A8" i="28"/>
  <c r="G20" i="28"/>
  <c r="F20" i="28"/>
  <c r="A20" i="28"/>
  <c r="E20" i="28"/>
  <c r="A7" i="28"/>
  <c r="G18" i="28"/>
  <c r="F18" i="28"/>
  <c r="A18" i="28"/>
  <c r="E18" i="28"/>
  <c r="J18" i="28"/>
  <c r="S23" i="28"/>
  <c r="I9" i="13"/>
  <c r="I10" i="13"/>
  <c r="I11" i="13"/>
  <c r="I12" i="13"/>
  <c r="I13" i="13"/>
  <c r="B7" i="14"/>
  <c r="B5" i="14"/>
  <c r="B6" i="14"/>
  <c r="C4" i="13" s="1"/>
  <c r="B4" i="14"/>
  <c r="N28" i="28" s="1"/>
  <c r="U9" i="28" l="1"/>
  <c r="C48" i="14"/>
  <c r="U31" i="28"/>
  <c r="U36" i="28"/>
  <c r="O28" i="28"/>
  <c r="U7" i="28"/>
  <c r="C64" i="14"/>
  <c r="U12" i="28"/>
  <c r="U6" i="28"/>
  <c r="C34" i="14"/>
  <c r="K13" i="13"/>
  <c r="J13" i="13"/>
  <c r="K12" i="13"/>
  <c r="J12" i="13"/>
  <c r="J11" i="13"/>
  <c r="K11" i="13"/>
  <c r="C40" i="14"/>
  <c r="O32" i="28"/>
  <c r="C25" i="14"/>
  <c r="C32" i="14"/>
  <c r="C29" i="14"/>
  <c r="C33" i="14"/>
  <c r="C31" i="14"/>
  <c r="C60" i="14"/>
  <c r="C46" i="14"/>
  <c r="C43" i="14"/>
  <c r="C41" i="14"/>
  <c r="C47" i="14"/>
  <c r="C52" i="14"/>
  <c r="C55" i="14"/>
  <c r="C57" i="14"/>
  <c r="U17" i="28"/>
  <c r="C49" i="14"/>
  <c r="C53" i="14"/>
  <c r="C56" i="14"/>
  <c r="C58" i="14"/>
  <c r="G19" i="28"/>
  <c r="G6" i="16"/>
  <c r="C14" i="14"/>
  <c r="C44" i="14"/>
  <c r="U8" i="28"/>
  <c r="C13" i="14"/>
  <c r="U10" i="28"/>
  <c r="E6" i="28"/>
  <c r="C20" i="14"/>
  <c r="C12" i="14"/>
  <c r="C63" i="14"/>
  <c r="U26" i="28" s="1"/>
  <c r="C61" i="14"/>
  <c r="C62" i="14"/>
  <c r="D11" i="13"/>
  <c r="F13" i="28" s="1"/>
  <c r="D12" i="13"/>
  <c r="F14" i="28" s="1"/>
  <c r="D13" i="13"/>
  <c r="F15" i="28" s="1"/>
  <c r="I6" i="13"/>
  <c r="I7" i="13"/>
  <c r="I8" i="13"/>
  <c r="I5" i="13"/>
  <c r="H9" i="13"/>
  <c r="H10" i="13"/>
  <c r="H12" i="16" l="1"/>
  <c r="I25" i="28" s="1"/>
  <c r="H13" i="16"/>
  <c r="I26" i="28" s="1"/>
  <c r="H14" i="16"/>
  <c r="I27" i="28" s="1"/>
  <c r="H15" i="16"/>
  <c r="I28" i="28" s="1"/>
  <c r="G4" i="7"/>
  <c r="C4" i="7"/>
  <c r="K4" i="7"/>
  <c r="H8" i="16"/>
  <c r="I21" i="28" s="1"/>
  <c r="H7" i="16"/>
  <c r="I20" i="28" s="1"/>
  <c r="H11" i="16"/>
  <c r="I24" i="28" s="1"/>
  <c r="H9" i="16"/>
  <c r="I22" i="28" s="1"/>
  <c r="H10" i="16"/>
  <c r="I23" i="28" s="1"/>
  <c r="H8" i="13"/>
  <c r="H7" i="13"/>
  <c r="G5" i="13"/>
  <c r="H5" i="13" s="1"/>
  <c r="H6" i="13"/>
  <c r="C14" i="13"/>
  <c r="C15" i="13"/>
  <c r="B43" i="14" l="1"/>
  <c r="D8" i="32" s="1"/>
  <c r="B46" i="14"/>
  <c r="D46" i="14" s="1"/>
  <c r="H15" i="13"/>
  <c r="H14" i="13"/>
  <c r="B41" i="14"/>
  <c r="D41" i="14" s="1"/>
  <c r="I10" i="16"/>
  <c r="I11" i="16"/>
  <c r="F50" i="32" l="1"/>
  <c r="D50" i="32"/>
  <c r="H50" i="32"/>
  <c r="D31" i="32"/>
  <c r="G50" i="32"/>
  <c r="E50" i="32"/>
  <c r="E24" i="32"/>
  <c r="D43" i="14"/>
  <c r="B49" i="14"/>
  <c r="D49" i="14" s="1"/>
  <c r="B53" i="14"/>
  <c r="D53" i="14" s="1"/>
  <c r="B47" i="14"/>
  <c r="I8" i="16"/>
  <c r="I9" i="16"/>
  <c r="I12" i="16"/>
  <c r="I13" i="16"/>
  <c r="I14" i="16"/>
  <c r="I15" i="16"/>
  <c r="I7" i="16"/>
  <c r="C15" i="5"/>
  <c r="D5" i="5"/>
  <c r="C13" i="5"/>
  <c r="C11" i="5"/>
  <c r="C9" i="5"/>
  <c r="C3" i="5"/>
  <c r="C5" i="5"/>
  <c r="D3" i="5"/>
  <c r="D5" i="8"/>
  <c r="C14" i="8"/>
  <c r="E14" i="8"/>
  <c r="G14" i="8"/>
  <c r="P5" i="7"/>
  <c r="P6" i="7"/>
  <c r="P7" i="7"/>
  <c r="P8" i="7"/>
  <c r="P9" i="7"/>
  <c r="P10" i="7"/>
  <c r="P11" i="7"/>
  <c r="P12" i="7"/>
  <c r="P13" i="7"/>
  <c r="P14" i="7"/>
  <c r="P15" i="7"/>
  <c r="E31" i="32" l="1"/>
  <c r="F31" i="32" s="1"/>
  <c r="S11" i="28" s="1"/>
  <c r="I50" i="32"/>
  <c r="L7" i="13"/>
  <c r="L8" i="13"/>
  <c r="L6" i="13"/>
  <c r="L5" i="13"/>
  <c r="D63" i="14"/>
  <c r="B5" i="7"/>
  <c r="B13" i="7" s="1"/>
  <c r="G6" i="14"/>
  <c r="D47" i="14"/>
  <c r="B62" i="14"/>
  <c r="K10" i="13"/>
  <c r="K9" i="13"/>
  <c r="K8" i="13"/>
  <c r="K7" i="13"/>
  <c r="K5" i="13"/>
  <c r="K6" i="13"/>
  <c r="S26" i="28"/>
  <c r="C16" i="13"/>
  <c r="D61" i="14"/>
  <c r="D62" i="14" l="1"/>
  <c r="B60" i="14"/>
  <c r="B7" i="7"/>
  <c r="B8" i="7" s="1"/>
  <c r="B9" i="7"/>
  <c r="B6" i="7"/>
  <c r="B17" i="7"/>
  <c r="B19" i="7" s="1"/>
  <c r="B20" i="7" s="1"/>
  <c r="B15" i="7"/>
  <c r="B16" i="7" s="1"/>
  <c r="B14" i="7"/>
  <c r="L18" i="13"/>
  <c r="K15" i="13"/>
  <c r="D9" i="13"/>
  <c r="F11" i="28" s="1"/>
  <c r="D10" i="13"/>
  <c r="F12" i="28" s="1"/>
  <c r="S9" i="28"/>
  <c r="D8" i="13"/>
  <c r="F10" i="28" s="1"/>
  <c r="D7" i="13"/>
  <c r="D6" i="13"/>
  <c r="D5" i="13"/>
  <c r="B18" i="7" l="1"/>
  <c r="B10" i="7"/>
  <c r="B11" i="7"/>
  <c r="B12" i="7" s="1"/>
  <c r="G7" i="14"/>
  <c r="D60" i="14"/>
  <c r="J13" i="28"/>
  <c r="K13" i="28"/>
  <c r="B50" i="14"/>
  <c r="D15" i="13"/>
  <c r="J6" i="13"/>
  <c r="J10" i="13"/>
  <c r="J5" i="13"/>
  <c r="J7" i="13"/>
  <c r="J8" i="13"/>
  <c r="J9" i="13"/>
  <c r="S17" i="28"/>
  <c r="F8" i="28"/>
  <c r="F9" i="28"/>
  <c r="F7" i="28"/>
  <c r="K14" i="13"/>
  <c r="K16" i="13"/>
  <c r="K20" i="13"/>
  <c r="D14" i="13"/>
  <c r="S27" i="28" l="1"/>
  <c r="J8" i="28"/>
  <c r="J19" i="13"/>
  <c r="J15" i="13"/>
  <c r="J18" i="13"/>
  <c r="B51" i="14"/>
  <c r="H16" i="13"/>
  <c r="D16" i="13"/>
  <c r="B52" i="14" l="1"/>
  <c r="J16" i="13"/>
  <c r="J14" i="13"/>
  <c r="J20" i="13"/>
  <c r="T23" i="28" l="1"/>
  <c r="K7" i="28" s="1"/>
  <c r="T24" i="28"/>
  <c r="J11" i="16"/>
  <c r="K11" i="16" s="1"/>
  <c r="J15" i="16"/>
  <c r="K15" i="16" s="1"/>
  <c r="J7" i="16"/>
  <c r="K7" i="16" s="1"/>
  <c r="J12" i="16"/>
  <c r="K12" i="16" s="1"/>
  <c r="J13" i="16"/>
  <c r="K13" i="16" s="1"/>
  <c r="J8" i="16"/>
  <c r="K8" i="16" s="1"/>
  <c r="J9" i="16"/>
  <c r="K9" i="16" s="1"/>
  <c r="J14" i="16"/>
  <c r="K14" i="16" s="1"/>
  <c r="J10" i="16"/>
  <c r="K10" i="16" s="1"/>
  <c r="S19" i="28"/>
  <c r="J6" i="28"/>
  <c r="B56" i="14"/>
  <c r="S14" i="28" s="1"/>
  <c r="D52" i="14"/>
  <c r="B57" i="14"/>
  <c r="B55" i="14"/>
  <c r="S13" i="28" s="1"/>
  <c r="D55" i="14" l="1"/>
  <c r="D57" i="14"/>
  <c r="D56" i="14"/>
  <c r="B58" i="14"/>
  <c r="B40" i="14" l="1"/>
  <c r="T16" i="28"/>
  <c r="S16" i="28"/>
  <c r="D58" i="14"/>
  <c r="K16" i="16"/>
  <c r="K11" i="28" s="1"/>
  <c r="J11" i="28" l="1"/>
  <c r="D40" i="14"/>
  <c r="B48" i="14"/>
  <c r="S6" i="28"/>
  <c r="E8" i="32" l="1"/>
  <c r="F45" i="32" s="1"/>
  <c r="O23" i="28" s="1"/>
  <c r="E8" i="33"/>
  <c r="S12" i="28"/>
  <c r="S15" i="28" s="1"/>
  <c r="D48" i="14"/>
  <c r="D38" i="32" l="1"/>
  <c r="O18" i="28" s="1"/>
  <c r="E45" i="32"/>
  <c r="O22" i="28" s="1"/>
  <c r="D45" i="32"/>
  <c r="O21" i="28" s="1"/>
  <c r="E38" i="32"/>
  <c r="O19" i="28" s="1"/>
  <c r="F38" i="32"/>
  <c r="O20" i="28" s="1"/>
  <c r="D46" i="33"/>
  <c r="E9" i="33"/>
  <c r="F46" i="33"/>
  <c r="D39" i="33"/>
  <c r="E46" i="33"/>
  <c r="F39" i="33"/>
  <c r="E39" i="33"/>
  <c r="G51" i="32" l="1"/>
  <c r="O11" i="28" s="1"/>
  <c r="F51" i="32"/>
  <c r="O10" i="28" s="1"/>
  <c r="H51" i="32"/>
  <c r="E52" i="33"/>
  <c r="D51" i="32"/>
  <c r="O8" i="28" s="1"/>
  <c r="E51" i="32"/>
  <c r="O9" i="28" s="1"/>
  <c r="G52" i="33"/>
  <c r="F52" i="33"/>
  <c r="D52" i="33"/>
  <c r="H52" i="33"/>
  <c r="I51" i="32" l="1"/>
  <c r="O14" i="28" s="1"/>
  <c r="O12" i="28"/>
  <c r="I52" i="32"/>
  <c r="I52" i="33"/>
  <c r="I53"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<sst xmlns="http://schemas.openxmlformats.org/spreadsheetml/2006/main" count="3762" uniqueCount="2047">
  <si>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</si>
  <si>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</si>
  <si>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</si>
  <si>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</si>
  <si>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</si>
  <si>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</si>
  <si>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</si>
  <si>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</si>
  <si>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</si>
  <si>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</si>
  <si>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</si>
  <si>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</si>
  <si>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</si>
  <si>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</si>
  <si>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</si>
  <si>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</si>
  <si>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</si>
  <si>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</si>
  <si>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</si>
  <si>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</si>
  <si>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</si>
  <si>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</si>
  <si>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</si>
  <si>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</si>
  <si>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</si>
  <si>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</si>
  <si>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</si>
  <si>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</si>
  <si>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</si>
  <si>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</si>
  <si>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</si>
  <si>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</si>
  <si>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</si>
  <si>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</si>
  <si>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</si>
  <si>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</si>
  <si>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</si>
  <si>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</si>
  <si>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</si>
  <si>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</si>
  <si>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</si>
  <si>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</si>
  <si>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</si>
  <si>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</si>
  <si>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</si>
  <si>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</si>
  <si>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</si>
  <si>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</si>
  <si>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</si>
  <si>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</si>
  <si>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</si>
  <si>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</si>
  <si>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</si>
  <si>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</si>
  <si>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</si>
  <si>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</si>
  <si>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</si>
  <si>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</si>
  <si>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</si>
  <si>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</si>
  <si>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</si>
  <si>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</si>
  <si>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</si>
  <si>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</si>
  <si>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</si>
  <si>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</si>
  <si>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</si>
  <si>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</si>
  <si>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</si>
  <si>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</si>
  <si>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</si>
  <si>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</si>
  <si>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</si>
  <si>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</si>
  <si>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</si>
  <si>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</si>
  <si>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</si>
  <si>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</si>
  <si>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</si>
  <si>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</si>
  <si>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</si>
  <si>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</si>
  <si>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</si>
  <si>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</si>
  <si>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</si>
  <si>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</si>
  <si>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</si>
  <si>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</si>
  <si>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</si>
  <si>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</si>
  <si>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</si>
  <si>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</si>
  <si>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</si>
  <si>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</si>
  <si>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</si>
  <si>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</si>
  <si>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</si>
  <si>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</si>
  <si>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</si>
  <si>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</si>
  <si>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</si>
  <si>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Water/Grist Ratio</t>
  </si>
  <si>
    <t>Strike Water Temp</t>
  </si>
  <si>
    <t>Ambient Grain Temp</t>
  </si>
  <si>
    <t>Value</t>
  </si>
  <si>
    <t>%</t>
  </si>
  <si>
    <t>Pre-Boil Volume</t>
  </si>
  <si>
    <t>Post-Boil Volume</t>
  </si>
  <si>
    <t>Size of Mash Tun</t>
  </si>
  <si>
    <t>Evaporation Rate</t>
  </si>
  <si>
    <t>Size of Boil Kettle</t>
  </si>
  <si>
    <t>Boil Time</t>
  </si>
  <si>
    <t>Lauter Tun Deadspace</t>
  </si>
  <si>
    <t>Account for evaporation loss and wort cooling shrinkage</t>
  </si>
  <si>
    <t>Effect of cooling wort from boil to pitching temp</t>
  </si>
  <si>
    <t>Evaporation Loss</t>
  </si>
  <si>
    <t>Cooling Loss</t>
  </si>
  <si>
    <t>Adjustment Factors:</t>
  </si>
  <si>
    <t>Pellet:</t>
  </si>
  <si>
    <t>Plug:</t>
  </si>
  <si>
    <t>Leaf:</t>
  </si>
  <si>
    <t>Total Vol (Grain + Water)</t>
  </si>
  <si>
    <t>Sparge Vol Available</t>
  </si>
  <si>
    <t>Number of Steps Required</t>
  </si>
  <si>
    <t>Max Fill for Mash Tun</t>
  </si>
  <si>
    <t>Optimize # steps</t>
  </si>
  <si>
    <t>Dry Grain Volume Used</t>
  </si>
  <si>
    <t>Style:</t>
  </si>
  <si>
    <t>Brewer:</t>
  </si>
  <si>
    <t>Brew Date:</t>
  </si>
  <si>
    <t>Hop Bill &amp; Schedule</t>
  </si>
  <si>
    <t>FWH:</t>
  </si>
  <si>
    <t>Name</t>
  </si>
  <si>
    <t>Other Ingredients/Additions</t>
  </si>
  <si>
    <t>ABV:</t>
  </si>
  <si>
    <t>BEER-N-BBQ by Larry</t>
  </si>
  <si>
    <t>Grain Bill, Adjunct, &amp; Extract Yield Calculations</t>
  </si>
  <si>
    <t>Total Combined</t>
  </si>
  <si>
    <t>Mash S.G. Contribution</t>
  </si>
  <si>
    <t>Actual</t>
  </si>
  <si>
    <t>Total S.G.</t>
  </si>
  <si>
    <t>° Brix</t>
  </si>
  <si>
    <t>PayPal Donation for BEER-N-BBQ by Larry</t>
  </si>
  <si>
    <t>Support my work by donating on PayPal:</t>
  </si>
  <si>
    <t xml:space="preserve">Amount </t>
  </si>
  <si>
    <t>Qty</t>
  </si>
  <si>
    <t>Typical range: 1.25-1.5 qt/lb (2.6-3.1 L/kg)</t>
  </si>
  <si>
    <t>Desired Mash Temp</t>
  </si>
  <si>
    <t>Category: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</si>
  <si>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</si>
  <si>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</si>
  <si>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</si>
  <si>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</si>
  <si>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</si>
  <si>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</si>
  <si>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</si>
  <si>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</si>
  <si>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</si>
  <si>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</si>
  <si>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</si>
  <si>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</si>
  <si>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</si>
  <si>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</si>
  <si>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</si>
  <si>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</si>
  <si>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</si>
  <si>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</si>
  <si>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</si>
  <si>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</si>
  <si>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</si>
  <si>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</si>
  <si>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</si>
  <si>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</si>
  <si>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</si>
  <si>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</si>
  <si>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</si>
  <si>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</si>
  <si>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</si>
  <si>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</si>
  <si>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</si>
  <si>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</si>
  <si>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</si>
  <si>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</si>
  <si>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</si>
  <si>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</si>
  <si>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</si>
  <si>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</si>
  <si>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</si>
  <si>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</si>
  <si>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</si>
  <si>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</si>
  <si>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</si>
  <si>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</si>
  <si>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</si>
  <si>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</si>
  <si>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</si>
  <si>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</si>
  <si>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</si>
  <si>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</si>
  <si>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</si>
  <si>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</si>
  <si>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</si>
  <si>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</si>
  <si>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</si>
  <si>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</si>
  <si>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</si>
  <si>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</si>
  <si>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</si>
  <si>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</si>
  <si>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</si>
  <si>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</si>
  <si>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</si>
  <si>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</si>
  <si>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</si>
  <si>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</si>
  <si>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</si>
  <si>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</si>
  <si>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</si>
  <si>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</si>
  <si>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</si>
  <si>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</si>
  <si>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</si>
  <si>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</si>
  <si>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</si>
  <si>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</si>
  <si>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</si>
  <si>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</si>
  <si>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</si>
  <si>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</si>
  <si>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</si>
  <si>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</si>
  <si>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</si>
  <si>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</si>
  <si>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</si>
  <si>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</si>
  <si>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</si>
  <si>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</si>
  <si>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</si>
  <si>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</si>
  <si>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</si>
  <si>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</si>
  <si>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</si>
  <si>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</si>
  <si>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</si>
  <si>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</si>
  <si>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</si>
  <si>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</si>
  <si>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</si>
  <si>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</si>
  <si>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</si>
  <si>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</si>
  <si>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</si>
  <si>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</si>
  <si>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</si>
  <si>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</si>
  <si>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</si>
  <si>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</si>
  <si>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</si>
  <si>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</si>
  <si>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</si>
  <si>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</si>
  <si>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</si>
  <si>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</si>
  <si>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</si>
  <si>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</si>
  <si>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</si>
  <si>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</si>
  <si>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</si>
  <si>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</si>
  <si>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</si>
  <si>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</si>
  <si>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</si>
  <si>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</si>
  <si>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</si>
  <si>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</si>
  <si>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</si>
  <si>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</si>
  <si>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</si>
  <si>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</si>
  <si>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</si>
  <si>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</si>
  <si>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</si>
  <si>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</si>
  <si>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</si>
  <si>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</si>
  <si>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</si>
  <si>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</si>
  <si>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</si>
  <si>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</si>
  <si>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</si>
  <si>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</si>
  <si>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</si>
  <si>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</si>
  <si>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</si>
  <si>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</si>
  <si>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</si>
  <si>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</si>
  <si>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</si>
  <si>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</si>
  <si>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</si>
  <si>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</si>
  <si>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</si>
  <si>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</si>
  <si>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</si>
  <si>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</si>
  <si>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</si>
  <si>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</si>
  <si>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</si>
  <si>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</si>
  <si>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</si>
  <si>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</si>
  <si>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</si>
  <si>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</si>
  <si>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</si>
  <si>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</si>
  <si>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</si>
  <si>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</si>
  <si>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</si>
  <si>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</si>
  <si>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</si>
  <si>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</si>
  <si>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</si>
  <si>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</si>
  <si>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</si>
  <si>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</si>
  <si>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</si>
  <si>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</si>
  <si>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</si>
  <si>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</si>
  <si>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</si>
  <si>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</si>
  <si>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</si>
  <si>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</si>
  <si>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</si>
  <si>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</si>
  <si>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</si>
  <si>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</si>
  <si>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</si>
  <si>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</si>
  <si>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</si>
  <si>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</si>
  <si>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</si>
  <si>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</si>
  <si>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</si>
  <si>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</si>
  <si>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</si>
  <si>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</si>
  <si>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</si>
  <si>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</si>
  <si>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</si>
  <si>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</si>
  <si>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</si>
  <si>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</si>
  <si>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</si>
  <si>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</si>
  <si>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</si>
  <si>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</si>
  <si>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</si>
  <si>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</si>
  <si>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</si>
  <si>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</si>
  <si>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</si>
  <si>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</si>
  <si>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</si>
  <si>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</si>
  <si>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</si>
  <si>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</si>
  <si>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</si>
  <si>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</si>
  <si>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</si>
  <si>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</si>
  <si>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</si>
  <si>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</si>
  <si>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</si>
  <si>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</si>
  <si>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</si>
  <si>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</si>
  <si>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</si>
  <si>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</si>
  <si>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</si>
  <si>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</si>
  <si>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</si>
  <si>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</si>
  <si>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</si>
  <si>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</si>
  <si>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</si>
  <si>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</si>
  <si>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</si>
  <si>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</si>
  <si>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</si>
  <si>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</si>
  <si>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</si>
  <si>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</si>
  <si>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</si>
  <si>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</si>
  <si>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</si>
  <si>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</si>
  <si>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</si>
  <si>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</si>
  <si>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</si>
  <si>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</si>
  <si>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</si>
  <si>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</si>
  <si>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</si>
  <si>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</si>
  <si>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</si>
  <si>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</si>
  <si>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</si>
  <si>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</si>
  <si>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</si>
  <si>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</si>
  <si>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</si>
  <si>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</si>
  <si>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</si>
  <si>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</si>
  <si>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</si>
  <si>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</si>
  <si>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</si>
  <si>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</si>
  <si>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</si>
  <si>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</si>
  <si>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</si>
  <si>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</si>
  <si>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</si>
  <si>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</si>
  <si>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</si>
  <si>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</si>
  <si>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</si>
  <si>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</si>
  <si>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</si>
  <si>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</si>
  <si>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</si>
  <si>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</si>
  <si>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</si>
  <si>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</si>
  <si>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</si>
  <si>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</si>
  <si>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</si>
  <si>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</si>
  <si>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</si>
  <si>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</si>
  <si>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</si>
  <si>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</si>
  <si>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</si>
  <si>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</si>
  <si>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</si>
  <si>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</si>
  <si>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</si>
  <si>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</si>
  <si>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</si>
  <si>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</si>
  <si>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</si>
  <si>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</si>
  <si>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</si>
  <si>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</si>
  <si>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</si>
  <si>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</si>
  <si>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</si>
  <si>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</si>
  <si>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</si>
  <si>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</si>
  <si>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</si>
  <si>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</si>
  <si>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</si>
  <si>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</si>
  <si>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</si>
  <si>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</si>
  <si>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</si>
  <si>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</si>
  <si>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</si>
  <si>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</si>
  <si>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</si>
  <si>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</si>
  <si>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</si>
  <si>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</si>
  <si>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</si>
  <si>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</si>
  <si>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</si>
  <si>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</si>
  <si>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</si>
  <si>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</si>
  <si>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</si>
  <si>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</si>
  <si>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</si>
  <si>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</si>
  <si>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</si>
  <si>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</si>
  <si>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</si>
  <si>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</si>
  <si>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</si>
  <si>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</si>
  <si>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</si>
  <si>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</si>
  <si>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</si>
  <si>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</si>
  <si>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</si>
  <si>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</si>
  <si>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</si>
  <si>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</si>
  <si>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</si>
  <si>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</si>
  <si>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</si>
  <si>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</si>
  <si>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</si>
  <si>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</si>
  <si>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</si>
  <si>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</si>
  <si>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</si>
  <si>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</si>
  <si>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</si>
  <si>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</si>
  <si>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</si>
  <si>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</si>
  <si>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</si>
  <si>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</si>
  <si>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</si>
  <si>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</si>
  <si>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</si>
  <si>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</si>
  <si>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</si>
  <si>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</si>
  <si>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</si>
  <si>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</si>
  <si>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</si>
  <si>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</si>
  <si>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California Ale V WLP051</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</si>
  <si>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</si>
  <si>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</si>
  <si>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</si>
  <si>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</si>
  <si>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</si>
  <si>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</si>
  <si>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</si>
  <si>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</si>
  <si>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</si>
  <si>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</si>
  <si>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</si>
  <si>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</si>
  <si>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</si>
  <si>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</si>
  <si>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</si>
  <si>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</si>
  <si>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</si>
  <si>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</si>
  <si>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</si>
  <si>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</si>
  <si>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</si>
  <si>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</si>
  <si>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</si>
  <si>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</si>
  <si>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</si>
  <si>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</si>
  <si>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</si>
  <si>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</si>
  <si>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</si>
  <si>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</si>
  <si>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</si>
  <si>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</si>
  <si>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</si>
  <si>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</si>
  <si>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</si>
  <si>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</si>
  <si>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</si>
  <si>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</si>
  <si>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</si>
  <si>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</si>
  <si>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</si>
  <si>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</si>
  <si>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</si>
  <si>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</si>
  <si>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</si>
  <si>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</si>
  <si>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</si>
  <si>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</si>
  <si>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</si>
  <si>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</si>
  <si>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</si>
  <si>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</si>
  <si>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</si>
  <si>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</si>
  <si>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</si>
  <si>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</si>
  <si>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</si>
  <si>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</si>
  <si>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</si>
  <si>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</si>
  <si>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</si>
  <si>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</si>
  <si>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</si>
  <si>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</si>
  <si>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</si>
  <si>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</si>
  <si>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</si>
  <si>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</si>
  <si>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</si>
  <si>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</si>
  <si>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</si>
  <si>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</si>
  <si>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</si>
  <si>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</si>
  <si>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</si>
  <si>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</si>
  <si>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</si>
  <si>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</si>
  <si>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</si>
  <si>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</si>
  <si>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</si>
  <si>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</si>
  <si>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</si>
  <si>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</si>
  <si>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</si>
  <si>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</si>
  <si>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</si>
  <si>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</si>
  <si>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</si>
  <si>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</si>
  <si>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</si>
  <si>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Whitbread Ale WLP017</t>
  </si>
  <si>
    <t>67-73%</t>
  </si>
  <si>
    <t>Brittish style, slightly fruity with a hint of sulfur.</t>
  </si>
  <si>
    <t>Full-bodied, fruity English ale.</t>
  </si>
  <si>
    <t>Based on BJCP 2015 Beer Style Guidelines</t>
  </si>
  <si>
    <t>1. Standard American Beer</t>
  </si>
  <si>
    <t>1A. American Light Lager</t>
  </si>
  <si>
    <t>1B. American Lager</t>
  </si>
  <si>
    <t>1C. Cream Ale</t>
  </si>
  <si>
    <t>1D. American Wheat Beer</t>
  </si>
  <si>
    <t>2. International Lager</t>
  </si>
  <si>
    <t>2A. International Pale Lager</t>
  </si>
  <si>
    <t>2B. International Amber Lager</t>
  </si>
  <si>
    <t>2C. International Dark Lager</t>
  </si>
  <si>
    <t>3. Czech Lager</t>
  </si>
  <si>
    <t>3A. Czech Pale Lager</t>
  </si>
  <si>
    <t>3B. Czech Premium Pale Lager</t>
  </si>
  <si>
    <t>3C. Czech Amber Lager</t>
  </si>
  <si>
    <t>3D. Czech Dark Lager</t>
  </si>
  <si>
    <t>4A. Munich Helles</t>
  </si>
  <si>
    <t>4. Pale Malty European Lager</t>
  </si>
  <si>
    <t>4B. Festbier</t>
  </si>
  <si>
    <t>4C. Helles Bock</t>
  </si>
  <si>
    <t>5. Pale Bitter European Beer</t>
  </si>
  <si>
    <t>5A. German Leichtbier</t>
  </si>
  <si>
    <t>5B. Kölsch</t>
  </si>
  <si>
    <t>5C. German Helles Exportbier</t>
  </si>
  <si>
    <t>5D. German Pils</t>
  </si>
  <si>
    <t>7A. Vienna Lager</t>
  </si>
  <si>
    <t>7B. Altbier</t>
  </si>
  <si>
    <t>7C. Kellerbier</t>
  </si>
  <si>
    <t>7C. Kellerbier: Pale Kellerbier</t>
  </si>
  <si>
    <t>7C. Kellerbier: Amber Kellerbier</t>
  </si>
  <si>
    <t>7. Amber Bitter European Beer</t>
  </si>
  <si>
    <t>6. Amber Malty European Lager</t>
  </si>
  <si>
    <t>6A. Märzen</t>
  </si>
  <si>
    <t>6B. Rauchbier</t>
  </si>
  <si>
    <t>6C. Dunkles Bock</t>
  </si>
  <si>
    <t>8. Dark European Lager</t>
  </si>
  <si>
    <t>8A. Munich Dunkel</t>
  </si>
  <si>
    <t>8B. Schwarzbier</t>
  </si>
  <si>
    <t>9. Strong European Beer</t>
  </si>
  <si>
    <t>9A. Doppelbock</t>
  </si>
  <si>
    <t>9B. Eisbock</t>
  </si>
  <si>
    <t>9C. Baltic Porter</t>
  </si>
  <si>
    <t>10. German Wheat Beer</t>
  </si>
  <si>
    <t>10A. Weissbier</t>
  </si>
  <si>
    <t>10B. Dunkles Weissbier</t>
  </si>
  <si>
    <t>10C. Weizenbock</t>
  </si>
  <si>
    <t>11. British Bitter</t>
  </si>
  <si>
    <t>11A. Ordinary Bitter</t>
  </si>
  <si>
    <t>11B. Best Bitter</t>
  </si>
  <si>
    <t>11C. Strong Bitter</t>
  </si>
  <si>
    <t>12. Pale Commonwealth Beer</t>
  </si>
  <si>
    <t>12A. British Golden Ale</t>
  </si>
  <si>
    <t>12B. Australian Sparkling Ale</t>
  </si>
  <si>
    <t>12C. English IPA</t>
  </si>
  <si>
    <t>13. Brown British Beer</t>
  </si>
  <si>
    <t>13A. Dark Mild</t>
  </si>
  <si>
    <t>13B. British Brown Ale</t>
  </si>
  <si>
    <t>13C. English Porter</t>
  </si>
  <si>
    <t>14. Scottish Ale</t>
  </si>
  <si>
    <t>14A. Scottish Light</t>
  </si>
  <si>
    <t>14B. Scottish Heavy</t>
  </si>
  <si>
    <t>14C. Scottish Export</t>
  </si>
  <si>
    <t>15. Irish Beer</t>
  </si>
  <si>
    <t>15A. Irish Red Ale</t>
  </si>
  <si>
    <t>15B. Irish Stout</t>
  </si>
  <si>
    <t>15C. Irish Extra Stout</t>
  </si>
  <si>
    <t>16. Dark British Beer</t>
  </si>
  <si>
    <t>16A. Sweet Stout</t>
  </si>
  <si>
    <t>16B. Oatmeal Stout</t>
  </si>
  <si>
    <t>16C. Tropical Stout</t>
  </si>
  <si>
    <t>16D. Foreign Extra Stout</t>
  </si>
  <si>
    <t>17. Strong British Ale</t>
  </si>
  <si>
    <t>17A. British Strong Ale</t>
  </si>
  <si>
    <t>17B. Old Ale</t>
  </si>
  <si>
    <t>17C. Wee Heavy</t>
  </si>
  <si>
    <t>17D. English Barleywine</t>
  </si>
  <si>
    <t>18. Pale American Ale</t>
  </si>
  <si>
    <t>18A. Blonde Ale</t>
  </si>
  <si>
    <t>18B. American Pale Ale</t>
  </si>
  <si>
    <t>19. Amber and Brown American Beer</t>
  </si>
  <si>
    <t>19A. American Amber Ale</t>
  </si>
  <si>
    <t>19B. California Common</t>
  </si>
  <si>
    <t>19C. American Brown Ale</t>
  </si>
  <si>
    <t>20. American Porter and Stout</t>
  </si>
  <si>
    <t>20A. American Porter</t>
  </si>
  <si>
    <t>20B. American Stout</t>
  </si>
  <si>
    <t>20C. Imperial Stout</t>
  </si>
  <si>
    <t>21. IPA</t>
  </si>
  <si>
    <t>21A. American IPA</t>
  </si>
  <si>
    <t>21B. Specialty IPA</t>
  </si>
  <si>
    <t>21B. Specialty IPA: Belgian IPA</t>
  </si>
  <si>
    <t>21B. Specialty IPA: Black IPA</t>
  </si>
  <si>
    <t>21B. Specialty IPA: Brown IPA</t>
  </si>
  <si>
    <t>21B. Specialty IPA: Red IPA</t>
  </si>
  <si>
    <t>21B. Specialty IPA: Rye IPA</t>
  </si>
  <si>
    <t>21B. Specialty IPA: White IPA</t>
  </si>
  <si>
    <t>22. Strong American Ale</t>
  </si>
  <si>
    <t>22A. Double IPA</t>
  </si>
  <si>
    <t>22B. American Strong Ale</t>
  </si>
  <si>
    <t>22C. American Barleywine</t>
  </si>
  <si>
    <t>22D. Wheatwine</t>
  </si>
  <si>
    <t>23. European Sour Ale</t>
  </si>
  <si>
    <t>23A. Berliner Weisse</t>
  </si>
  <si>
    <t>23B. Flanders Red Ale</t>
  </si>
  <si>
    <t>23C. Oud Bruin</t>
  </si>
  <si>
    <t>23D. Lambic</t>
  </si>
  <si>
    <t>23E. Gueuze</t>
  </si>
  <si>
    <t>23F. Fruit Lambic</t>
  </si>
  <si>
    <t>24. Belgian Ale</t>
  </si>
  <si>
    <t>24A. Witbier</t>
  </si>
  <si>
    <t>24B. Belgian Pale Ale</t>
  </si>
  <si>
    <t>24C. Bière de Garde</t>
  </si>
  <si>
    <t>25. Strong Belgian Ale</t>
  </si>
  <si>
    <t>25A. Belgian Blond Ale</t>
  </si>
  <si>
    <t>25B. Saison</t>
  </si>
  <si>
    <t>25C. Belgian Golden Strong Ale</t>
  </si>
  <si>
    <t>26. Trappist Ale</t>
  </si>
  <si>
    <t>26A. Trappist Single</t>
  </si>
  <si>
    <t>26B. Belgian Dubbel</t>
  </si>
  <si>
    <t>26C. Belgian Tripel</t>
  </si>
  <si>
    <t>26D. Belgian Dark Strong Ale</t>
  </si>
  <si>
    <t>27. Historical Beer</t>
  </si>
  <si>
    <t>Gose</t>
  </si>
  <si>
    <t>Kentucky Common</t>
  </si>
  <si>
    <t>Lichtenhainer</t>
  </si>
  <si>
    <t>London Brown Ale</t>
  </si>
  <si>
    <t>Piwo Grodziskie</t>
  </si>
  <si>
    <t>Pre-Prohibition Lager</t>
  </si>
  <si>
    <t>Roggenbier</t>
  </si>
  <si>
    <t>Sahti</t>
  </si>
  <si>
    <t>28. American Wild Ale</t>
  </si>
  <si>
    <t>28A. Brett Beer</t>
  </si>
  <si>
    <t>28B. Mixed-Fermentation Sour Beer</t>
  </si>
  <si>
    <t>28C. Wild Specialty Beer</t>
  </si>
  <si>
    <t>29. Fruit Beer</t>
  </si>
  <si>
    <t>29A. Fruit Beer</t>
  </si>
  <si>
    <t>29B. Fruit and Spice Beer</t>
  </si>
  <si>
    <t>29C. Specialty Fruit Beer</t>
  </si>
  <si>
    <t>30. Spiced Beer</t>
  </si>
  <si>
    <t>30A. Spice, Herb, or Vegetable Beer</t>
  </si>
  <si>
    <t>30B. Autumn Seasonal Beer</t>
  </si>
  <si>
    <t>30C. Winter Seasonal Beer</t>
  </si>
  <si>
    <t>31. Alternative Fermentables Beer</t>
  </si>
  <si>
    <t>31A. Alternative Grain Beer</t>
  </si>
  <si>
    <t>31B. Alternative Sugar Beer</t>
  </si>
  <si>
    <t>32. Smoked Beer</t>
  </si>
  <si>
    <t>32A. Classic Style Smoked Beer</t>
  </si>
  <si>
    <t>32B. Specialty Smoked Beer</t>
  </si>
  <si>
    <t>33. Wood Beer</t>
  </si>
  <si>
    <t>33A. Wood-Aged Beer</t>
  </si>
  <si>
    <t>33B. Specialty Wood-Aged Beer</t>
  </si>
  <si>
    <t>34. Specialty Beer</t>
  </si>
  <si>
    <t>34A. Clone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</si>
  <si>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</si>
  <si>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</si>
  <si>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</si>
  <si>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</si>
  <si>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</si>
  <si>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</si>
  <si>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</si>
  <si>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</si>
  <si>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</si>
  <si>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</si>
  <si>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</si>
  <si>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</si>
  <si>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</si>
  <si>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</si>
  <si>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</si>
  <si>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</si>
  <si>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</si>
  <si>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</si>
  <si>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</si>
  <si>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</si>
  <si>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</si>
  <si>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</si>
  <si>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</si>
  <si>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</si>
  <si>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</si>
  <si>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</si>
  <si>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</si>
  <si>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</si>
  <si>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</si>
  <si>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</si>
  <si>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</si>
  <si>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</si>
  <si>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</si>
  <si>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</si>
  <si>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</si>
  <si>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</si>
  <si>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</si>
  <si>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</si>
  <si>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</si>
  <si>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</si>
  <si>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</si>
  <si>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</si>
  <si>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</si>
  <si>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</si>
  <si>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</si>
  <si>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</si>
  <si>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</si>
  <si>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</si>
  <si>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</si>
  <si>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</si>
  <si>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</si>
  <si>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</si>
  <si>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</si>
  <si>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</si>
  <si>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</si>
  <si>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</si>
  <si>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</si>
  <si>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</si>
  <si>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</si>
  <si>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</si>
  <si>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</si>
  <si>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</si>
  <si>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</si>
  <si>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</si>
  <si>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</si>
  <si>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</si>
  <si>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</si>
  <si>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</si>
  <si>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</si>
  <si>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</si>
  <si>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</si>
  <si>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</si>
  <si>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</si>
  <si>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</si>
  <si>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</si>
  <si>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</si>
  <si>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</si>
  <si>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</si>
  <si>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</si>
  <si>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</si>
  <si>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</si>
  <si>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</si>
  <si>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</si>
  <si>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</si>
  <si>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</si>
  <si>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</si>
  <si>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</si>
  <si>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</si>
  <si>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</si>
  <si>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</si>
  <si>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</si>
  <si>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</si>
  <si>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</si>
  <si>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</si>
  <si>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</si>
  <si>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</si>
  <si>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</si>
  <si>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</si>
  <si>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</si>
  <si>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</si>
  <si>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</si>
  <si>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</si>
  <si>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</si>
  <si>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</si>
  <si>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</si>
  <si>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</si>
  <si>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</si>
  <si>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</si>
  <si>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</si>
  <si>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</si>
  <si>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</si>
  <si>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</si>
  <si>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</si>
  <si>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</si>
  <si>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</si>
  <si>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</si>
  <si>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</si>
  <si>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</si>
  <si>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</si>
  <si>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</si>
  <si>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</si>
  <si>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</si>
  <si>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</si>
  <si>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</si>
  <si>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</si>
  <si>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</si>
  <si>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</si>
  <si>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</si>
  <si>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</si>
  <si>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</si>
  <si>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</si>
  <si>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</si>
  <si>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</si>
  <si>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</si>
  <si>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</si>
  <si>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</si>
  <si>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</si>
  <si>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</si>
  <si>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</si>
  <si>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</si>
  <si>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</si>
  <si>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</si>
  <si>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</si>
  <si>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</si>
  <si>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</si>
  <si>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</si>
  <si>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</si>
  <si>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</si>
  <si>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</si>
  <si>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</si>
  <si>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</si>
  <si>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</si>
  <si>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</si>
  <si>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</si>
  <si>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</si>
  <si>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</si>
  <si>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</si>
  <si>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</si>
  <si>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</si>
  <si>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</si>
  <si>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</si>
  <si>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</si>
  <si>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</si>
  <si>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</si>
  <si>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</si>
  <si>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</si>
  <si>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</si>
  <si>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</si>
  <si>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</si>
  <si>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</si>
  <si>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</si>
  <si>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</si>
  <si>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</si>
  <si>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</si>
  <si>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</si>
  <si>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</si>
  <si>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</si>
  <si>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</si>
  <si>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</si>
  <si>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</si>
  <si>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</si>
  <si>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</si>
  <si>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</si>
  <si>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</si>
  <si>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</si>
  <si>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</si>
  <si>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</si>
  <si>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</si>
  <si>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</si>
  <si>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</si>
  <si>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</si>
  <si>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</si>
  <si>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</si>
  <si>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</si>
  <si>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</si>
  <si>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</si>
  <si>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</si>
  <si>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</si>
  <si>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</si>
  <si>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</si>
  <si>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</si>
  <si>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</si>
  <si>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</si>
  <si>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</si>
  <si>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</si>
  <si>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</si>
  <si>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</si>
  <si>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</si>
  <si>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</si>
  <si>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</si>
  <si>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</si>
  <si>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</si>
  <si>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</si>
  <si>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</si>
  <si>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</si>
  <si>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</si>
  <si>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</si>
  <si>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</si>
  <si>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</si>
  <si>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</si>
  <si>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</si>
  <si>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Tennessee WLP050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</si>
  <si>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</si>
  <si>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</si>
  <si>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</si>
  <si>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</si>
  <si>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</si>
  <si>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</si>
  <si>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</si>
  <si>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</si>
  <si>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</si>
  <si>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</si>
  <si>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</si>
  <si>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</si>
  <si>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</si>
  <si>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</si>
  <si>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</si>
  <si>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</si>
  <si>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</si>
  <si>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</si>
  <si>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</si>
  <si>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</si>
  <si>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</si>
  <si>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</si>
  <si>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</si>
  <si>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</si>
  <si>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</si>
  <si>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</si>
  <si>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</si>
  <si>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</si>
  <si>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</si>
  <si>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</si>
  <si>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</si>
  <si>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</si>
  <si>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</si>
  <si>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</si>
  <si>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</si>
  <si>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</si>
  <si>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</si>
  <si>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</si>
  <si>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</si>
  <si>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</si>
  <si>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</si>
  <si>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</si>
  <si>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</si>
  <si>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</si>
  <si>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</si>
  <si>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</si>
  <si>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</si>
  <si>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</si>
  <si>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</si>
  <si>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</si>
  <si>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</si>
  <si>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</si>
  <si>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</si>
  <si>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</si>
  <si>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</si>
  <si>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</si>
  <si>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</si>
  <si>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</si>
  <si>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</si>
  <si>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</si>
  <si>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</si>
  <si>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</si>
  <si>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</si>
  <si>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</si>
  <si>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</si>
  <si>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</si>
  <si>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</si>
  <si>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</si>
  <si>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</si>
  <si>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</si>
  <si>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</si>
  <si>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</si>
  <si>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</si>
  <si>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</si>
  <si>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</si>
  <si>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</si>
  <si>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</si>
  <si>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</si>
  <si>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</si>
  <si>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</si>
  <si>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</si>
  <si>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</si>
  <si>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</si>
  <si>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</si>
  <si>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</si>
  <si>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</si>
  <si>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</si>
  <si>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</si>
  <si>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</si>
  <si>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</si>
  <si>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</si>
  <si>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</si>
  <si>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</si>
  <si>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</si>
  <si>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</si>
  <si>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</si>
  <si>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</si>
  <si>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</si>
  <si>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</si>
  <si>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</si>
  <si>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</si>
  <si>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</si>
  <si>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</si>
  <si>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</si>
  <si>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</si>
  <si>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</si>
  <si>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</si>
  <si>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</si>
  <si>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</si>
  <si>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</si>
  <si>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</si>
  <si>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</si>
  <si>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</si>
  <si>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</si>
  <si>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</si>
  <si>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</si>
  <si>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</si>
  <si>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</si>
  <si>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</si>
  <si>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</si>
  <si>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</si>
  <si>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</si>
  <si>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</si>
  <si>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</si>
  <si>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</si>
  <si>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</si>
  <si>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</si>
  <si>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</si>
  <si>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</si>
  <si>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</si>
  <si>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</si>
  <si>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</si>
  <si>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</si>
  <si>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</si>
  <si>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</si>
  <si>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</si>
  <si>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</si>
  <si>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</si>
  <si>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</si>
  <si>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</si>
  <si>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</si>
  <si>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</si>
  <si>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</si>
  <si>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</si>
  <si>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</si>
  <si>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</si>
  <si>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</si>
  <si>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</si>
  <si>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</si>
  <si>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</si>
  <si>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</si>
  <si>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</si>
  <si>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</si>
  <si>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</si>
  <si>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</si>
  <si>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</si>
  <si>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</si>
  <si>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</si>
  <si>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</si>
  <si>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</si>
  <si>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</si>
  <si>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</si>
  <si>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</si>
  <si>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</si>
  <si>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Scotch Whiskey WLP045</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</si>
  <si>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</si>
  <si>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</si>
  <si>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</si>
  <si>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</si>
  <si>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</si>
  <si>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</si>
  <si>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</si>
  <si>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</si>
  <si>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</si>
  <si>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</si>
  <si>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</si>
  <si>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Max Fill for Boil Kettle</t>
  </si>
  <si>
    <t>Boil Kettle Deadspace</t>
  </si>
  <si>
    <t>Fermenter Deadspace</t>
  </si>
  <si>
    <t>Process Parameters</t>
  </si>
  <si>
    <t>Maximum volume capacity of mash tun.</t>
  </si>
  <si>
    <t>Max desired fill capacity for mash tun. Should be less &lt;= 95%.</t>
  </si>
  <si>
    <t>Maximum capacity of boil kettle. 8 gal min recommended for 5 gal batch.</t>
  </si>
  <si>
    <t>Temp at which water boils at your elevation above (or below) sea level.</t>
  </si>
  <si>
    <t>Max desired fill capacity for boil kettle. Should allow room for foaming and possibility of boil over.</t>
  </si>
  <si>
    <t>Initial amount of heated water to add to dry grains in mash tun to start the mash.</t>
  </si>
  <si>
    <t>Assumes dry grain occupies .3125 qt/lb (.652 L/kg) of volume</t>
  </si>
  <si>
    <t>Temperature</t>
  </si>
  <si>
    <t>Volume</t>
  </si>
  <si>
    <t>Mass (grain)</t>
  </si>
  <si>
    <t>Mass (hops)</t>
  </si>
  <si>
    <t>Select Units of Measure:</t>
  </si>
  <si>
    <t>From Grain</t>
  </si>
  <si>
    <t>From Sugar</t>
  </si>
  <si>
    <t>Sugar S.G. Contribution</t>
  </si>
  <si>
    <t>IBUs:</t>
  </si>
  <si>
    <t>% of Bill</t>
  </si>
  <si>
    <t>PPG</t>
  </si>
  <si>
    <t>Max Th Yield for batch</t>
  </si>
  <si>
    <t>AAU</t>
  </si>
  <si>
    <t>Avg Atten</t>
  </si>
  <si>
    <t>Yeast Information</t>
  </si>
  <si>
    <t>Expected</t>
  </si>
  <si>
    <t>min</t>
  </si>
  <si>
    <t>Available to drain in 1st step</t>
  </si>
  <si>
    <t>Real number of batch sparge steps required to collect pre boil volume</t>
  </si>
  <si>
    <t>Rounded to whole # of sparge and drain steps to collect pre boil volume.</t>
  </si>
  <si>
    <t>Water Boil Temperature</t>
  </si>
  <si>
    <t>1. Watch Recipe Calculator Tutorial and related What's New videos on my YouTube Channel</t>
  </si>
  <si>
    <t>2. Download this Excel file and save it to your computer.</t>
  </si>
  <si>
    <t>3. Rename the Excel file to the name of your recipe.</t>
  </si>
  <si>
    <t>4. Configure the Brewhouse Setup &amp; Cacls tab for your equipment,processes, altitude, and desired outcomes.</t>
  </si>
  <si>
    <t>5. Go to Grain &amp; Sugar Calcs tab to specifiy your desired types and amounts of grains and sugars.</t>
  </si>
  <si>
    <t>6. Go to Hops Calcs tab to specify types and amounts of hops.</t>
  </si>
  <si>
    <t>7. Go to Recipe Sheet tab to select yeast strain, add other ingredients as necessary, and enter other miscellaneous information.</t>
  </si>
  <si>
    <t>8. Save, print (or use tablet, phone, or laptop to view), and use on brew day.</t>
  </si>
  <si>
    <t>Version History:</t>
  </si>
  <si>
    <t>&lt;2.0 Various updates not tracked.</t>
  </si>
  <si>
    <t>How To Use This Recipe Calculator Template</t>
  </si>
  <si>
    <t xml:space="preserve">9. If you find this spreadsheet and related videos helpful, please consider supporting my work by donating via PayPal: </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</si>
  <si>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</si>
  <si>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</si>
  <si>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</si>
  <si>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</si>
  <si>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</si>
  <si>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</si>
  <si>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</si>
  <si>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</si>
  <si>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</si>
  <si>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</si>
  <si>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</si>
  <si>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</si>
  <si>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</si>
  <si>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</si>
  <si>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</si>
  <si>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</si>
  <si>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</si>
  <si>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</si>
  <si>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</si>
  <si>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</si>
  <si>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</si>
  <si>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</si>
  <si>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</si>
  <si>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</si>
  <si>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</si>
  <si>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</si>
  <si>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</si>
  <si>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</si>
  <si>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</si>
  <si>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</si>
  <si>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</si>
  <si>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</si>
  <si>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</si>
  <si>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</si>
  <si>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</si>
  <si>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</si>
  <si>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</si>
  <si>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</si>
  <si>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</si>
  <si>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</si>
  <si>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</si>
  <si>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</si>
  <si>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</si>
  <si>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</si>
  <si>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</si>
  <si>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</si>
  <si>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</si>
  <si>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</si>
  <si>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</si>
  <si>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</si>
  <si>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</si>
  <si>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</si>
  <si>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</si>
  <si>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</si>
  <si>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</si>
  <si>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</si>
  <si>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</si>
  <si>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</si>
  <si>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</si>
  <si>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</si>
  <si>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</si>
  <si>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</si>
  <si>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</si>
  <si>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</si>
  <si>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</si>
  <si>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</si>
  <si>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</si>
  <si>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</si>
  <si>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</si>
  <si>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</si>
  <si>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</si>
  <si>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</si>
  <si>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</si>
  <si>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</si>
  <si>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</si>
  <si>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</si>
  <si>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</si>
  <si>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</si>
  <si>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</si>
  <si>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</si>
  <si>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</si>
  <si>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</si>
  <si>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</si>
  <si>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</si>
  <si>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</si>
  <si>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</si>
  <si>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</si>
  <si>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</si>
  <si>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</si>
  <si>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</si>
  <si>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</si>
  <si>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</si>
  <si>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</si>
  <si>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</si>
  <si>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</si>
  <si>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</si>
  <si>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</si>
  <si>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</si>
  <si>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</si>
  <si>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</si>
  <si>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</si>
  <si>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</si>
  <si>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</si>
  <si>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</si>
  <si>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</si>
  <si>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Amount of water absorbed grain</t>
  </si>
  <si>
    <t>Grain Absorption Loss</t>
  </si>
  <si>
    <t xml:space="preserve">Combined volume of strike water and grains </t>
  </si>
  <si>
    <t>Free mash tun capacity for adding sparge water</t>
  </si>
  <si>
    <t>Optimize water vol per step</t>
  </si>
  <si>
    <t>Capacity Checks</t>
  </si>
  <si>
    <t>Mash Tun</t>
  </si>
  <si>
    <t>Boil Kettle</t>
  </si>
  <si>
    <t>Inputs</t>
  </si>
  <si>
    <t>Equipment Parameters</t>
  </si>
  <si>
    <t>Calculations</t>
  </si>
  <si>
    <t>Drain for 1st Step</t>
  </si>
  <si>
    <t>Add for 1st Step</t>
  </si>
  <si>
    <t>Add/Drain for 2nd Step</t>
  </si>
  <si>
    <t>Add/Drain for 3rd Step</t>
  </si>
  <si>
    <t xml:space="preserve">Goal is to have equally sized draining volumes to maximize extract efficiency.  </t>
  </si>
  <si>
    <t>Amount of drainable wort available for first step.</t>
  </si>
  <si>
    <t>Amount of additional water to add to first step to get equal drain volumes.</t>
  </si>
  <si>
    <t>Expected amount of wort into the brew kettle for first drain step.</t>
  </si>
  <si>
    <t xml:space="preserve">Amount of water to add for second step. Optimal # of steps should usually be 2 in most cases.  </t>
  </si>
  <si>
    <t>Amount of water to add for third step. Beware: Adding a third step can add astringency to the beer.</t>
  </si>
  <si>
    <t>Water lost to evaporation.</t>
  </si>
  <si>
    <t>Wort Correction Factor</t>
  </si>
  <si>
    <t>For use with a refractometer. (Ignore if not using one)</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</si>
  <si>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</si>
  <si>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</si>
  <si>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</si>
  <si>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</si>
  <si>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</si>
  <si>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</si>
  <si>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Pellet</t>
  </si>
  <si>
    <t>Color</t>
  </si>
  <si>
    <t>SRM</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</si>
  <si>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</si>
  <si>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</si>
  <si>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</si>
  <si>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</si>
  <si>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</si>
  <si>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</si>
  <si>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</si>
  <si>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</si>
  <si>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</si>
  <si>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</si>
  <si>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</si>
  <si>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</si>
  <si>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</si>
  <si>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</si>
  <si>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</si>
  <si>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</si>
  <si>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</si>
  <si>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</si>
  <si>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</si>
  <si>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</si>
  <si>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</si>
  <si>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</si>
  <si>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</si>
  <si>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</si>
  <si>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</si>
  <si>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</si>
  <si>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</si>
  <si>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</si>
  <si>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</si>
  <si>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</si>
  <si>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</si>
  <si>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</si>
  <si>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</si>
  <si>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</si>
  <si>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</si>
  <si>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</si>
  <si>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</si>
  <si>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</si>
  <si>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</si>
  <si>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</si>
  <si>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</si>
  <si>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</si>
  <si>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</si>
  <si>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</si>
  <si>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</si>
  <si>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</si>
  <si>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</si>
  <si>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</si>
  <si>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</si>
  <si>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</si>
  <si>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</si>
  <si>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</si>
  <si>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</si>
  <si>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</si>
  <si>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</si>
  <si>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</si>
  <si>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</si>
  <si>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</si>
  <si>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</si>
  <si>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</si>
  <si>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</si>
  <si>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</si>
  <si>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</si>
  <si>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</si>
  <si>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</si>
  <si>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</si>
  <si>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</si>
  <si>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</si>
  <si>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</si>
  <si>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</si>
  <si>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</si>
  <si>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</si>
  <si>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</si>
  <si>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</si>
  <si>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</si>
  <si>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</si>
  <si>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</si>
  <si>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</si>
  <si>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</si>
  <si>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</si>
  <si>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</si>
  <si>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</si>
  <si>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</si>
  <si>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</si>
  <si>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</si>
  <si>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</si>
  <si>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</si>
  <si>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</si>
  <si>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</si>
  <si>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</si>
  <si>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</si>
  <si>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</si>
  <si>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</si>
  <si>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</si>
  <si>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</si>
  <si>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</si>
  <si>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</si>
  <si>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</si>
  <si>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</si>
  <si>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</si>
  <si>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</si>
  <si>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</si>
  <si>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</si>
  <si>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</si>
  <si>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</si>
  <si>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</si>
  <si>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</si>
  <si>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</si>
  <si>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</si>
  <si>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</si>
  <si>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</si>
  <si>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</si>
  <si>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</si>
  <si>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</si>
  <si>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</si>
  <si>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</si>
  <si>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</si>
  <si>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</si>
  <si>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</si>
  <si>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</si>
  <si>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</si>
  <si>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</si>
  <si>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</si>
  <si>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</si>
  <si>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</si>
  <si>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</si>
  <si>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</si>
  <si>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</si>
  <si>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</si>
  <si>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</si>
  <si>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</si>
  <si>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</si>
  <si>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</si>
  <si>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</si>
  <si>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</si>
  <si>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</si>
  <si>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</si>
  <si>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</si>
  <si>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</si>
  <si>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</si>
  <si>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</si>
  <si>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</si>
  <si>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</si>
  <si>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</si>
  <si>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</si>
  <si>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</si>
  <si>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</si>
  <si>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</si>
  <si>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</si>
  <si>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</si>
  <si>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</si>
  <si>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</si>
  <si>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</si>
  <si>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</si>
  <si>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</si>
  <si>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</si>
  <si>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</si>
  <si>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</si>
  <si>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</si>
  <si>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</si>
  <si>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</si>
  <si>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</si>
  <si>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</si>
  <si>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</si>
  <si>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</si>
  <si>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</si>
  <si>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</si>
  <si>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</si>
  <si>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</si>
  <si>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</si>
  <si>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</si>
  <si>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</si>
  <si>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</si>
  <si>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</si>
  <si>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</si>
  <si>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</si>
  <si>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</si>
  <si>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</si>
  <si>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</si>
  <si>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</si>
  <si>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</si>
  <si>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</si>
  <si>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</si>
  <si>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</si>
  <si>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</si>
  <si>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</si>
  <si>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</si>
  <si>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</si>
  <si>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</si>
  <si>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</si>
  <si>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</si>
  <si>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</si>
  <si>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</si>
  <si>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</si>
  <si>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</si>
  <si>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</si>
  <si>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</si>
  <si>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</si>
  <si>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</si>
  <si>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</si>
  <si>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</si>
  <si>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</si>
  <si>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</si>
  <si>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</si>
  <si>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</si>
  <si>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</si>
  <si>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</si>
  <si>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</si>
  <si>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</si>
  <si>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</si>
  <si>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</si>
  <si>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</si>
  <si>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</si>
  <si>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</si>
  <si>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</si>
  <si>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</si>
  <si>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</si>
  <si>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</si>
  <si>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</si>
  <si>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</si>
  <si>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</si>
  <si>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</si>
  <si>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</si>
  <si>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</si>
  <si>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</si>
  <si>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</si>
  <si>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</si>
  <si>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</si>
  <si>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</si>
  <si>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</si>
  <si>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</si>
  <si>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</si>
  <si>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</si>
  <si>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</si>
  <si>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</si>
  <si>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</si>
  <si>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</si>
  <si>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</si>
  <si>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</si>
  <si>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</si>
  <si>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</si>
  <si>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</si>
  <si>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</si>
  <si>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</si>
  <si>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</si>
  <si>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</si>
  <si>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</si>
  <si>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</si>
  <si>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</si>
  <si>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</si>
  <si>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</si>
  <si>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</si>
  <si>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</si>
  <si>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</si>
  <si>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</si>
  <si>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</si>
  <si>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</si>
  <si>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</si>
  <si>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</si>
  <si>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 L</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</si>
  <si>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</si>
  <si>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</si>
  <si>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</si>
  <si>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</si>
  <si>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</si>
  <si>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Sugar: Candi Sugar, Clear</t>
  </si>
  <si>
    <t>Sugar: Candi Sugar, Amber</t>
  </si>
  <si>
    <t>Sugar: Candi Sugar, Dark</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</si>
  <si>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</si>
  <si>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</si>
  <si>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</si>
  <si>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</si>
  <si>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</si>
  <si>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</si>
  <si>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</si>
  <si>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</si>
  <si>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</si>
  <si>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</si>
  <si>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</si>
  <si>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</si>
  <si>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</si>
  <si>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</si>
  <si>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</si>
  <si>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</si>
  <si>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</si>
  <si>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</si>
  <si>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</si>
  <si>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</si>
  <si>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</si>
  <si>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</si>
  <si>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</si>
  <si>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</si>
  <si>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 xml:space="preserve">For Video Tutorials, see: </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</si>
  <si>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</si>
  <si>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</si>
  <si>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</si>
  <si>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</si>
  <si>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</si>
  <si>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</si>
  <si>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</si>
  <si>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</si>
  <si>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</si>
  <si>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</si>
  <si>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</si>
  <si>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</si>
  <si>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</si>
  <si>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</si>
  <si>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</si>
  <si>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</si>
  <si>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</si>
  <si>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</si>
  <si>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</si>
  <si>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</si>
  <si>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</si>
  <si>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</si>
  <si>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</si>
  <si>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</si>
  <si>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</si>
  <si>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</si>
  <si>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</si>
  <si>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</si>
  <si>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</si>
  <si>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</si>
  <si>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</si>
  <si>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</si>
  <si>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</si>
  <si>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</si>
  <si>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</si>
  <si>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</si>
  <si>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</si>
  <si>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</si>
  <si>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</si>
  <si>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</si>
  <si>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</si>
  <si>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Sparging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</si>
  <si>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</si>
  <si>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</si>
  <si>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</si>
  <si>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</si>
  <si>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</si>
  <si>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</si>
  <si>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</si>
  <si>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</si>
  <si>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</si>
  <si>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</si>
  <si>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</si>
  <si>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</si>
  <si>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</si>
  <si>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</si>
  <si>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</si>
  <si>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</si>
  <si>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</si>
  <si>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</si>
  <si>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</si>
  <si>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</si>
  <si>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</si>
  <si>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</si>
  <si>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</si>
  <si>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</si>
  <si>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</si>
  <si>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</si>
  <si>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</si>
  <si>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</si>
  <si>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</si>
  <si>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</si>
  <si>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</si>
  <si>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</si>
  <si>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</si>
  <si>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</si>
  <si>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</si>
  <si>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</si>
  <si>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</si>
  <si>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</si>
  <si>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</si>
  <si>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</si>
  <si>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</si>
  <si>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</si>
  <si>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</si>
  <si>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</si>
  <si>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</si>
  <si>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</si>
  <si>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</si>
  <si>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</si>
  <si>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</si>
  <si>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</si>
  <si>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</si>
  <si>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</si>
  <si>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</si>
  <si>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</si>
  <si>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</si>
  <si>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</si>
  <si>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</si>
  <si>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</si>
  <si>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</si>
  <si>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</si>
  <si>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</si>
  <si>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</si>
  <si>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</si>
  <si>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</si>
  <si>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</si>
  <si>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</si>
  <si>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</si>
  <si>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</si>
  <si>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</si>
  <si>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</si>
  <si>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</si>
  <si>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</si>
  <si>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</si>
  <si>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</si>
  <si>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</si>
  <si>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</si>
  <si>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</si>
  <si>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</si>
  <si>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</si>
  <si>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</si>
  <si>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Dry Hop</t>
  </si>
  <si>
    <t>Amount of beer left in fermenter when kegging or bottling. (2 qt per carboy fementer on my system.)</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</si>
  <si>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</si>
  <si>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</si>
  <si>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</si>
  <si>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</si>
  <si>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</si>
  <si>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</si>
  <si>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</si>
  <si>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</si>
  <si>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</si>
  <si>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</si>
  <si>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</si>
  <si>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</si>
  <si>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</si>
  <si>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</si>
  <si>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</si>
  <si>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</si>
  <si>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</si>
  <si>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</si>
  <si>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Chicago (Lake Michigan)</t>
  </si>
  <si>
    <t>Rate of evaporation during the boil.</t>
  </si>
  <si>
    <t>Notes</t>
  </si>
  <si>
    <t>2 per 6.5 gal carboy</t>
  </si>
  <si>
    <t>Hydrometer Calibration Temp</t>
  </si>
  <si>
    <t>Hydrometer calibration temperature as indicated by your hydrometer.</t>
  </si>
  <si>
    <t>Temperature of initial water addition for mashing. NOTE: Assumes a preh-heated mash tun.</t>
  </si>
  <si>
    <t>Mash pH</t>
  </si>
  <si>
    <t>Account for losses and wort cooling shrinkage</t>
  </si>
  <si>
    <t>Hop Absorption Rate</t>
  </si>
  <si>
    <t>Design</t>
  </si>
  <si>
    <t>Hydro.</t>
  </si>
  <si>
    <t>Corr SG</t>
  </si>
  <si>
    <t>Total Hops</t>
  </si>
  <si>
    <t>Pre-Boil S.G.</t>
  </si>
  <si>
    <t>Refracto.</t>
  </si>
  <si>
    <t>Ferm Temp:</t>
  </si>
  <si>
    <t>When</t>
  </si>
  <si>
    <t>Brewing Process Parameters</t>
  </si>
  <si>
    <t>Original Gravity</t>
  </si>
  <si>
    <t>Preferred SG Tool</t>
  </si>
  <si>
    <t>O.G.:</t>
  </si>
  <si>
    <t>F.G.:</t>
  </si>
  <si>
    <t>Batch Vol:</t>
  </si>
  <si>
    <t>Pre-Boil SG:</t>
  </si>
  <si>
    <t>Ferm Vol:</t>
  </si>
  <si>
    <t>Fermenter Volume</t>
  </si>
  <si>
    <t xml:space="preserve">Amount of wort left in kettle after racking to fermenter. </t>
  </si>
  <si>
    <t>Spike 20G kettle: 5 qt when pumped, 8 qt when gravity drained. Grainfather: 2.25</t>
  </si>
  <si>
    <t>Coleman 70qt: 1.5 when pumped, 3.5 when gravity drained. Grainfather: 0</t>
  </si>
  <si>
    <t>Refrac</t>
  </si>
  <si>
    <t>Extract Eff.:</t>
  </si>
  <si>
    <t>Strike Water Volume</t>
  </si>
  <si>
    <t>Sparge Water Req'd</t>
  </si>
  <si>
    <t>Total Water Req'd</t>
  </si>
  <si>
    <t>Amount of sparge water required to get pre boil volume</t>
  </si>
  <si>
    <t>Recipe Outputs</t>
  </si>
  <si>
    <t>Target Batch Size</t>
  </si>
  <si>
    <t>Grain Absorption Rate</t>
  </si>
  <si>
    <t>Temperature within milled grains just prior to mashing. (Used to calculate strike water temperature.)</t>
  </si>
  <si>
    <t xml:space="preserve">Typical range: 148-156°F (64-69°C). (Higher temp promotes a fuller bodied beer. Lower temp promotes a lighter bodied beer.) </t>
  </si>
  <si>
    <t>Default setting: .5 for US units, 1.043 for Metric units. (Good value to use when grain bill &gt;80% 2-row pale malt.)</t>
  </si>
  <si>
    <t>Large percentages of kilned/roasted malts (such as Vienna) require a larger value approaching .7</t>
  </si>
  <si>
    <t>Mash extract efficiency; typically 65-80% for batch sparging, 75-90% for fly sparging.</t>
  </si>
  <si>
    <t>Length of boil.</t>
  </si>
  <si>
    <t>Amount of water absorbed by hops per unit measure.</t>
  </si>
  <si>
    <t>Hop Loss</t>
  </si>
  <si>
    <t>Boil / Rack to Fermenter</t>
  </si>
  <si>
    <t>Amount remaining in the kettle after cooling and before racking to fermenter.</t>
  </si>
  <si>
    <t>Wort to be lost due to absorption by hops.</t>
  </si>
  <si>
    <t>Coleman 70 qt mashtun: 65 qt. Grainfather: 32 qt</t>
  </si>
  <si>
    <t>Spike 20G kettle: 80 qt. Grainfather: 32 qt.</t>
  </si>
  <si>
    <t>Pale Ale Malt: Pale Ale Malt (Rahr)</t>
  </si>
  <si>
    <t>https://www.mydigitalpublication.com/publication/?m=53118&amp;l=1&amp;p=&amp;pn=#{%22issue_id%22:453924,%22page%22:50}</t>
  </si>
  <si>
    <t>Amount of wort left in mash tun after draining. Used for calculating sparge water required.</t>
  </si>
  <si>
    <t>Hydrometer calibration offset value. (Be sure to test/calibrate your hydrometer in distilled water.)</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</si>
  <si>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</si>
  <si>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</si>
  <si>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</si>
  <si>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</si>
  <si>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</si>
  <si>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</si>
  <si>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</si>
  <si>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</si>
  <si>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</si>
  <si>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</si>
  <si>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</si>
  <si>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</si>
  <si>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</si>
  <si>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</si>
  <si>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</si>
  <si>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</si>
  <si>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</si>
  <si>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</si>
  <si>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</si>
  <si>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</si>
  <si>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</si>
  <si>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</si>
  <si>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</si>
  <si>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</si>
  <si>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</si>
  <si>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</si>
  <si>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</si>
  <si>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</si>
  <si>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</si>
  <si>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</si>
  <si>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</si>
  <si>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</si>
  <si>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</si>
  <si>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</si>
  <si>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</si>
  <si>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</si>
  <si>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</si>
  <si>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</si>
  <si>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</si>
  <si>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</si>
  <si>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</si>
  <si>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</si>
  <si>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</si>
  <si>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</si>
  <si>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</si>
  <si>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</si>
  <si>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</si>
  <si>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</si>
  <si>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</si>
  <si>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</si>
  <si>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</si>
  <si>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</si>
  <si>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</si>
  <si>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</si>
  <si>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</si>
  <si>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</si>
  <si>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</si>
  <si>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</si>
  <si>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</si>
  <si>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</si>
  <si>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</si>
  <si>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</si>
  <si>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</si>
  <si>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</si>
  <si>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</si>
  <si>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</si>
  <si>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</si>
  <si>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</si>
  <si>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</si>
  <si>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</si>
  <si>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</si>
  <si>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</si>
  <si>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</si>
  <si>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</si>
  <si>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</si>
  <si>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</si>
  <si>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</si>
  <si>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</si>
  <si>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</si>
  <si>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</si>
  <si>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</si>
  <si>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</si>
  <si>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</si>
  <si>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</si>
  <si>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</si>
  <si>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</si>
  <si>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</si>
  <si>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</si>
  <si>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</si>
  <si>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</si>
  <si>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</si>
  <si>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</si>
  <si>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</si>
  <si>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</si>
  <si>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</si>
  <si>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</si>
  <si>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</si>
  <si>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</si>
  <si>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</si>
  <si>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</si>
  <si>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</si>
  <si>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</si>
  <si>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</si>
  <si>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</si>
  <si>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</si>
  <si>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</si>
  <si>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</si>
  <si>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</si>
  <si>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Estimated Mash pH</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</si>
  <si>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</si>
  <si>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</si>
  <si>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</si>
  <si>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</si>
  <si>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</si>
  <si>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</si>
  <si>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</si>
  <si>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</si>
  <si>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</si>
  <si>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</si>
  <si>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</si>
  <si>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</si>
  <si>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</si>
  <si>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</si>
  <si>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</si>
  <si>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</si>
  <si>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</si>
  <si>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</si>
  <si>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</si>
  <si>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</si>
  <si>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</si>
  <si>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</si>
  <si>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</si>
  <si>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</si>
  <si>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</si>
  <si>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</si>
  <si>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</si>
  <si>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</si>
  <si>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</si>
  <si>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</si>
  <si>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</si>
  <si>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</si>
  <si>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</si>
  <si>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</si>
  <si>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rPr>
      <t>s</t>
    </r>
    <r>
      <rPr>
        <vertAlign val="superscript"/>
        <sz val="11"/>
        <color theme="1"/>
        <rFont val="Calibri"/>
        <family val="2"/>
        <scheme val="minor"/>
      </rPr>
      <t>2</t>
    </r>
    <r>
      <rPr>
        <sz val="10"/>
        <rFont val="Arial"/>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</si>
  <si>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</si>
  <si>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</si>
  <si>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</si>
  <si>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</si>
  <si>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</si>
  <si>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</si>
  <si>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</si>
  <si>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rPr>
      <t>/sec</t>
    </r>
  </si>
  <si>
    <t>Fluid Velocity</t>
  </si>
  <si>
    <t>v</t>
  </si>
  <si>
    <t>ft/sec</t>
  </si>
  <si>
    <t>Dynamic Viscosity (@40 deg F)</t>
  </si>
  <si>
    <t>u</t>
  </si>
  <si>
    <r>
      <t>lb</t>
    </r>
    <r>
      <rPr>
        <vertAlign val="subscript"/>
        <sz val="11"/>
        <color theme="1"/>
        <rFont val="Calibri"/>
        <family val="2"/>
        <scheme val="minor"/>
      </rPr>
      <t>f</t>
    </r>
    <r>
      <rPr>
        <sz val="10"/>
        <rFont val="Arial"/>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</si>
  <si>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</si>
  <si>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</si>
  <si>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</si>
  <si>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</si>
  <si>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</si>
  <si>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</si>
  <si>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</si>
  <si>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</si>
  <si>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</si>
  <si>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</si>
  <si>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</si>
  <si>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</si>
  <si>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</si>
  <si>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</si>
  <si>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</si>
  <si>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</si>
  <si>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</si>
  <si>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</si>
  <si>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</si>
  <si>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</si>
  <si>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</si>
  <si>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</si>
  <si>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</si>
  <si>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</si>
  <si>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</si>
  <si>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</si>
  <si>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</si>
  <si>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</si>
  <si>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</si>
  <si>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Final 
Gravity</t>
  </si>
  <si>
    <t>NOTES: Recipe adapted from BYO Magazine recipe, modified for the Grainfather, and scaled up to provide 5.5 gallons into the fermenter. 60 min mash. Mash out at 168 for 10 min. Dry hop on day 5.</t>
  </si>
  <si>
    <t>Sparge Method</t>
  </si>
  <si>
    <t>Desired flow rate if fly sparging. Leave blank if using other method.</t>
  </si>
  <si>
    <t>Sparge method to use. Choose from 'Batch', 'Fly', or 'BIAB'.</t>
  </si>
  <si>
    <t>Hop Stand:</t>
  </si>
  <si>
    <t>CTZ</t>
  </si>
  <si>
    <t>14.5-16.5%</t>
  </si>
  <si>
    <t>Columbus, Tomahawk, and Zeus. High on the bittering scale yet also valued for its oil content.</t>
  </si>
  <si>
    <t>Hydrometer</t>
  </si>
  <si>
    <t>Grainfather: 2 qt/hr. Spike 20 gal kettle: TBD</t>
  </si>
  <si>
    <t>Final amount of finished beer going into keg or bottles after fermentation is complete.</t>
  </si>
  <si>
    <t>0.1 is a generic value</t>
  </si>
  <si>
    <t>Batch</t>
  </si>
  <si>
    <t>Extract Efficiency
(Grains Only)</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</si>
  <si>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or BIAB methods that also change the related sparging section on the Recipe Sheet.
- 1st attempt to account for IBUs from Hop Stands.
- Added more popup explanations for cells.
- Added CTZ hops
- Updated/Fixed actual Extract Efficiency to account for, and remove, any SG related sugar additions so that only the mashed grains are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</si>
</sst>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s>
  <fonts count="48" x14ac:knownFonts="1">
    <font>
      <sz val="10"/>
      <name val="Arial"/>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sz val="8"/>
      <color rgb="FF3D3626"/>
      <name val="Arial"/>
      <family val="2"/>
    </font>
    <font>
      <b/>
      <vertAlign val="subscript"/>
      <sz val="10"/>
      <name val="Arial"/>
      <family val="2"/>
    </font>
    <font>
      <i/>
      <sz val="10"/>
      <name val="Arial"/>
      <family val="2"/>
    </font>
    <font>
      <b/>
      <sz val="11"/>
      <color theme="1"/>
      <name val="Calibri"/>
      <family val="2"/>
      <scheme val="minor"/>
    </font>
    <font>
      <sz val="9"/>
      <name val="Arial"/>
      <family val="2"/>
    </font>
    <font>
      <u/>
      <sz val="9"/>
      <color theme="10"/>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s>
  <fills count="1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679555650502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ck">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s>
  <cellStyleXfs count="8">
    <xf numFmtId="0" fontId="0" fillId="0" borderId="0"/>
    <xf numFmtId="9" fontId="8" fillId="0" borderId="0" applyFont="0" applyFill="0" applyBorder="0" applyAlignment="0" applyProtection="0"/>
    <xf numFmtId="0" fontId="9"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37" fillId="0" borderId="0" applyNumberFormat="0" applyFill="0" applyBorder="0" applyAlignment="0" applyProtection="0">
      <alignment vertical="top"/>
      <protection locked="0"/>
    </xf>
    <xf numFmtId="0" fontId="1" fillId="0" borderId="0"/>
    <xf numFmtId="0" fontId="45" fillId="0" borderId="0" applyNumberFormat="0" applyFill="0" applyBorder="0" applyAlignment="0" applyProtection="0"/>
  </cellStyleXfs>
  <cellXfs count="903">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6" fillId="0" borderId="0" xfId="0" applyFont="1" applyAlignment="1">
      <alignment horizontal="center" vertical="center" wrapText="1"/>
    </xf>
    <xf numFmtId="0" fontId="3" fillId="0" borderId="1" xfId="0" applyFont="1" applyBorder="1" applyAlignment="1">
      <alignment horizontal="center" vertical="top" wrapText="1"/>
    </xf>
    <xf numFmtId="165" fontId="0" fillId="0" borderId="1" xfId="0" applyNumberFormat="1" applyBorder="1" applyAlignment="1">
      <alignment horizontal="center"/>
    </xf>
    <xf numFmtId="0" fontId="3" fillId="0" borderId="1" xfId="0" applyNumberFormat="1" applyFont="1" applyBorder="1" applyAlignment="1">
      <alignment horizontal="center" vertical="top" wrapText="1"/>
    </xf>
    <xf numFmtId="0" fontId="0" fillId="0" borderId="1" xfId="0" applyBorder="1" applyAlignment="1">
      <alignment horizontal="left"/>
    </xf>
    <xf numFmtId="0" fontId="0" fillId="0" borderId="1" xfId="0" applyNumberFormat="1" applyBorder="1" applyAlignment="1">
      <alignment horizontal="center"/>
    </xf>
    <xf numFmtId="0" fontId="5" fillId="0" borderId="0" xfId="0" applyFont="1"/>
    <xf numFmtId="0" fontId="0" fillId="0" borderId="1" xfId="0" applyBorder="1" applyAlignment="1">
      <alignment horizontal="center"/>
    </xf>
    <xf numFmtId="0" fontId="3" fillId="0" borderId="1" xfId="0" applyFont="1" applyBorder="1"/>
    <xf numFmtId="0" fontId="3"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3" fillId="0" borderId="6" xfId="0" applyFont="1" applyBorder="1" applyAlignment="1">
      <alignment horizontal="center" vertical="center" wrapText="1"/>
    </xf>
    <xf numFmtId="2" fontId="0" fillId="4" borderId="1" xfId="0" applyNumberForma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horizontal="right"/>
    </xf>
    <xf numFmtId="2" fontId="3" fillId="0" borderId="0" xfId="0" applyNumberFormat="1" applyFont="1" applyAlignment="1">
      <alignment horizontal="right"/>
    </xf>
    <xf numFmtId="0" fontId="0" fillId="5" borderId="1" xfId="0" applyFill="1" applyBorder="1" applyAlignment="1">
      <alignment horizontal="center"/>
    </xf>
    <xf numFmtId="0" fontId="0" fillId="0" borderId="0" xfId="0" applyAlignment="1">
      <alignment horizontal="center" vertical="center" wrapText="1"/>
    </xf>
    <xf numFmtId="2" fontId="0" fillId="5" borderId="1" xfId="0" applyNumberFormat="1" applyFill="1" applyBorder="1" applyAlignment="1">
      <alignment horizontal="center"/>
    </xf>
    <xf numFmtId="166" fontId="0" fillId="0" borderId="0" xfId="0" applyNumberFormat="1"/>
    <xf numFmtId="0" fontId="2" fillId="0" borderId="0" xfId="0" applyFont="1" applyBorder="1" applyAlignment="1">
      <alignment horizontal="center"/>
    </xf>
    <xf numFmtId="0" fontId="3" fillId="0" borderId="0" xfId="0" applyFont="1" applyBorder="1" applyAlignment="1">
      <alignment horizontal="left"/>
    </xf>
    <xf numFmtId="0" fontId="0" fillId="0" borderId="0" xfId="0" applyAlignment="1">
      <alignment horizontal="center"/>
    </xf>
    <xf numFmtId="0" fontId="3" fillId="0" borderId="1" xfId="0" applyFont="1" applyBorder="1" applyAlignment="1">
      <alignment horizontal="right"/>
    </xf>
    <xf numFmtId="164" fontId="0" fillId="5" borderId="1" xfId="0" applyNumberFormat="1" applyFill="1" applyBorder="1" applyAlignment="1">
      <alignment horizontal="center"/>
    </xf>
    <xf numFmtId="0" fontId="0" fillId="0" borderId="0" xfId="0" applyAlignment="1">
      <alignment horizontal="center"/>
    </xf>
    <xf numFmtId="2" fontId="0" fillId="6" borderId="6" xfId="0" applyNumberFormat="1" applyFill="1" applyBorder="1" applyAlignment="1" applyProtection="1">
      <alignment horizontal="center"/>
      <protection locked="0"/>
    </xf>
    <xf numFmtId="9" fontId="0" fillId="6" borderId="6" xfId="1" applyFont="1" applyFill="1" applyBorder="1" applyAlignment="1" applyProtection="1">
      <alignment horizontal="center"/>
      <protection locked="0"/>
    </xf>
    <xf numFmtId="167" fontId="0" fillId="6" borderId="6" xfId="0" applyNumberFormat="1" applyFill="1" applyBorder="1" applyAlignment="1" applyProtection="1">
      <alignment horizontal="center"/>
      <protection locked="0"/>
    </xf>
    <xf numFmtId="1" fontId="0" fillId="6" borderId="1" xfId="1" applyNumberFormat="1" applyFont="1" applyFill="1" applyBorder="1" applyAlignment="1" applyProtection="1">
      <alignment horizontal="center"/>
      <protection locked="0"/>
    </xf>
    <xf numFmtId="166" fontId="0" fillId="6" borderId="1" xfId="1" applyNumberFormat="1" applyFont="1" applyFill="1" applyBorder="1" applyAlignment="1" applyProtection="1">
      <alignment horizontal="center"/>
      <protection locked="0"/>
    </xf>
    <xf numFmtId="167" fontId="0" fillId="6" borderId="1" xfId="1" applyNumberFormat="1" applyFont="1" applyFill="1" applyBorder="1" applyAlignment="1" applyProtection="1">
      <alignment horizontal="center"/>
      <protection locked="0"/>
    </xf>
    <xf numFmtId="2" fontId="0" fillId="6" borderId="1" xfId="0" applyNumberFormat="1" applyFill="1" applyBorder="1" applyAlignment="1" applyProtection="1">
      <alignment horizontal="center"/>
      <protection locked="0"/>
    </xf>
    <xf numFmtId="9" fontId="0" fillId="6" borderId="1" xfId="0" applyNumberFormat="1" applyFill="1" applyBorder="1" applyAlignment="1" applyProtection="1">
      <alignment horizontal="center"/>
      <protection locked="0"/>
    </xf>
    <xf numFmtId="166" fontId="0" fillId="6" borderId="1" xfId="0" applyNumberFormat="1" applyFill="1" applyBorder="1" applyAlignment="1" applyProtection="1">
      <alignment horizontal="center"/>
      <protection locked="0"/>
    </xf>
    <xf numFmtId="0" fontId="3" fillId="0" borderId="0" xfId="0" applyFont="1" applyAlignment="1">
      <alignment horizontal="right"/>
    </xf>
    <xf numFmtId="0" fontId="3" fillId="6" borderId="1" xfId="0" applyFont="1" applyFill="1" applyBorder="1" applyAlignment="1" applyProtection="1">
      <alignment horizontal="center"/>
      <protection locked="0"/>
    </xf>
    <xf numFmtId="0" fontId="3" fillId="0" borderId="0" xfId="0" applyFont="1" applyAlignment="1" applyProtection="1">
      <alignment vertical="top" wrapText="1"/>
      <protection locked="0"/>
    </xf>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right"/>
    </xf>
    <xf numFmtId="0" fontId="3" fillId="0" borderId="0" xfId="0" applyFont="1" applyAlignment="1">
      <alignment horizontal="center"/>
    </xf>
    <xf numFmtId="0" fontId="0" fillId="0" borderId="0" xfId="0" applyAlignment="1">
      <alignment horizontal="center"/>
    </xf>
    <xf numFmtId="0" fontId="10" fillId="0" borderId="0" xfId="0" applyFont="1"/>
    <xf numFmtId="0" fontId="2" fillId="0" borderId="0" xfId="0" applyFont="1"/>
    <xf numFmtId="9" fontId="0" fillId="0" borderId="0" xfId="0" applyNumberFormat="1"/>
    <xf numFmtId="10" fontId="0" fillId="0" borderId="0" xfId="0" applyNumberFormat="1"/>
    <xf numFmtId="0" fontId="2" fillId="0" borderId="6" xfId="0" applyFont="1" applyBorder="1" applyAlignment="1">
      <alignment horizontal="right"/>
    </xf>
    <xf numFmtId="2" fontId="0" fillId="5" borderId="10" xfId="0" applyNumberFormat="1" applyFill="1" applyBorder="1" applyAlignment="1">
      <alignment horizontal="center"/>
    </xf>
    <xf numFmtId="0" fontId="3" fillId="6" borderId="1" xfId="0" applyFont="1" applyFill="1" applyBorder="1" applyAlignment="1" applyProtection="1">
      <alignment horizontal="center"/>
      <protection locked="0"/>
    </xf>
    <xf numFmtId="0" fontId="2" fillId="0" borderId="1" xfId="0" applyFont="1" applyBorder="1" applyAlignment="1">
      <alignment horizontal="center"/>
    </xf>
    <xf numFmtId="0" fontId="2" fillId="0" borderId="6" xfId="0" applyFont="1" applyBorder="1" applyAlignment="1">
      <alignment horizontal="center"/>
    </xf>
    <xf numFmtId="0" fontId="0" fillId="0" borderId="0" xfId="0" applyAlignment="1">
      <alignment horizontal="center"/>
    </xf>
    <xf numFmtId="0" fontId="0" fillId="0" borderId="1" xfId="0" applyBorder="1"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5" borderId="10" xfId="0" applyFont="1" applyFill="1" applyBorder="1" applyAlignment="1">
      <alignment horizontal="center" vertical="center" wrapText="1"/>
    </xf>
    <xf numFmtId="0" fontId="2" fillId="0" borderId="9" xfId="0" applyFont="1" applyBorder="1" applyAlignment="1">
      <alignment horizontal="center" vertical="center" wrapText="1"/>
    </xf>
    <xf numFmtId="0" fontId="3" fillId="6" borderId="1" xfId="0" applyFont="1" applyFill="1" applyBorder="1" applyAlignment="1" applyProtection="1">
      <alignment horizontal="center"/>
      <protection locked="0"/>
    </xf>
    <xf numFmtId="167" fontId="0" fillId="0" borderId="0" xfId="1" applyNumberFormat="1" applyFont="1"/>
    <xf numFmtId="0" fontId="0" fillId="7" borderId="1" xfId="0" applyFill="1" applyBorder="1" applyAlignment="1">
      <alignment horizontal="center"/>
    </xf>
    <xf numFmtId="2" fontId="0" fillId="7" borderId="1" xfId="0" applyNumberFormat="1" applyFill="1" applyBorder="1" applyAlignment="1">
      <alignment horizontal="center"/>
    </xf>
    <xf numFmtId="166" fontId="3" fillId="5" borderId="10" xfId="0" applyNumberFormat="1" applyFont="1" applyFill="1" applyBorder="1" applyAlignment="1">
      <alignment horizontal="center"/>
    </xf>
    <xf numFmtId="164" fontId="0" fillId="5" borderId="10" xfId="0" applyNumberFormat="1" applyFill="1" applyBorder="1" applyAlignment="1">
      <alignment horizontal="center"/>
    </xf>
    <xf numFmtId="9" fontId="0" fillId="5" borderId="10" xfId="1" applyFont="1" applyFill="1" applyBorder="1" applyAlignment="1">
      <alignment horizontal="center"/>
    </xf>
    <xf numFmtId="2" fontId="0" fillId="2" borderId="1" xfId="0" applyNumberFormat="1"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3" fillId="0" borderId="0" xfId="0" applyFont="1" applyAlignment="1">
      <alignment vertical="top" wrapText="1"/>
    </xf>
    <xf numFmtId="14" fontId="0" fillId="0" borderId="0" xfId="0" applyNumberFormat="1" applyAlignment="1">
      <alignment horizontal="center" vertical="top"/>
    </xf>
    <xf numFmtId="0" fontId="9" fillId="0" borderId="0" xfId="2" applyAlignment="1" applyProtection="1">
      <alignment horizontal="center"/>
    </xf>
    <xf numFmtId="2" fontId="3" fillId="5" borderId="1" xfId="0" applyNumberFormat="1" applyFont="1" applyFill="1" applyBorder="1" applyAlignment="1" applyProtection="1">
      <alignment horizontal="center" vertical="center"/>
    </xf>
    <xf numFmtId="2" fontId="3" fillId="5" borderId="1" xfId="0" applyNumberFormat="1" applyFont="1" applyFill="1" applyBorder="1" applyAlignment="1" applyProtection="1">
      <alignment horizontal="center"/>
    </xf>
    <xf numFmtId="164" fontId="0" fillId="5" borderId="1" xfId="0" applyNumberFormat="1" applyFill="1" applyBorder="1" applyAlignment="1" applyProtection="1">
      <alignment horizontal="center"/>
    </xf>
    <xf numFmtId="2" fontId="0" fillId="5" borderId="1" xfId="0" applyNumberFormat="1" applyFill="1" applyBorder="1" applyAlignment="1" applyProtection="1">
      <alignment horizontal="center"/>
    </xf>
    <xf numFmtId="167" fontId="0" fillId="5" borderId="1" xfId="1" applyNumberFormat="1" applyFont="1" applyFill="1" applyBorder="1" applyAlignment="1" applyProtection="1">
      <alignment horizontal="center"/>
    </xf>
    <xf numFmtId="0" fontId="3" fillId="5" borderId="1" xfId="0" applyFont="1" applyFill="1" applyBorder="1" applyAlignment="1" applyProtection="1">
      <alignment horizontal="center"/>
    </xf>
    <xf numFmtId="0" fontId="0" fillId="5" borderId="1" xfId="0" applyFill="1" applyBorder="1" applyAlignment="1" applyProtection="1">
      <alignment horizontal="center"/>
    </xf>
    <xf numFmtId="166" fontId="0" fillId="5" borderId="1" xfId="0" applyNumberFormat="1" applyFill="1" applyBorder="1" applyAlignment="1" applyProtection="1">
      <alignment horizontal="center"/>
    </xf>
    <xf numFmtId="167" fontId="0" fillId="5" borderId="1" xfId="0" applyNumberFormat="1" applyFill="1" applyBorder="1" applyAlignment="1" applyProtection="1">
      <alignment horizontal="center"/>
    </xf>
    <xf numFmtId="0" fontId="3" fillId="7" borderId="1" xfId="0" applyFont="1" applyFill="1" applyBorder="1" applyAlignment="1">
      <alignment horizontal="center"/>
    </xf>
    <xf numFmtId="0" fontId="0" fillId="0" borderId="15" xfId="0" applyFont="1" applyFill="1" applyBorder="1" applyAlignment="1">
      <alignment horizontal="center" vertical="center" wrapText="1"/>
    </xf>
    <xf numFmtId="0" fontId="0" fillId="0" borderId="0" xfId="0" applyFont="1" applyFill="1"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3" fillId="0" borderId="0" xfId="0" applyFont="1" applyFill="1" applyBorder="1" applyAlignment="1">
      <alignment horizontal="center" vertical="center" wrapText="1"/>
    </xf>
    <xf numFmtId="0" fontId="3" fillId="0" borderId="0" xfId="0" applyFont="1" applyFill="1" applyBorder="1" applyAlignment="1">
      <alignment horizontal="center"/>
    </xf>
    <xf numFmtId="0" fontId="0" fillId="0" borderId="0" xfId="0" applyFont="1" applyAlignment="1">
      <alignment horizontal="center"/>
    </xf>
    <xf numFmtId="14" fontId="0" fillId="0" borderId="0" xfId="0" applyNumberFormat="1"/>
    <xf numFmtId="0" fontId="0" fillId="0" borderId="0" xfId="0" applyAlignment="1">
      <alignment horizontal="center"/>
    </xf>
    <xf numFmtId="0" fontId="0" fillId="0" borderId="0" xfId="0" applyAlignment="1">
      <alignment wrapText="1"/>
    </xf>
    <xf numFmtId="0" fontId="0" fillId="0" borderId="0" xfId="0" applyAlignment="1">
      <alignment horizontal="center"/>
    </xf>
    <xf numFmtId="14" fontId="0" fillId="0" borderId="0" xfId="0" applyNumberFormat="1" applyAlignment="1">
      <alignment vertical="top"/>
    </xf>
    <xf numFmtId="0" fontId="2" fillId="0" borderId="0" xfId="0" applyFont="1" applyAlignment="1">
      <alignment horizontal="center" vertical="center" wrapText="1"/>
    </xf>
    <xf numFmtId="0" fontId="0" fillId="0" borderId="0" xfId="0" applyAlignment="1">
      <alignment horizontal="center" wrapText="1"/>
    </xf>
    <xf numFmtId="1" fontId="3" fillId="0" borderId="0" xfId="0" applyNumberFormat="1" applyFont="1" applyAlignment="1">
      <alignment horizontal="center"/>
    </xf>
    <xf numFmtId="0" fontId="0" fillId="7" borderId="1" xfId="0" applyFill="1" applyBorder="1" applyAlignment="1">
      <alignment horizontal="center"/>
    </xf>
    <xf numFmtId="0" fontId="2" fillId="0" borderId="10" xfId="0" applyFont="1" applyBorder="1" applyAlignment="1">
      <alignment horizontal="center"/>
    </xf>
    <xf numFmtId="0" fontId="0" fillId="0" borderId="0" xfId="0" applyAlignment="1">
      <alignment horizontal="center"/>
    </xf>
    <xf numFmtId="0" fontId="0" fillId="6" borderId="1" xfId="0" applyFill="1" applyBorder="1" applyAlignment="1" applyProtection="1">
      <alignment horizontal="center"/>
      <protection locked="0"/>
    </xf>
    <xf numFmtId="0" fontId="3" fillId="0" borderId="1" xfId="0" applyFon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3" fillId="0" borderId="1" xfId="0" applyFont="1" applyFill="1" applyBorder="1" applyAlignment="1">
      <alignment horizontal="center"/>
    </xf>
    <xf numFmtId="0" fontId="2" fillId="0" borderId="19" xfId="0" applyFont="1" applyBorder="1" applyAlignment="1">
      <alignment horizontal="center"/>
    </xf>
    <xf numFmtId="0" fontId="3" fillId="0" borderId="21" xfId="0" applyFont="1" applyBorder="1"/>
    <xf numFmtId="0" fontId="3" fillId="0" borderId="21" xfId="0" applyFont="1" applyBorder="1" applyAlignment="1">
      <alignment horizontal="left"/>
    </xf>
    <xf numFmtId="0" fontId="3" fillId="0" borderId="23" xfId="0" applyFont="1" applyBorder="1"/>
    <xf numFmtId="166" fontId="3" fillId="0" borderId="21" xfId="0" applyNumberFormat="1" applyFont="1" applyBorder="1" applyAlignment="1">
      <alignment horizontal="left"/>
    </xf>
    <xf numFmtId="0" fontId="3" fillId="0" borderId="21" xfId="0" applyFont="1" applyFill="1" applyBorder="1"/>
    <xf numFmtId="166" fontId="3" fillId="7" borderId="1" xfId="0" applyNumberFormat="1" applyFont="1" applyFill="1" applyBorder="1" applyAlignment="1">
      <alignment horizontal="center"/>
    </xf>
    <xf numFmtId="0" fontId="3" fillId="7" borderId="24" xfId="0" applyFont="1" applyFill="1" applyBorder="1" applyAlignment="1">
      <alignment horizontal="center"/>
    </xf>
    <xf numFmtId="0" fontId="3" fillId="7" borderId="10" xfId="0" applyFont="1" applyFill="1" applyBorder="1" applyAlignment="1">
      <alignment horizontal="center"/>
    </xf>
    <xf numFmtId="0" fontId="0" fillId="0" borderId="22" xfId="0" applyBorder="1"/>
    <xf numFmtId="0" fontId="0" fillId="0" borderId="19" xfId="0" applyBorder="1"/>
    <xf numFmtId="0" fontId="0" fillId="0" borderId="21" xfId="0" applyFill="1" applyBorder="1"/>
    <xf numFmtId="166" fontId="0" fillId="7" borderId="10" xfId="0" applyNumberFormat="1" applyFill="1" applyBorder="1" applyAlignment="1">
      <alignment horizontal="center"/>
    </xf>
    <xf numFmtId="0" fontId="0" fillId="6" borderId="1" xfId="0" applyFill="1" applyBorder="1" applyAlignment="1" applyProtection="1">
      <alignment horizontal="center"/>
      <protection locked="0"/>
    </xf>
    <xf numFmtId="0" fontId="0" fillId="7" borderId="1" xfId="0" applyFill="1" applyBorder="1" applyAlignment="1">
      <alignment horizontal="center"/>
    </xf>
    <xf numFmtId="169" fontId="3" fillId="0" borderId="0" xfId="0" applyNumberFormat="1" applyFont="1"/>
    <xf numFmtId="0" fontId="9" fillId="0" borderId="0" xfId="2" applyAlignment="1" applyProtection="1">
      <alignment horizontal="center"/>
    </xf>
    <xf numFmtId="0" fontId="0" fillId="0" borderId="0" xfId="0" applyAlignment="1">
      <alignment horizontal="center"/>
    </xf>
    <xf numFmtId="0" fontId="0" fillId="0" borderId="0" xfId="0" applyAlignment="1">
      <alignment horizontal="center"/>
    </xf>
    <xf numFmtId="0" fontId="9" fillId="0" borderId="0" xfId="2" applyAlignment="1" applyProtection="1"/>
    <xf numFmtId="0" fontId="9" fillId="0" borderId="0" xfId="2" applyAlignment="1" applyProtection="1">
      <alignment wrapText="1"/>
    </xf>
    <xf numFmtId="0" fontId="0" fillId="0" borderId="0" xfId="0" applyAlignment="1">
      <alignment horizontal="center"/>
    </xf>
    <xf numFmtId="0" fontId="2" fillId="0" borderId="9"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center"/>
    </xf>
    <xf numFmtId="0" fontId="2" fillId="0" borderId="0" xfId="0" applyFont="1" applyBorder="1" applyAlignment="1"/>
    <xf numFmtId="0" fontId="3" fillId="0" borderId="15" xfId="0" applyFont="1" applyBorder="1" applyAlignment="1">
      <alignment vertical="center" wrapText="1"/>
    </xf>
    <xf numFmtId="0" fontId="0" fillId="0" borderId="0" xfId="0" applyAlignment="1">
      <alignment horizontal="center"/>
    </xf>
    <xf numFmtId="0" fontId="3" fillId="0" borderId="1" xfId="0" applyFont="1" applyBorder="1" applyAlignment="1">
      <alignment horizontal="center"/>
    </xf>
    <xf numFmtId="166" fontId="0" fillId="2" borderId="1" xfId="0" applyNumberForma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66" fontId="0" fillId="3" borderId="1" xfId="0" applyNumberFormat="1" applyFill="1" applyBorder="1" applyAlignment="1">
      <alignment horizontal="center"/>
    </xf>
    <xf numFmtId="0" fontId="2" fillId="0" borderId="10" xfId="0" applyFont="1" applyBorder="1" applyAlignment="1">
      <alignment horizontal="center"/>
    </xf>
    <xf numFmtId="0" fontId="0" fillId="0" borderId="0" xfId="0"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2" fillId="0" borderId="10" xfId="0" applyFont="1" applyBorder="1" applyAlignment="1">
      <alignment horizontal="center"/>
    </xf>
    <xf numFmtId="0" fontId="9" fillId="0" borderId="0" xfId="2" applyAlignment="1" applyProtection="1">
      <alignment horizontal="center"/>
    </xf>
    <xf numFmtId="0" fontId="3" fillId="0" borderId="1" xfId="0" applyFont="1" applyBorder="1" applyAlignment="1">
      <alignment horizontal="center"/>
    </xf>
    <xf numFmtId="0" fontId="0" fillId="0" borderId="1" xfId="0" applyBorder="1" applyAlignment="1">
      <alignment horizontal="center"/>
    </xf>
    <xf numFmtId="167" fontId="0" fillId="0" borderId="0" xfId="1" applyNumberFormat="1" applyFont="1" applyAlignment="1">
      <alignment horizontal="center"/>
    </xf>
    <xf numFmtId="164" fontId="0" fillId="0" borderId="0" xfId="0" applyNumberFormat="1" applyAlignment="1">
      <alignment horizontal="center"/>
    </xf>
    <xf numFmtId="170" fontId="0" fillId="5" borderId="10" xfId="0" applyNumberFormat="1" applyFill="1" applyBorder="1" applyAlignment="1">
      <alignment horizontal="center"/>
    </xf>
    <xf numFmtId="167" fontId="3" fillId="0" borderId="0" xfId="1" applyNumberFormat="1" applyFont="1" applyAlignment="1">
      <alignment horizontal="center"/>
    </xf>
    <xf numFmtId="0" fontId="9" fillId="0" borderId="11" xfId="2" applyFill="1" applyBorder="1" applyAlignment="1" applyProtection="1">
      <alignment horizontal="center"/>
    </xf>
    <xf numFmtId="167" fontId="0" fillId="6" borderId="32" xfId="1" applyNumberFormat="1" applyFont="1" applyFill="1" applyBorder="1" applyAlignment="1" applyProtection="1">
      <alignment horizontal="center"/>
      <protection locked="0"/>
    </xf>
    <xf numFmtId="0" fontId="2" fillId="0" borderId="10" xfId="0" applyFont="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Border="1"/>
    <xf numFmtId="2" fontId="0" fillId="7" borderId="24" xfId="0" applyNumberFormat="1" applyFill="1" applyBorder="1" applyAlignment="1">
      <alignment horizontal="center"/>
    </xf>
    <xf numFmtId="0" fontId="12" fillId="0" borderId="21" xfId="0" applyFont="1" applyBorder="1" applyAlignment="1">
      <alignment horizontal="center"/>
    </xf>
    <xf numFmtId="166" fontId="0" fillId="7" borderId="9" xfId="0" applyNumberFormat="1" applyFill="1" applyBorder="1" applyAlignment="1">
      <alignment horizontal="center"/>
    </xf>
    <xf numFmtId="0" fontId="3" fillId="7" borderId="9" xfId="0" applyFont="1" applyFill="1" applyBorder="1" applyAlignment="1">
      <alignment horizontal="center"/>
    </xf>
    <xf numFmtId="0" fontId="12" fillId="0" borderId="21" xfId="0" applyFont="1" applyFill="1" applyBorder="1" applyAlignment="1">
      <alignment horizontal="center"/>
    </xf>
    <xf numFmtId="167" fontId="3" fillId="0" borderId="0" xfId="1" applyNumberFormat="1" applyFont="1"/>
    <xf numFmtId="0" fontId="0" fillId="0" borderId="0" xfId="0" applyFont="1"/>
    <xf numFmtId="0" fontId="2" fillId="0" borderId="0" xfId="0" applyFont="1" applyAlignment="1">
      <alignment horizontal="center"/>
    </xf>
    <xf numFmtId="0" fontId="0" fillId="0" borderId="0" xfId="0" applyFont="1" applyAlignment="1">
      <alignment horizontal="center" vertical="center" wrapText="1"/>
    </xf>
    <xf numFmtId="0" fontId="3" fillId="0" borderId="4" xfId="0" applyFont="1" applyBorder="1" applyAlignment="1">
      <alignment horizontal="center"/>
    </xf>
    <xf numFmtId="0" fontId="0" fillId="0" borderId="0" xfId="0"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3" fillId="0" borderId="9" xfId="0" applyFont="1" applyBorder="1" applyAlignment="1">
      <alignment vertical="center" wrapText="1"/>
    </xf>
    <xf numFmtId="166" fontId="3" fillId="5" borderId="1" xfId="0" applyNumberFormat="1" applyFont="1" applyFill="1" applyBorder="1" applyAlignment="1" applyProtection="1">
      <alignment horizontal="center" vertical="center"/>
    </xf>
    <xf numFmtId="166" fontId="3" fillId="5" borderId="9" xfId="0" applyNumberFormat="1" applyFont="1" applyFill="1" applyBorder="1" applyAlignment="1" applyProtection="1">
      <alignment horizontal="center" vertical="center"/>
    </xf>
    <xf numFmtId="0" fontId="0" fillId="0" borderId="9" xfId="0" applyBorder="1" applyAlignment="1">
      <alignment horizontal="center"/>
    </xf>
    <xf numFmtId="2" fontId="3" fillId="5" borderId="2" xfId="0" applyNumberFormat="1" applyFont="1" applyFill="1" applyBorder="1" applyAlignment="1" applyProtection="1">
      <alignment horizontal="center" vertical="center"/>
    </xf>
    <xf numFmtId="166" fontId="3" fillId="5" borderId="10" xfId="0" applyNumberFormat="1" applyFont="1" applyFill="1" applyBorder="1" applyAlignment="1" applyProtection="1">
      <alignment horizontal="center" vertical="center"/>
    </xf>
    <xf numFmtId="166" fontId="3" fillId="5" borderId="36" xfId="0" applyNumberFormat="1" applyFont="1" applyFill="1" applyBorder="1" applyAlignment="1" applyProtection="1">
      <alignment horizontal="center" vertical="center"/>
    </xf>
    <xf numFmtId="2" fontId="3" fillId="5" borderId="36" xfId="0" applyNumberFormat="1" applyFont="1" applyFill="1" applyBorder="1" applyAlignment="1" applyProtection="1">
      <alignment horizontal="center" vertical="center"/>
    </xf>
    <xf numFmtId="0" fontId="3" fillId="6" borderId="1" xfId="0" applyFont="1" applyFill="1" applyBorder="1" applyAlignment="1" applyProtection="1">
      <alignment horizontal="center"/>
      <protection locked="0"/>
    </xf>
    <xf numFmtId="0" fontId="3" fillId="6" borderId="1" xfId="0" applyFont="1" applyFill="1" applyBorder="1" applyAlignment="1" applyProtection="1">
      <alignment horizontal="center"/>
      <protection locked="0"/>
    </xf>
    <xf numFmtId="166" fontId="0" fillId="7" borderId="1" xfId="0" applyNumberFormat="1" applyFill="1" applyBorder="1" applyAlignment="1">
      <alignment horizontal="center"/>
    </xf>
    <xf numFmtId="0" fontId="0" fillId="6" borderId="1" xfId="0" applyFill="1" applyBorder="1" applyAlignment="1" applyProtection="1">
      <alignment horizontal="center"/>
      <protection locked="0"/>
    </xf>
    <xf numFmtId="0" fontId="0" fillId="0" borderId="0" xfId="0" applyAlignment="1">
      <alignment horizontal="center"/>
    </xf>
    <xf numFmtId="0" fontId="0" fillId="0" borderId="1" xfId="0" applyBorder="1" applyAlignment="1">
      <alignment horizontal="center"/>
    </xf>
    <xf numFmtId="0" fontId="0" fillId="9" borderId="1" xfId="0" applyFill="1" applyBorder="1"/>
    <xf numFmtId="166" fontId="0" fillId="9" borderId="1" xfId="0" applyNumberFormat="1" applyFill="1" applyBorder="1"/>
    <xf numFmtId="164" fontId="0" fillId="9" borderId="1" xfId="0" applyNumberFormat="1" applyFill="1" applyBorder="1"/>
    <xf numFmtId="0" fontId="0" fillId="0" borderId="9" xfId="0" applyBorder="1"/>
    <xf numFmtId="2" fontId="0" fillId="6" borderId="1" xfId="1" applyNumberFormat="1" applyFont="1" applyFill="1" applyBorder="1" applyAlignment="1" applyProtection="1">
      <alignment horizontal="center"/>
      <protection locked="0"/>
    </xf>
    <xf numFmtId="0" fontId="0" fillId="0" borderId="11" xfId="0" applyBorder="1"/>
    <xf numFmtId="0" fontId="0" fillId="6" borderId="24" xfId="0" applyFill="1" applyBorder="1" applyAlignment="1" applyProtection="1">
      <alignment horizontal="center"/>
      <protection locked="0"/>
    </xf>
    <xf numFmtId="166" fontId="3" fillId="0" borderId="0" xfId="0" applyNumberFormat="1" applyFont="1" applyAlignment="1">
      <alignment horizontal="right"/>
    </xf>
    <xf numFmtId="0" fontId="14" fillId="0" borderId="0" xfId="0" applyFont="1" applyAlignment="1">
      <alignment horizontal="right"/>
    </xf>
    <xf numFmtId="0" fontId="14" fillId="0" borderId="0" xfId="0" applyFont="1"/>
    <xf numFmtId="0" fontId="14" fillId="0" borderId="0" xfId="0" applyFont="1" applyAlignment="1">
      <alignment horizontal="right" vertical="center"/>
    </xf>
    <xf numFmtId="0" fontId="16" fillId="0" borderId="0" xfId="0" applyFont="1" applyBorder="1" applyAlignment="1">
      <alignment horizontal="center"/>
    </xf>
    <xf numFmtId="0" fontId="16" fillId="7" borderId="10" xfId="0" applyFont="1" applyFill="1" applyBorder="1" applyAlignment="1">
      <alignment horizontal="center"/>
    </xf>
    <xf numFmtId="0" fontId="16" fillId="0" borderId="0" xfId="0" applyFont="1" applyBorder="1" applyAlignment="1">
      <alignment horizontal="center"/>
    </xf>
    <xf numFmtId="166" fontId="14" fillId="7" borderId="1" xfId="0" applyNumberFormat="1" applyFont="1" applyFill="1" applyBorder="1" applyAlignment="1">
      <alignment horizontal="center"/>
    </xf>
    <xf numFmtId="0" fontId="14" fillId="7" borderId="1" xfId="0" applyFont="1" applyFill="1" applyBorder="1" applyAlignment="1">
      <alignment horizontal="center"/>
    </xf>
    <xf numFmtId="2" fontId="14" fillId="7" borderId="10" xfId="0" applyNumberFormat="1" applyFont="1" applyFill="1" applyBorder="1" applyAlignment="1">
      <alignment horizontal="center"/>
    </xf>
    <xf numFmtId="167" fontId="14" fillId="7" borderId="1" xfId="0" applyNumberFormat="1" applyFont="1" applyFill="1" applyBorder="1" applyAlignment="1">
      <alignment horizontal="center"/>
    </xf>
    <xf numFmtId="2" fontId="14" fillId="7" borderId="1" xfId="0" applyNumberFormat="1" applyFont="1" applyFill="1" applyBorder="1" applyAlignment="1">
      <alignment horizontal="center"/>
    </xf>
    <xf numFmtId="0" fontId="14" fillId="0" borderId="0" xfId="0" applyFont="1" applyAlignment="1">
      <alignment horizontal="center" vertical="center" wrapText="1"/>
    </xf>
    <xf numFmtId="0" fontId="14" fillId="0" borderId="32" xfId="0" applyFont="1" applyBorder="1"/>
    <xf numFmtId="0" fontId="14" fillId="0" borderId="1" xfId="0" applyFont="1" applyBorder="1"/>
    <xf numFmtId="166" fontId="14" fillId="6" borderId="9" xfId="0" applyNumberFormat="1" applyFont="1" applyFill="1" applyBorder="1" applyAlignment="1" applyProtection="1">
      <alignment horizontal="center"/>
      <protection locked="0"/>
    </xf>
    <xf numFmtId="164" fontId="14" fillId="7" borderId="10" xfId="0" applyNumberFormat="1" applyFont="1" applyFill="1" applyBorder="1" applyAlignment="1" applyProtection="1">
      <alignment horizontal="center"/>
    </xf>
    <xf numFmtId="1" fontId="14" fillId="7" borderId="1" xfId="0" applyNumberFormat="1" applyFont="1" applyFill="1" applyBorder="1" applyAlignment="1" applyProtection="1">
      <alignment horizontal="center"/>
    </xf>
    <xf numFmtId="1" fontId="14" fillId="6" borderId="1" xfId="0" applyNumberFormat="1" applyFont="1" applyFill="1" applyBorder="1" applyAlignment="1" applyProtection="1">
      <alignment horizontal="center"/>
      <protection locked="0"/>
    </xf>
    <xf numFmtId="164" fontId="14" fillId="6" borderId="2" xfId="0" applyNumberFormat="1" applyFont="1" applyFill="1" applyBorder="1" applyAlignment="1" applyProtection="1">
      <alignment horizontal="center"/>
      <protection locked="0"/>
    </xf>
    <xf numFmtId="0" fontId="14" fillId="0" borderId="1" xfId="0" applyFont="1" applyBorder="1" applyAlignment="1">
      <alignment horizontal="center"/>
    </xf>
    <xf numFmtId="166" fontId="14" fillId="6" borderId="10" xfId="0" applyNumberFormat="1" applyFont="1" applyFill="1" applyBorder="1" applyAlignment="1" applyProtection="1">
      <alignment horizontal="center"/>
      <protection locked="0"/>
    </xf>
    <xf numFmtId="166" fontId="14" fillId="6" borderId="1" xfId="0" applyNumberFormat="1" applyFont="1" applyFill="1" applyBorder="1" applyAlignment="1" applyProtection="1">
      <alignment horizontal="center"/>
      <protection locked="0"/>
    </xf>
    <xf numFmtId="0" fontId="14" fillId="0" borderId="0" xfId="0" applyFont="1" applyAlignment="1">
      <alignment horizontal="center"/>
    </xf>
    <xf numFmtId="167" fontId="14" fillId="7" borderId="1" xfId="1" applyNumberFormat="1" applyFont="1" applyFill="1" applyBorder="1" applyAlignment="1" applyProtection="1">
      <alignment horizontal="center"/>
    </xf>
    <xf numFmtId="0" fontId="14" fillId="7" borderId="8" xfId="0" applyFont="1" applyFill="1" applyBorder="1" applyAlignment="1">
      <alignment horizontal="center"/>
    </xf>
    <xf numFmtId="166" fontId="14" fillId="7" borderId="1" xfId="0" applyNumberFormat="1" applyFont="1" applyFill="1" applyBorder="1" applyAlignment="1" applyProtection="1">
      <alignment horizontal="center"/>
    </xf>
    <xf numFmtId="0" fontId="16" fillId="0" borderId="10" xfId="0" applyFont="1" applyBorder="1" applyAlignment="1">
      <alignment horizontal="center"/>
    </xf>
    <xf numFmtId="0" fontId="16" fillId="0" borderId="10" xfId="0" applyFont="1" applyFill="1" applyBorder="1" applyAlignment="1">
      <alignment horizontal="center"/>
    </xf>
    <xf numFmtId="164" fontId="14" fillId="7" borderId="8" xfId="0" applyNumberFormat="1" applyFont="1" applyFill="1" applyBorder="1" applyAlignment="1" applyProtection="1">
      <alignment horizontal="center" vertical="center"/>
    </xf>
    <xf numFmtId="0" fontId="14" fillId="0" borderId="9" xfId="0" applyFont="1" applyBorder="1" applyAlignment="1">
      <alignment horizontal="center" vertical="center"/>
    </xf>
    <xf numFmtId="164" fontId="14" fillId="6" borderId="9" xfId="0" applyNumberFormat="1" applyFont="1" applyFill="1" applyBorder="1" applyAlignment="1" applyProtection="1">
      <alignment horizontal="center"/>
      <protection locked="0"/>
    </xf>
    <xf numFmtId="0" fontId="14" fillId="0" borderId="10" xfId="0" applyFont="1" applyBorder="1" applyAlignment="1">
      <alignment horizontal="center" vertical="center" wrapText="1"/>
    </xf>
    <xf numFmtId="2" fontId="14" fillId="0" borderId="4"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14" fillId="0" borderId="15" xfId="0" applyFont="1" applyBorder="1" applyAlignment="1">
      <alignment vertical="center"/>
    </xf>
    <xf numFmtId="167" fontId="14" fillId="7" borderId="1" xfId="1" applyNumberFormat="1" applyFont="1" applyFill="1" applyBorder="1" applyAlignment="1" applyProtection="1">
      <alignment horizontal="center" vertical="center"/>
    </xf>
    <xf numFmtId="167" fontId="14" fillId="7" borderId="1" xfId="0" applyNumberFormat="1" applyFont="1" applyFill="1" applyBorder="1" applyAlignment="1" applyProtection="1">
      <alignment horizontal="center" vertical="center"/>
    </xf>
    <xf numFmtId="1" fontId="14" fillId="7" borderId="1" xfId="0" applyNumberFormat="1" applyFont="1" applyFill="1" applyBorder="1" applyAlignment="1" applyProtection="1">
      <alignment horizontal="center" vertical="center"/>
    </xf>
    <xf numFmtId="166" fontId="14" fillId="7" borderId="1" xfId="1" applyNumberFormat="1" applyFont="1" applyFill="1" applyBorder="1" applyAlignment="1" applyProtection="1">
      <alignment horizontal="center" vertical="center"/>
    </xf>
    <xf numFmtId="166" fontId="14" fillId="7" borderId="1" xfId="0" applyNumberFormat="1" applyFont="1" applyFill="1" applyBorder="1" applyAlignment="1" applyProtection="1">
      <alignment horizontal="center" vertical="center"/>
    </xf>
    <xf numFmtId="2" fontId="14" fillId="0" borderId="9" xfId="0" applyNumberFormat="1" applyFont="1" applyBorder="1" applyAlignment="1">
      <alignment horizontal="center" vertical="center"/>
    </xf>
    <xf numFmtId="0" fontId="3" fillId="0" borderId="19" xfId="0" applyFont="1" applyBorder="1"/>
    <xf numFmtId="1" fontId="14" fillId="7" borderId="1" xfId="0" applyNumberFormat="1" applyFont="1" applyFill="1" applyBorder="1" applyAlignment="1">
      <alignment horizontal="center"/>
    </xf>
    <xf numFmtId="0" fontId="14" fillId="0" borderId="6" xfId="0" applyFont="1" applyBorder="1" applyAlignment="1">
      <alignment horizontal="center"/>
    </xf>
    <xf numFmtId="0" fontId="14" fillId="7" borderId="1" xfId="0" applyFont="1" applyFill="1" applyBorder="1" applyAlignment="1">
      <alignment horizontal="center" shrinkToFit="1"/>
    </xf>
    <xf numFmtId="0" fontId="16" fillId="0" borderId="2" xfId="0" applyFont="1" applyBorder="1" applyAlignment="1">
      <alignment horizontal="center" vertical="center" wrapText="1"/>
    </xf>
    <xf numFmtId="0" fontId="14" fillId="0" borderId="1" xfId="0" applyFont="1" applyBorder="1" applyAlignment="1">
      <alignment horizontal="right"/>
    </xf>
    <xf numFmtId="0" fontId="0" fillId="0" borderId="0" xfId="0" applyAlignment="1">
      <alignment horizontal="center"/>
    </xf>
    <xf numFmtId="164" fontId="0" fillId="6" borderId="24" xfId="1" applyNumberFormat="1" applyFont="1" applyFill="1" applyBorder="1" applyAlignment="1" applyProtection="1">
      <alignment horizontal="center"/>
      <protection locked="0"/>
    </xf>
    <xf numFmtId="166" fontId="0" fillId="7" borderId="24" xfId="0" applyNumberFormat="1" applyFill="1" applyBorder="1" applyAlignment="1">
      <alignment horizontal="center"/>
    </xf>
    <xf numFmtId="0" fontId="0" fillId="7" borderId="24" xfId="0" applyFill="1" applyBorder="1" applyAlignment="1">
      <alignment horizontal="center"/>
    </xf>
    <xf numFmtId="0" fontId="3" fillId="0" borderId="23" xfId="0" applyFont="1" applyFill="1" applyBorder="1"/>
    <xf numFmtId="0" fontId="0" fillId="0" borderId="0" xfId="0" applyAlignment="1">
      <alignment horizontal="center"/>
    </xf>
    <xf numFmtId="2" fontId="14" fillId="7" borderId="1" xfId="0" applyNumberFormat="1" applyFont="1" applyFill="1" applyBorder="1" applyAlignment="1" applyProtection="1">
      <alignment horizontal="center"/>
    </xf>
    <xf numFmtId="2" fontId="0" fillId="7" borderId="10" xfId="0" applyNumberFormat="1" applyFill="1" applyBorder="1" applyAlignment="1">
      <alignment horizontal="center"/>
    </xf>
    <xf numFmtId="2" fontId="0" fillId="7" borderId="1" xfId="1" applyNumberFormat="1" applyFont="1" applyFill="1" applyBorder="1" applyAlignment="1">
      <alignment horizontal="center"/>
    </xf>
    <xf numFmtId="2" fontId="14" fillId="6" borderId="1" xfId="0" applyNumberFormat="1" applyFont="1" applyFill="1" applyBorder="1" applyAlignment="1" applyProtection="1">
      <alignment horizontal="center"/>
      <protection locked="0"/>
    </xf>
    <xf numFmtId="0" fontId="14" fillId="6" borderId="1" xfId="0" applyFont="1" applyFill="1" applyBorder="1" applyAlignment="1" applyProtection="1">
      <alignment horizontal="center"/>
      <protection locked="0"/>
    </xf>
    <xf numFmtId="0" fontId="0" fillId="10" borderId="38" xfId="0" applyFill="1" applyBorder="1"/>
    <xf numFmtId="0" fontId="18" fillId="10" borderId="39" xfId="0" applyFont="1" applyFill="1" applyBorder="1" applyAlignment="1">
      <alignment vertical="center"/>
    </xf>
    <xf numFmtId="0" fontId="0" fillId="10" borderId="39" xfId="0" applyFill="1" applyBorder="1" applyAlignment="1">
      <alignment horizontal="center"/>
    </xf>
    <xf numFmtId="0" fontId="19" fillId="10" borderId="40" xfId="0" applyFont="1" applyFill="1" applyBorder="1" applyAlignment="1" applyProtection="1">
      <alignment horizontal="center"/>
      <protection hidden="1"/>
    </xf>
    <xf numFmtId="0" fontId="0" fillId="10" borderId="41" xfId="0" applyFill="1" applyBorder="1"/>
    <xf numFmtId="0" fontId="18" fillId="10" borderId="0" xfId="0" applyFont="1" applyFill="1" applyBorder="1" applyAlignment="1">
      <alignment vertical="center"/>
    </xf>
    <xf numFmtId="0" fontId="0" fillId="10" borderId="0" xfId="0" applyFill="1" applyBorder="1" applyAlignment="1">
      <alignment horizontal="center"/>
    </xf>
    <xf numFmtId="0" fontId="21" fillId="10" borderId="0" xfId="0" applyFont="1" applyFill="1" applyBorder="1" applyAlignment="1">
      <alignment horizontal="left" indent="1"/>
    </xf>
    <xf numFmtId="0" fontId="3" fillId="10" borderId="0" xfId="0" applyFont="1" applyFill="1" applyBorder="1" applyAlignment="1">
      <alignment horizontal="center"/>
    </xf>
    <xf numFmtId="0" fontId="0" fillId="10" borderId="41" xfId="0" applyFill="1" applyBorder="1" applyAlignment="1">
      <alignment horizontal="center" vertical="center"/>
    </xf>
    <xf numFmtId="0" fontId="0" fillId="10" borderId="0" xfId="0" applyFill="1" applyBorder="1" applyAlignment="1">
      <alignment horizontal="right"/>
    </xf>
    <xf numFmtId="0" fontId="22" fillId="10" borderId="0" xfId="0" applyFont="1" applyFill="1" applyBorder="1" applyAlignment="1">
      <alignment vertical="center" wrapText="1"/>
    </xf>
    <xf numFmtId="0" fontId="0" fillId="10" borderId="42" xfId="0" applyFill="1" applyBorder="1" applyAlignment="1">
      <alignment horizontal="center" vertical="center"/>
    </xf>
    <xf numFmtId="0" fontId="0" fillId="0" borderId="0" xfId="0" applyAlignment="1">
      <alignment horizontal="center" vertical="center"/>
    </xf>
    <xf numFmtId="0" fontId="22" fillId="10" borderId="0" xfId="0" applyFont="1" applyFill="1" applyBorder="1" applyAlignment="1">
      <alignment horizontal="right" vertical="center"/>
    </xf>
    <xf numFmtId="0" fontId="22" fillId="10" borderId="0" xfId="0" applyFont="1" applyFill="1" applyBorder="1" applyAlignment="1">
      <alignment horizontal="right"/>
    </xf>
    <xf numFmtId="0" fontId="22" fillId="10" borderId="0" xfId="0" applyFont="1" applyFill="1" applyBorder="1" applyAlignment="1">
      <alignment vertical="center"/>
    </xf>
    <xf numFmtId="0" fontId="0" fillId="10" borderId="0" xfId="0" applyFill="1" applyBorder="1"/>
    <xf numFmtId="0" fontId="23" fillId="10" borderId="0" xfId="0" applyFont="1" applyFill="1" applyBorder="1" applyAlignment="1">
      <alignment vertical="top" wrapText="1"/>
    </xf>
    <xf numFmtId="0" fontId="23" fillId="10" borderId="42" xfId="0" applyFont="1" applyFill="1" applyBorder="1" applyAlignment="1">
      <alignment vertical="top" wrapText="1"/>
    </xf>
    <xf numFmtId="0" fontId="0" fillId="10" borderId="0" xfId="0" applyFill="1" applyBorder="1" applyAlignment="1">
      <alignment horizontal="center" vertical="center"/>
    </xf>
    <xf numFmtId="0" fontId="0" fillId="10" borderId="0" xfId="0" applyFill="1" applyBorder="1" applyAlignment="1">
      <alignment horizontal="right" vertical="center"/>
    </xf>
    <xf numFmtId="9" fontId="0" fillId="0" borderId="1" xfId="4" applyFont="1" applyFill="1" applyBorder="1" applyAlignment="1">
      <alignment horizontal="center" vertical="center"/>
    </xf>
    <xf numFmtId="0" fontId="0" fillId="10" borderId="43" xfId="0" applyFill="1" applyBorder="1" applyAlignment="1">
      <alignment horizontal="center" vertical="center"/>
    </xf>
    <xf numFmtId="0" fontId="0" fillId="10" borderId="44" xfId="0" applyFill="1" applyBorder="1" applyAlignment="1">
      <alignment horizontal="right" vertical="center"/>
    </xf>
    <xf numFmtId="0" fontId="0" fillId="10" borderId="44" xfId="0" applyFill="1" applyBorder="1" applyAlignment="1">
      <alignment horizontal="center" vertical="center"/>
    </xf>
    <xf numFmtId="0" fontId="23" fillId="10" borderId="44" xfId="0" applyFont="1" applyFill="1" applyBorder="1" applyAlignment="1">
      <alignment vertical="top" wrapText="1"/>
    </xf>
    <xf numFmtId="0" fontId="0" fillId="11" borderId="38" xfId="0" applyFill="1" applyBorder="1" applyAlignment="1">
      <alignment horizontal="center" vertical="center"/>
    </xf>
    <xf numFmtId="0" fontId="18" fillId="11" borderId="39" xfId="0" applyFont="1" applyFill="1" applyBorder="1" applyAlignment="1">
      <alignment vertical="center"/>
    </xf>
    <xf numFmtId="0" fontId="0" fillId="11" borderId="39" xfId="0" applyFill="1" applyBorder="1" applyAlignment="1">
      <alignment horizontal="center" vertical="center"/>
    </xf>
    <xf numFmtId="0" fontId="25" fillId="11" borderId="39" xfId="0" applyFont="1" applyFill="1" applyBorder="1" applyAlignment="1">
      <alignment horizontal="center" vertical="center"/>
    </xf>
    <xf numFmtId="0" fontId="25" fillId="11" borderId="0" xfId="0" applyFont="1" applyFill="1" applyBorder="1" applyAlignment="1">
      <alignment horizontal="center" vertical="center"/>
    </xf>
    <xf numFmtId="0" fontId="23" fillId="11" borderId="40" xfId="0" applyFont="1" applyFill="1" applyBorder="1" applyAlignment="1">
      <alignment horizontal="left" vertical="top" wrapText="1"/>
    </xf>
    <xf numFmtId="0" fontId="0" fillId="11" borderId="41" xfId="0" applyFill="1" applyBorder="1" applyAlignment="1">
      <alignment horizontal="center" vertical="center"/>
    </xf>
    <xf numFmtId="0" fontId="18" fillId="11" borderId="0" xfId="0" applyFont="1" applyFill="1" applyBorder="1" applyAlignment="1">
      <alignment vertical="center"/>
    </xf>
    <xf numFmtId="0" fontId="0" fillId="11" borderId="0" xfId="0" applyFill="1" applyBorder="1" applyAlignment="1">
      <alignment horizontal="center" vertical="center"/>
    </xf>
    <xf numFmtId="0" fontId="25" fillId="11" borderId="0" xfId="0" applyFont="1" applyFill="1" applyBorder="1" applyAlignment="1">
      <alignment horizontal="right" vertical="center"/>
    </xf>
    <xf numFmtId="0" fontId="25" fillId="11" borderId="46" xfId="0" quotePrefix="1" applyFont="1" applyFill="1" applyBorder="1" applyAlignment="1">
      <alignment horizontal="left" vertical="center"/>
    </xf>
    <xf numFmtId="2" fontId="25" fillId="11" borderId="47" xfId="0" applyNumberFormat="1" applyFont="1" applyFill="1" applyBorder="1" applyAlignment="1">
      <alignment horizontal="center" vertical="center"/>
    </xf>
    <xf numFmtId="0" fontId="23" fillId="11" borderId="42" xfId="0" applyFont="1" applyFill="1" applyBorder="1" applyAlignment="1">
      <alignment horizontal="left" vertical="top" wrapText="1"/>
    </xf>
    <xf numFmtId="0" fontId="26" fillId="11" borderId="0" xfId="0" applyFont="1" applyFill="1" applyBorder="1" applyAlignment="1">
      <alignment vertical="top" wrapText="1"/>
    </xf>
    <xf numFmtId="0" fontId="22" fillId="11" borderId="0" xfId="0" applyFont="1" applyFill="1" applyBorder="1" applyAlignment="1">
      <alignment horizontal="center" vertical="center"/>
    </xf>
    <xf numFmtId="0" fontId="25" fillId="11" borderId="48" xfId="0" applyFont="1" applyFill="1" applyBorder="1" applyAlignment="1">
      <alignment horizontal="left" vertical="center"/>
    </xf>
    <xf numFmtId="2" fontId="25" fillId="11" borderId="49" xfId="0" applyNumberFormat="1" applyFont="1" applyFill="1" applyBorder="1" applyAlignment="1">
      <alignment horizontal="center" vertical="center"/>
    </xf>
    <xf numFmtId="0" fontId="23" fillId="11" borderId="42" xfId="0" applyFont="1" applyFill="1" applyBorder="1" applyAlignment="1">
      <alignment vertical="top" wrapText="1"/>
    </xf>
    <xf numFmtId="2" fontId="25" fillId="11" borderId="50" xfId="0" applyNumberFormat="1" applyFont="1" applyFill="1" applyBorder="1" applyAlignment="1" applyProtection="1">
      <alignment horizontal="center" vertical="center"/>
    </xf>
    <xf numFmtId="0" fontId="25" fillId="11" borderId="51" xfId="0" applyFont="1" applyFill="1" applyBorder="1" applyAlignment="1">
      <alignment horizontal="left" vertical="center"/>
    </xf>
    <xf numFmtId="2" fontId="25" fillId="11" borderId="52" xfId="0" applyNumberFormat="1" applyFont="1" applyFill="1" applyBorder="1" applyAlignment="1">
      <alignment horizontal="center" vertical="center"/>
    </xf>
    <xf numFmtId="0" fontId="21" fillId="11" borderId="0" xfId="0" applyFont="1" applyFill="1" applyBorder="1" applyAlignment="1">
      <alignment horizontal="left" indent="1"/>
    </xf>
    <xf numFmtId="0" fontId="12" fillId="11" borderId="0" xfId="0" applyFont="1" applyFill="1" applyBorder="1" applyAlignment="1">
      <alignment horizontal="right" vertical="center"/>
    </xf>
    <xf numFmtId="0" fontId="12" fillId="11" borderId="0" xfId="0" applyFont="1" applyFill="1" applyBorder="1" applyAlignment="1">
      <alignment horizontal="center" vertical="center"/>
    </xf>
    <xf numFmtId="0" fontId="12" fillId="11" borderId="13" xfId="0" applyFont="1" applyFill="1" applyBorder="1" applyAlignment="1">
      <alignment horizontal="right" vertical="center" wrapText="1"/>
    </xf>
    <xf numFmtId="2" fontId="0" fillId="11" borderId="0" xfId="0" applyNumberFormat="1" applyFill="1" applyBorder="1" applyAlignment="1">
      <alignment horizontal="center" vertical="center"/>
    </xf>
    <xf numFmtId="0" fontId="12" fillId="11" borderId="0" xfId="0" applyFont="1" applyFill="1" applyBorder="1" applyAlignment="1">
      <alignment horizontal="right" vertical="center" wrapText="1"/>
    </xf>
    <xf numFmtId="0" fontId="0" fillId="11" borderId="43" xfId="0" applyFill="1" applyBorder="1"/>
    <xf numFmtId="0" fontId="21" fillId="11" borderId="44" xfId="0" applyFont="1" applyFill="1" applyBorder="1" applyAlignment="1">
      <alignment horizontal="left" indent="1"/>
    </xf>
    <xf numFmtId="0" fontId="23" fillId="11" borderId="44" xfId="0" applyFont="1" applyFill="1" applyBorder="1" applyAlignment="1">
      <alignment vertical="center" wrapText="1"/>
    </xf>
    <xf numFmtId="0" fontId="0" fillId="12" borderId="38" xfId="0" applyFill="1" applyBorder="1"/>
    <xf numFmtId="0" fontId="18" fillId="12" borderId="39" xfId="0" applyFont="1" applyFill="1" applyBorder="1" applyAlignment="1">
      <alignment vertical="center"/>
    </xf>
    <xf numFmtId="0" fontId="12" fillId="12" borderId="39" xfId="0" applyFont="1" applyFill="1" applyBorder="1" applyAlignment="1">
      <alignment horizontal="right" vertical="center"/>
    </xf>
    <xf numFmtId="0" fontId="12" fillId="12" borderId="39" xfId="0" applyFont="1" applyFill="1" applyBorder="1" applyAlignment="1">
      <alignment horizontal="center" vertical="center"/>
    </xf>
    <xf numFmtId="0" fontId="23" fillId="12" borderId="39" xfId="0" applyFont="1" applyFill="1" applyBorder="1" applyAlignment="1">
      <alignment horizontal="left" vertical="center" wrapText="1"/>
    </xf>
    <xf numFmtId="0" fontId="0" fillId="12" borderId="41" xfId="0" applyFill="1" applyBorder="1"/>
    <xf numFmtId="0" fontId="12" fillId="12" borderId="0" xfId="0" applyFont="1" applyFill="1" applyBorder="1" applyAlignment="1">
      <alignment horizontal="right" vertical="center"/>
    </xf>
    <xf numFmtId="0" fontId="21" fillId="12" borderId="0" xfId="0" applyFont="1" applyFill="1" applyBorder="1" applyAlignment="1">
      <alignment horizontal="left" indent="1"/>
    </xf>
    <xf numFmtId="0" fontId="0" fillId="12" borderId="0" xfId="0" applyFill="1" applyBorder="1" applyAlignment="1">
      <alignment horizontal="center"/>
    </xf>
    <xf numFmtId="0" fontId="23" fillId="12" borderId="0" xfId="0" applyFont="1" applyFill="1" applyBorder="1" applyAlignment="1">
      <alignment vertical="top" wrapText="1"/>
    </xf>
    <xf numFmtId="0" fontId="23" fillId="12" borderId="42" xfId="0" applyFont="1" applyFill="1" applyBorder="1" applyAlignment="1">
      <alignment horizontal="left" vertical="center" wrapText="1"/>
    </xf>
    <xf numFmtId="0" fontId="3" fillId="12" borderId="0" xfId="0" applyFont="1" applyFill="1" applyBorder="1" applyAlignment="1">
      <alignment horizontal="right" vertical="center" wrapText="1"/>
    </xf>
    <xf numFmtId="1" fontId="3" fillId="12" borderId="55" xfId="0" applyNumberFormat="1" applyFont="1" applyFill="1" applyBorder="1" applyAlignment="1">
      <alignment horizontal="center" vertical="center"/>
    </xf>
    <xf numFmtId="1" fontId="3" fillId="12" borderId="56" xfId="0" applyNumberFormat="1" applyFont="1" applyFill="1" applyBorder="1" applyAlignment="1">
      <alignment horizontal="center" vertical="center"/>
    </xf>
    <xf numFmtId="2" fontId="29" fillId="12" borderId="57" xfId="0" applyNumberFormat="1" applyFont="1" applyFill="1" applyBorder="1" applyAlignment="1">
      <alignment horizontal="center" vertical="center"/>
    </xf>
    <xf numFmtId="1" fontId="30" fillId="12" borderId="58" xfId="0" applyNumberFormat="1" applyFont="1" applyFill="1" applyBorder="1" applyAlignment="1">
      <alignment horizontal="center" vertical="center"/>
    </xf>
    <xf numFmtId="0" fontId="0" fillId="12" borderId="43" xfId="0" applyFill="1" applyBorder="1"/>
    <xf numFmtId="0" fontId="23" fillId="12" borderId="44" xfId="0" applyFont="1" applyFill="1" applyBorder="1" applyAlignment="1">
      <alignment vertical="center" wrapText="1"/>
    </xf>
    <xf numFmtId="0" fontId="23" fillId="12" borderId="44" xfId="0" applyFont="1" applyFill="1" applyBorder="1" applyAlignment="1">
      <alignment vertical="center"/>
    </xf>
    <xf numFmtId="0" fontId="0" fillId="2" borderId="38" xfId="0" applyFill="1" applyBorder="1"/>
    <xf numFmtId="0" fontId="18" fillId="2" borderId="39" xfId="0" applyFont="1" applyFill="1" applyBorder="1" applyAlignment="1">
      <alignment vertical="center"/>
    </xf>
    <xf numFmtId="0" fontId="0" fillId="2" borderId="39" xfId="0" applyFill="1" applyBorder="1" applyAlignment="1">
      <alignment horizontal="center"/>
    </xf>
    <xf numFmtId="0" fontId="31" fillId="2" borderId="39" xfId="0" applyFont="1" applyFill="1" applyBorder="1" applyAlignment="1">
      <alignment horizontal="center"/>
    </xf>
    <xf numFmtId="0" fontId="0" fillId="2" borderId="39" xfId="0" applyFill="1" applyBorder="1" applyAlignment="1">
      <alignment horizontal="center" vertical="center"/>
    </xf>
    <xf numFmtId="0" fontId="0" fillId="2" borderId="40" xfId="0" applyFill="1" applyBorder="1" applyAlignment="1">
      <alignment horizontal="center"/>
    </xf>
    <xf numFmtId="0" fontId="0" fillId="2" borderId="41" xfId="0" applyFill="1" applyBorder="1"/>
    <xf numFmtId="0" fontId="21" fillId="2" borderId="0" xfId="0" applyFont="1" applyFill="1" applyBorder="1" applyAlignment="1">
      <alignment horizontal="left" indent="1"/>
    </xf>
    <xf numFmtId="0" fontId="0" fillId="2" borderId="0" xfId="0" applyFill="1" applyBorder="1" applyAlignment="1">
      <alignment horizontal="center"/>
    </xf>
    <xf numFmtId="0" fontId="0" fillId="2" borderId="0" xfId="0" applyFill="1" applyBorder="1" applyAlignment="1">
      <alignment horizontal="center" vertical="center"/>
    </xf>
    <xf numFmtId="0" fontId="0" fillId="2" borderId="0" xfId="0" applyFill="1" applyBorder="1"/>
    <xf numFmtId="0" fontId="0" fillId="2" borderId="42" xfId="0" applyFill="1" applyBorder="1" applyAlignment="1">
      <alignment horizontal="center"/>
    </xf>
    <xf numFmtId="0" fontId="12" fillId="2" borderId="0" xfId="0" applyFont="1" applyFill="1" applyBorder="1" applyAlignment="1">
      <alignment horizontal="left" indent="3"/>
    </xf>
    <xf numFmtId="0" fontId="0" fillId="2" borderId="0" xfId="0" applyFill="1" applyBorder="1" applyAlignment="1">
      <alignment horizontal="right" vertical="center"/>
    </xf>
    <xf numFmtId="167" fontId="3" fillId="2" borderId="1" xfId="4" applyNumberFormat="1" applyFont="1" applyFill="1" applyBorder="1" applyAlignment="1">
      <alignment horizontal="center" vertical="center"/>
    </xf>
    <xf numFmtId="166" fontId="3" fillId="2" borderId="0" xfId="0" applyNumberFormat="1" applyFont="1" applyFill="1" applyBorder="1" applyAlignment="1">
      <alignment horizontal="right" vertical="center"/>
    </xf>
    <xf numFmtId="9" fontId="3" fillId="2" borderId="1" xfId="4" applyFont="1" applyFill="1" applyBorder="1" applyAlignment="1">
      <alignment horizontal="center" vertical="center"/>
    </xf>
    <xf numFmtId="0" fontId="0" fillId="2" borderId="41" xfId="0" applyFill="1" applyBorder="1" applyAlignment="1">
      <alignment horizontal="center" vertical="center"/>
    </xf>
    <xf numFmtId="0" fontId="3" fillId="0" borderId="1" xfId="4" applyNumberFormat="1" applyFont="1" applyFill="1" applyBorder="1" applyAlignment="1">
      <alignment horizontal="center" vertical="center"/>
    </xf>
    <xf numFmtId="0" fontId="0" fillId="2" borderId="42" xfId="0" applyFill="1" applyBorder="1" applyAlignment="1">
      <alignment horizontal="center" vertical="center"/>
    </xf>
    <xf numFmtId="166" fontId="2" fillId="2" borderId="0" xfId="0" applyNumberFormat="1" applyFont="1" applyFill="1" applyBorder="1" applyAlignment="1">
      <alignment horizontal="center" vertical="center"/>
    </xf>
    <xf numFmtId="171" fontId="12" fillId="2" borderId="0" xfId="0" applyNumberFormat="1" applyFont="1" applyFill="1" applyBorder="1" applyAlignment="1">
      <alignment horizontal="left" vertical="center"/>
    </xf>
    <xf numFmtId="166" fontId="12" fillId="2" borderId="0" xfId="0" applyNumberFormat="1" applyFont="1" applyFill="1" applyBorder="1" applyAlignment="1">
      <alignment horizontal="left" vertical="center" indent="2"/>
    </xf>
    <xf numFmtId="166" fontId="2" fillId="2" borderId="1" xfId="0" applyNumberFormat="1" applyFont="1" applyFill="1" applyBorder="1" applyAlignment="1">
      <alignment horizontal="center" vertical="center"/>
    </xf>
    <xf numFmtId="166" fontId="12" fillId="2" borderId="0" xfId="0" applyNumberFormat="1" applyFont="1" applyFill="1" applyBorder="1" applyAlignment="1">
      <alignment horizontal="left" vertical="center" indent="5"/>
    </xf>
    <xf numFmtId="166" fontId="12" fillId="2" borderId="0" xfId="0" applyNumberFormat="1" applyFont="1" applyFill="1" applyBorder="1" applyAlignment="1">
      <alignment horizontal="left" vertical="center"/>
    </xf>
    <xf numFmtId="166" fontId="12" fillId="2" borderId="0" xfId="0" applyNumberFormat="1" applyFont="1" applyFill="1" applyBorder="1" applyAlignment="1">
      <alignment vertical="top" wrapText="1"/>
    </xf>
    <xf numFmtId="166" fontId="12" fillId="2" borderId="42" xfId="0" applyNumberFormat="1" applyFont="1" applyFill="1" applyBorder="1" applyAlignment="1">
      <alignment vertical="top" wrapText="1"/>
    </xf>
    <xf numFmtId="0" fontId="12" fillId="2" borderId="0" xfId="0" applyFont="1" applyFill="1" applyBorder="1" applyAlignment="1">
      <alignment horizontal="left" vertical="center" indent="1"/>
    </xf>
    <xf numFmtId="166" fontId="12" fillId="2" borderId="0" xfId="0" applyNumberFormat="1" applyFont="1" applyFill="1" applyBorder="1" applyAlignment="1">
      <alignment horizontal="left" vertical="center" indent="3"/>
    </xf>
    <xf numFmtId="166" fontId="12" fillId="2" borderId="44" xfId="0" applyNumberFormat="1" applyFont="1" applyFill="1" applyBorder="1" applyAlignment="1">
      <alignment vertical="top" wrapText="1"/>
    </xf>
    <xf numFmtId="166" fontId="12" fillId="2" borderId="45" xfId="0" applyNumberFormat="1" applyFont="1" applyFill="1" applyBorder="1" applyAlignment="1">
      <alignment vertical="top" wrapText="1"/>
    </xf>
    <xf numFmtId="0" fontId="0" fillId="2" borderId="38" xfId="0" applyFill="1" applyBorder="1" applyAlignment="1">
      <alignment horizontal="center" vertical="center"/>
    </xf>
    <xf numFmtId="166" fontId="2" fillId="2" borderId="39" xfId="0" applyNumberFormat="1" applyFont="1" applyFill="1" applyBorder="1" applyAlignment="1">
      <alignment horizontal="center" vertical="center"/>
    </xf>
    <xf numFmtId="0" fontId="33" fillId="2" borderId="0" xfId="0" applyFont="1" applyFill="1" applyBorder="1" applyAlignment="1">
      <alignment horizontal="center"/>
    </xf>
    <xf numFmtId="0" fontId="33" fillId="2" borderId="0" xfId="0" applyFont="1" applyFill="1" applyBorder="1" applyAlignment="1">
      <alignment horizontal="center" vertical="center"/>
    </xf>
    <xf numFmtId="166" fontId="23" fillId="2" borderId="0" xfId="0" applyNumberFormat="1" applyFont="1" applyFill="1" applyBorder="1" applyAlignment="1">
      <alignment vertical="center" wrapText="1"/>
    </xf>
    <xf numFmtId="0" fontId="0" fillId="2" borderId="44" xfId="0" applyFill="1" applyBorder="1" applyAlignment="1">
      <alignment horizontal="center"/>
    </xf>
    <xf numFmtId="0" fontId="0" fillId="2" borderId="44" xfId="0" applyFill="1" applyBorder="1"/>
    <xf numFmtId="0" fontId="35" fillId="2" borderId="44" xfId="0" applyFont="1" applyFill="1" applyBorder="1" applyAlignment="1">
      <alignment horizontal="left" vertical="center"/>
    </xf>
    <xf numFmtId="0" fontId="0" fillId="2" borderId="45" xfId="0" applyFill="1" applyBorder="1"/>
    <xf numFmtId="0" fontId="0" fillId="10" borderId="40" xfId="0" applyFill="1" applyBorder="1" applyAlignment="1">
      <alignment horizontal="center"/>
    </xf>
    <xf numFmtId="0" fontId="0" fillId="10" borderId="42" xfId="0" applyFill="1" applyBorder="1" applyAlignment="1">
      <alignment horizontal="center"/>
    </xf>
    <xf numFmtId="0" fontId="3" fillId="0" borderId="0" xfId="0" applyFont="1" applyAlignment="1">
      <alignment vertical="center"/>
    </xf>
    <xf numFmtId="0" fontId="3" fillId="10" borderId="41" xfId="0" applyFont="1" applyFill="1" applyBorder="1" applyAlignment="1">
      <alignment vertical="center"/>
    </xf>
    <xf numFmtId="0" fontId="21" fillId="10" borderId="0" xfId="0" applyFont="1" applyFill="1" applyBorder="1" applyAlignment="1">
      <alignment horizontal="left" vertical="center" indent="1"/>
    </xf>
    <xf numFmtId="0" fontId="3" fillId="10" borderId="42" xfId="0" applyFont="1" applyFill="1" applyBorder="1" applyAlignment="1">
      <alignment horizontal="center" vertical="center"/>
    </xf>
    <xf numFmtId="0" fontId="3" fillId="0" borderId="0" xfId="0" applyFont="1" applyAlignment="1">
      <alignment horizontal="center" vertical="center"/>
    </xf>
    <xf numFmtId="1" fontId="3" fillId="10" borderId="59" xfId="0" applyNumberFormat="1" applyFont="1" applyFill="1" applyBorder="1" applyAlignment="1">
      <alignment horizontal="center" vertical="center"/>
    </xf>
    <xf numFmtId="1" fontId="2" fillId="10" borderId="36" xfId="0" applyNumberFormat="1" applyFont="1" applyFill="1" applyBorder="1" applyAlignment="1">
      <alignment horizontal="center" vertical="center"/>
    </xf>
    <xf numFmtId="0" fontId="12" fillId="10" borderId="0" xfId="0" applyFont="1" applyFill="1" applyBorder="1" applyAlignment="1">
      <alignment horizontal="right" vertical="center"/>
    </xf>
    <xf numFmtId="1" fontId="36" fillId="10" borderId="64" xfId="0" applyNumberFormat="1" applyFont="1" applyFill="1" applyBorder="1" applyAlignment="1">
      <alignment horizontal="center" vertical="center"/>
    </xf>
    <xf numFmtId="1" fontId="36" fillId="10" borderId="64" xfId="0" quotePrefix="1" applyNumberFormat="1" applyFont="1" applyFill="1" applyBorder="1" applyAlignment="1">
      <alignment horizontal="center" vertical="center"/>
    </xf>
    <xf numFmtId="1" fontId="36" fillId="10" borderId="65" xfId="0" applyNumberFormat="1" applyFont="1" applyFill="1" applyBorder="1" applyAlignment="1">
      <alignment horizontal="center" vertical="center"/>
    </xf>
    <xf numFmtId="0" fontId="0" fillId="10" borderId="43" xfId="0" applyFill="1" applyBorder="1"/>
    <xf numFmtId="0" fontId="0" fillId="13" borderId="0" xfId="0" applyFill="1" applyBorder="1"/>
    <xf numFmtId="0" fontId="23" fillId="13" borderId="0" xfId="0" applyFont="1" applyFill="1" applyBorder="1" applyAlignment="1">
      <alignment horizontal="center" vertical="center" wrapText="1"/>
    </xf>
    <xf numFmtId="0" fontId="0" fillId="13" borderId="0" xfId="0" applyFill="1" applyBorder="1" applyAlignment="1">
      <alignment horizontal="center"/>
    </xf>
    <xf numFmtId="0" fontId="3" fillId="13" borderId="0" xfId="0" applyFont="1" applyFill="1" applyBorder="1"/>
    <xf numFmtId="0" fontId="0" fillId="0" borderId="0" xfId="0" applyFill="1"/>
    <xf numFmtId="0" fontId="0" fillId="0" borderId="0" xfId="0" applyFill="1" applyBorder="1"/>
    <xf numFmtId="0" fontId="23" fillId="0" borderId="0" xfId="0" applyFont="1" applyFill="1" applyBorder="1" applyAlignment="1">
      <alignment horizontal="center" vertical="center" wrapText="1"/>
    </xf>
    <xf numFmtId="0" fontId="12" fillId="0" borderId="0" xfId="0" applyFont="1" applyBorder="1" applyAlignment="1">
      <alignment vertical="top"/>
    </xf>
    <xf numFmtId="0" fontId="12" fillId="0" borderId="0" xfId="0" applyFont="1" applyBorder="1" applyAlignment="1">
      <alignment vertical="top" wrapText="1"/>
    </xf>
    <xf numFmtId="0" fontId="12" fillId="0" borderId="0" xfId="0" applyFont="1" applyAlignment="1">
      <alignment vertical="top" wrapText="1"/>
    </xf>
    <xf numFmtId="0" fontId="0" fillId="0" borderId="0" xfId="0" applyAlignment="1"/>
    <xf numFmtId="0" fontId="3" fillId="0" borderId="0" xfId="0" applyFont="1" applyAlignment="1">
      <alignment horizontal="left"/>
    </xf>
    <xf numFmtId="0" fontId="38" fillId="0" borderId="0" xfId="5" applyFont="1" applyAlignment="1" applyProtection="1">
      <alignment horizontal="left" vertical="top" wrapText="1"/>
    </xf>
    <xf numFmtId="0" fontId="22" fillId="0" borderId="0" xfId="0" applyFont="1" applyAlignment="1">
      <alignment horizontal="center"/>
    </xf>
    <xf numFmtId="0" fontId="22" fillId="0" borderId="0" xfId="0" applyFont="1"/>
    <xf numFmtId="0" fontId="0" fillId="0" borderId="0" xfId="0" applyAlignment="1">
      <alignment horizontal="left"/>
    </xf>
    <xf numFmtId="0" fontId="37" fillId="0" borderId="0" xfId="5" applyAlignment="1" applyProtection="1"/>
    <xf numFmtId="0" fontId="37" fillId="0" borderId="0" xfId="5" applyAlignment="1" applyProtection="1">
      <alignment horizontal="left"/>
    </xf>
    <xf numFmtId="0" fontId="3" fillId="0" borderId="0" xfId="3"/>
    <xf numFmtId="0" fontId="3" fillId="0" borderId="0" xfId="3" applyAlignment="1">
      <alignment horizontal="center"/>
    </xf>
    <xf numFmtId="0" fontId="3" fillId="10" borderId="38" xfId="3" applyFill="1" applyBorder="1"/>
    <xf numFmtId="0" fontId="18" fillId="10" borderId="39" xfId="3" applyFont="1" applyFill="1" applyBorder="1" applyAlignment="1">
      <alignment vertical="center"/>
    </xf>
    <xf numFmtId="0" fontId="3" fillId="10" borderId="39" xfId="3" applyFill="1" applyBorder="1" applyAlignment="1">
      <alignment horizontal="center"/>
    </xf>
    <xf numFmtId="0" fontId="19" fillId="10" borderId="40" xfId="3" applyFont="1" applyFill="1" applyBorder="1" applyAlignment="1" applyProtection="1">
      <alignment horizontal="center"/>
      <protection hidden="1"/>
    </xf>
    <xf numFmtId="0" fontId="3" fillId="10" borderId="41" xfId="3" applyFill="1" applyBorder="1"/>
    <xf numFmtId="0" fontId="18" fillId="10" borderId="0" xfId="3" applyFont="1" applyFill="1" applyBorder="1" applyAlignment="1">
      <alignment vertical="center"/>
    </xf>
    <xf numFmtId="0" fontId="3" fillId="10" borderId="0" xfId="3" applyFill="1" applyBorder="1" applyAlignment="1">
      <alignment horizontal="center"/>
    </xf>
    <xf numFmtId="0" fontId="21" fillId="10" borderId="0" xfId="3" applyFont="1" applyFill="1" applyBorder="1" applyAlignment="1">
      <alignment horizontal="left" indent="1"/>
    </xf>
    <xf numFmtId="0" fontId="3" fillId="10" borderId="0" xfId="3" applyFont="1" applyFill="1" applyBorder="1" applyAlignment="1">
      <alignment horizontal="center"/>
    </xf>
    <xf numFmtId="0" fontId="3" fillId="10" borderId="41" xfId="3" applyFill="1" applyBorder="1" applyAlignment="1">
      <alignment horizontal="center" vertical="center"/>
    </xf>
    <xf numFmtId="0" fontId="3" fillId="10" borderId="0" xfId="3" applyFill="1" applyBorder="1" applyAlignment="1">
      <alignment horizontal="right"/>
    </xf>
    <xf numFmtId="0" fontId="22" fillId="10" borderId="0" xfId="3" applyFont="1" applyFill="1" applyBorder="1" applyAlignment="1">
      <alignment vertical="center" wrapText="1"/>
    </xf>
    <xf numFmtId="0" fontId="3" fillId="10" borderId="42" xfId="3" applyFill="1" applyBorder="1" applyAlignment="1">
      <alignment horizontal="center" vertical="center"/>
    </xf>
    <xf numFmtId="0" fontId="3" fillId="0" borderId="0" xfId="3" applyAlignment="1">
      <alignment horizontal="center" vertical="center"/>
    </xf>
    <xf numFmtId="0" fontId="22" fillId="10" borderId="0" xfId="3" applyFont="1" applyFill="1" applyBorder="1" applyAlignment="1">
      <alignment horizontal="right" vertical="center"/>
    </xf>
    <xf numFmtId="0" fontId="22" fillId="10" borderId="0" xfId="3" applyFont="1" applyFill="1" applyBorder="1" applyAlignment="1">
      <alignment horizontal="right"/>
    </xf>
    <xf numFmtId="0" fontId="22" fillId="10" borderId="0" xfId="3" applyFont="1" applyFill="1" applyBorder="1" applyAlignment="1">
      <alignment vertical="center"/>
    </xf>
    <xf numFmtId="0" fontId="3" fillId="10" borderId="0" xfId="3" applyFill="1" applyBorder="1"/>
    <xf numFmtId="0" fontId="23" fillId="10" borderId="0" xfId="3" applyFont="1" applyFill="1" applyBorder="1" applyAlignment="1">
      <alignment vertical="top" wrapText="1"/>
    </xf>
    <xf numFmtId="0" fontId="23" fillId="10" borderId="42" xfId="3" applyFont="1" applyFill="1" applyBorder="1" applyAlignment="1">
      <alignment vertical="top" wrapText="1"/>
    </xf>
    <xf numFmtId="0" fontId="3" fillId="10" borderId="0" xfId="3" applyFill="1" applyBorder="1" applyAlignment="1">
      <alignment horizontal="center" vertical="center"/>
    </xf>
    <xf numFmtId="0" fontId="3" fillId="10" borderId="0" xfId="3" applyFill="1" applyBorder="1" applyAlignment="1">
      <alignment horizontal="right" vertical="center"/>
    </xf>
    <xf numFmtId="0" fontId="3" fillId="0" borderId="1" xfId="3" applyFill="1" applyBorder="1" applyAlignment="1">
      <alignment horizontal="center" vertical="center"/>
    </xf>
    <xf numFmtId="0" fontId="25" fillId="10" borderId="0" xfId="3" applyFont="1" applyFill="1" applyBorder="1" applyAlignment="1">
      <alignment horizontal="right" vertical="center"/>
    </xf>
    <xf numFmtId="2" fontId="25" fillId="10" borderId="1" xfId="3" applyNumberFormat="1" applyFont="1" applyFill="1" applyBorder="1" applyAlignment="1">
      <alignment horizontal="center" vertical="center"/>
    </xf>
    <xf numFmtId="0" fontId="3" fillId="10" borderId="43" xfId="3" applyFill="1" applyBorder="1" applyAlignment="1">
      <alignment horizontal="center" vertical="center"/>
    </xf>
    <xf numFmtId="0" fontId="3" fillId="10" borderId="44" xfId="3" applyFill="1" applyBorder="1" applyAlignment="1">
      <alignment horizontal="right" vertical="center"/>
    </xf>
    <xf numFmtId="0" fontId="3" fillId="10" borderId="44" xfId="3" applyFill="1" applyBorder="1" applyAlignment="1">
      <alignment horizontal="center" vertical="center"/>
    </xf>
    <xf numFmtId="0" fontId="23" fillId="10" borderId="44" xfId="3" applyFont="1" applyFill="1" applyBorder="1" applyAlignment="1">
      <alignment vertical="top" wrapText="1"/>
    </xf>
    <xf numFmtId="0" fontId="3" fillId="11" borderId="38" xfId="3" applyFill="1" applyBorder="1" applyAlignment="1">
      <alignment horizontal="center" vertical="center"/>
    </xf>
    <xf numFmtId="0" fontId="18" fillId="11" borderId="39" xfId="3" applyFont="1" applyFill="1" applyBorder="1" applyAlignment="1">
      <alignment vertical="center"/>
    </xf>
    <xf numFmtId="0" fontId="3" fillId="11" borderId="39" xfId="3" applyFill="1" applyBorder="1" applyAlignment="1">
      <alignment horizontal="center" vertical="center"/>
    </xf>
    <xf numFmtId="0" fontId="25" fillId="11" borderId="39" xfId="3" applyFont="1" applyFill="1" applyBorder="1" applyAlignment="1">
      <alignment horizontal="center" vertical="center"/>
    </xf>
    <xf numFmtId="0" fontId="25" fillId="11" borderId="0" xfId="3" applyFont="1" applyFill="1" applyBorder="1" applyAlignment="1">
      <alignment horizontal="center" vertical="center"/>
    </xf>
    <xf numFmtId="0" fontId="23" fillId="11" borderId="40" xfId="3" applyFont="1" applyFill="1" applyBorder="1" applyAlignment="1">
      <alignment horizontal="left" vertical="top" wrapText="1"/>
    </xf>
    <xf numFmtId="0" fontId="3" fillId="11" borderId="41" xfId="3" applyFill="1" applyBorder="1" applyAlignment="1">
      <alignment horizontal="center" vertical="center"/>
    </xf>
    <xf numFmtId="0" fontId="18" fillId="11" borderId="0" xfId="3" applyFont="1" applyFill="1" applyBorder="1" applyAlignment="1">
      <alignment vertical="center"/>
    </xf>
    <xf numFmtId="0" fontId="3" fillId="11" borderId="0" xfId="3" applyFill="1" applyBorder="1" applyAlignment="1">
      <alignment horizontal="center" vertical="center"/>
    </xf>
    <xf numFmtId="0" fontId="25" fillId="11" borderId="0" xfId="3" applyFont="1" applyFill="1" applyBorder="1" applyAlignment="1">
      <alignment horizontal="right" vertical="center"/>
    </xf>
    <xf numFmtId="0" fontId="25" fillId="11" borderId="46" xfId="3" quotePrefix="1" applyFont="1" applyFill="1" applyBorder="1" applyAlignment="1">
      <alignment horizontal="left" vertical="center"/>
    </xf>
    <xf numFmtId="2" fontId="25" fillId="11" borderId="47" xfId="3" applyNumberFormat="1" applyFont="1" applyFill="1" applyBorder="1" applyAlignment="1">
      <alignment horizontal="center" vertical="center"/>
    </xf>
    <xf numFmtId="0" fontId="23" fillId="11" borderId="42" xfId="3" applyFont="1" applyFill="1" applyBorder="1" applyAlignment="1">
      <alignment horizontal="left" vertical="top" wrapText="1"/>
    </xf>
    <xf numFmtId="0" fontId="26" fillId="11" borderId="0" xfId="3" applyFont="1" applyFill="1" applyBorder="1" applyAlignment="1">
      <alignment vertical="top" wrapText="1"/>
    </xf>
    <xf numFmtId="0" fontId="22" fillId="11" borderId="0" xfId="3" applyFont="1" applyFill="1" applyBorder="1" applyAlignment="1">
      <alignment horizontal="center" vertical="center"/>
    </xf>
    <xf numFmtId="0" fontId="25" fillId="11" borderId="48" xfId="3" applyFont="1" applyFill="1" applyBorder="1" applyAlignment="1">
      <alignment horizontal="left" vertical="center"/>
    </xf>
    <xf numFmtId="2" fontId="25" fillId="11" borderId="49" xfId="3" applyNumberFormat="1" applyFont="1" applyFill="1" applyBorder="1" applyAlignment="1">
      <alignment horizontal="center" vertical="center"/>
    </xf>
    <xf numFmtId="0" fontId="23" fillId="11" borderId="42" xfId="3" applyFont="1" applyFill="1" applyBorder="1" applyAlignment="1">
      <alignment vertical="top" wrapText="1"/>
    </xf>
    <xf numFmtId="0" fontId="27" fillId="11" borderId="6" xfId="3" applyFont="1" applyFill="1" applyBorder="1" applyAlignment="1">
      <alignment horizontal="center" vertical="center"/>
    </xf>
    <xf numFmtId="2" fontId="25" fillId="11" borderId="50" xfId="3" applyNumberFormat="1" applyFont="1" applyFill="1" applyBorder="1" applyAlignment="1" applyProtection="1">
      <alignment horizontal="center" vertical="center"/>
    </xf>
    <xf numFmtId="0" fontId="25" fillId="11" borderId="51" xfId="3" applyFont="1" applyFill="1" applyBorder="1" applyAlignment="1">
      <alignment horizontal="left" vertical="center"/>
    </xf>
    <xf numFmtId="2" fontId="25" fillId="11" borderId="52" xfId="3" applyNumberFormat="1" applyFont="1" applyFill="1" applyBorder="1" applyAlignment="1">
      <alignment horizontal="center" vertical="center"/>
    </xf>
    <xf numFmtId="0" fontId="21" fillId="11" borderId="0" xfId="3" applyFont="1" applyFill="1" applyBorder="1" applyAlignment="1">
      <alignment horizontal="left" indent="1"/>
    </xf>
    <xf numFmtId="0" fontId="12" fillId="11" borderId="0" xfId="3" applyFont="1" applyFill="1" applyBorder="1" applyAlignment="1">
      <alignment horizontal="right" vertical="center"/>
    </xf>
    <xf numFmtId="0" fontId="21" fillId="11" borderId="0" xfId="3" applyFont="1" applyFill="1" applyBorder="1" applyAlignment="1">
      <alignment horizontal="center" vertical="center"/>
    </xf>
    <xf numFmtId="0" fontId="12" fillId="11" borderId="0" xfId="3" applyFont="1" applyFill="1" applyBorder="1" applyAlignment="1">
      <alignment horizontal="center" vertical="center"/>
    </xf>
    <xf numFmtId="2" fontId="3" fillId="11" borderId="0" xfId="3" applyNumberFormat="1" applyFill="1" applyBorder="1" applyAlignment="1">
      <alignment horizontal="center" vertical="center"/>
    </xf>
    <xf numFmtId="166" fontId="25" fillId="11" borderId="0" xfId="3" applyNumberFormat="1" applyFont="1" applyFill="1" applyBorder="1" applyAlignment="1">
      <alignment horizontal="center" vertical="center"/>
    </xf>
    <xf numFmtId="0" fontId="12" fillId="11" borderId="0" xfId="3" applyFont="1" applyFill="1" applyBorder="1" applyAlignment="1">
      <alignment horizontal="right" vertical="center" wrapText="1"/>
    </xf>
    <xf numFmtId="0" fontId="3" fillId="11" borderId="43" xfId="3" applyFill="1" applyBorder="1"/>
    <xf numFmtId="0" fontId="21" fillId="11" borderId="44" xfId="3" applyFont="1" applyFill="1" applyBorder="1" applyAlignment="1">
      <alignment horizontal="left" indent="1"/>
    </xf>
    <xf numFmtId="0" fontId="39" fillId="11" borderId="44" xfId="3" applyFont="1" applyFill="1" applyBorder="1" applyAlignment="1">
      <alignment horizontal="left" indent="1"/>
    </xf>
    <xf numFmtId="0" fontId="23" fillId="11" borderId="44" xfId="3" applyFont="1" applyFill="1" applyBorder="1" applyAlignment="1">
      <alignment vertical="center" wrapText="1"/>
    </xf>
    <xf numFmtId="0" fontId="3" fillId="12" borderId="38" xfId="3" applyFill="1" applyBorder="1"/>
    <xf numFmtId="0" fontId="18" fillId="12" borderId="39" xfId="3" applyFont="1" applyFill="1" applyBorder="1" applyAlignment="1">
      <alignment vertical="center"/>
    </xf>
    <xf numFmtId="0" fontId="12" fillId="12" borderId="39" xfId="3" applyFont="1" applyFill="1" applyBorder="1" applyAlignment="1">
      <alignment horizontal="right" vertical="center"/>
    </xf>
    <xf numFmtId="0" fontId="12" fillId="12" borderId="39" xfId="3" applyFont="1" applyFill="1" applyBorder="1" applyAlignment="1">
      <alignment horizontal="center" vertical="center"/>
    </xf>
    <xf numFmtId="0" fontId="23" fillId="12" borderId="39" xfId="3" applyFont="1" applyFill="1" applyBorder="1" applyAlignment="1">
      <alignment horizontal="left" vertical="center" wrapText="1"/>
    </xf>
    <xf numFmtId="0" fontId="3" fillId="12" borderId="41" xfId="3" applyFill="1" applyBorder="1"/>
    <xf numFmtId="0" fontId="12" fillId="12" borderId="0" xfId="3" applyFont="1" applyFill="1" applyBorder="1" applyAlignment="1">
      <alignment horizontal="right" vertical="center"/>
    </xf>
    <xf numFmtId="0" fontId="21" fillId="12" borderId="0" xfId="3" applyFont="1" applyFill="1" applyBorder="1" applyAlignment="1">
      <alignment horizontal="left" indent="1"/>
    </xf>
    <xf numFmtId="0" fontId="3" fillId="12" borderId="0" xfId="3" applyFill="1" applyBorder="1" applyAlignment="1">
      <alignment horizontal="center"/>
    </xf>
    <xf numFmtId="0" fontId="23" fillId="12" borderId="0" xfId="3" applyFont="1" applyFill="1" applyBorder="1" applyAlignment="1">
      <alignment vertical="top" wrapText="1"/>
    </xf>
    <xf numFmtId="0" fontId="23" fillId="12" borderId="42" xfId="3" applyFont="1" applyFill="1" applyBorder="1" applyAlignment="1">
      <alignment horizontal="left" vertical="center" wrapText="1"/>
    </xf>
    <xf numFmtId="0" fontId="3" fillId="12" borderId="0" xfId="3" applyFont="1" applyFill="1" applyBorder="1" applyAlignment="1">
      <alignment horizontal="right" vertical="center" wrapText="1"/>
    </xf>
    <xf numFmtId="1" fontId="3" fillId="12" borderId="55" xfId="3" applyNumberFormat="1" applyFont="1" applyFill="1" applyBorder="1" applyAlignment="1">
      <alignment horizontal="center" vertical="center"/>
    </xf>
    <xf numFmtId="1" fontId="3" fillId="12" borderId="56" xfId="3" applyNumberFormat="1" applyFont="1" applyFill="1" applyBorder="1" applyAlignment="1">
      <alignment horizontal="center" vertical="center"/>
    </xf>
    <xf numFmtId="2" fontId="29" fillId="12" borderId="57" xfId="3" applyNumberFormat="1" applyFont="1" applyFill="1" applyBorder="1" applyAlignment="1">
      <alignment horizontal="center" vertical="center"/>
    </xf>
    <xf numFmtId="1" fontId="30" fillId="12" borderId="58" xfId="3" applyNumberFormat="1" applyFont="1" applyFill="1" applyBorder="1" applyAlignment="1">
      <alignment horizontal="center" vertical="center"/>
    </xf>
    <xf numFmtId="0" fontId="3" fillId="12" borderId="43" xfId="3" applyFill="1" applyBorder="1"/>
    <xf numFmtId="0" fontId="23" fillId="12" borderId="44" xfId="3" applyFont="1" applyFill="1" applyBorder="1" applyAlignment="1">
      <alignment vertical="center" wrapText="1"/>
    </xf>
    <xf numFmtId="0" fontId="23" fillId="12" borderId="44" xfId="3" applyFont="1" applyFill="1" applyBorder="1" applyAlignment="1">
      <alignment vertical="center"/>
    </xf>
    <xf numFmtId="0" fontId="3" fillId="2" borderId="38" xfId="3" applyFill="1" applyBorder="1"/>
    <xf numFmtId="0" fontId="18" fillId="2" borderId="39" xfId="3" applyFont="1" applyFill="1" applyBorder="1" applyAlignment="1">
      <alignment vertical="center"/>
    </xf>
    <xf numFmtId="0" fontId="3" fillId="2" borderId="39" xfId="3" applyFill="1" applyBorder="1" applyAlignment="1">
      <alignment horizontal="center"/>
    </xf>
    <xf numFmtId="0" fontId="31" fillId="2" borderId="39" xfId="3" applyFont="1" applyFill="1" applyBorder="1" applyAlignment="1">
      <alignment horizontal="center"/>
    </xf>
    <xf numFmtId="0" fontId="3" fillId="2" borderId="39" xfId="3" applyFill="1" applyBorder="1" applyAlignment="1">
      <alignment horizontal="center" vertical="center"/>
    </xf>
    <xf numFmtId="0" fontId="3" fillId="2" borderId="40" xfId="3" applyFill="1" applyBorder="1" applyAlignment="1">
      <alignment horizontal="center"/>
    </xf>
    <xf numFmtId="0" fontId="3" fillId="2" borderId="41" xfId="3" applyFill="1" applyBorder="1"/>
    <xf numFmtId="0" fontId="21" fillId="2" borderId="0" xfId="3" applyFont="1" applyFill="1" applyBorder="1" applyAlignment="1">
      <alignment horizontal="left" indent="1"/>
    </xf>
    <xf numFmtId="0" fontId="3" fillId="2" borderId="0" xfId="3" applyFill="1" applyBorder="1" applyAlignment="1">
      <alignment horizontal="center"/>
    </xf>
    <xf numFmtId="0" fontId="3" fillId="2" borderId="0" xfId="3" applyFill="1" applyBorder="1" applyAlignment="1">
      <alignment horizontal="center" vertical="center"/>
    </xf>
    <xf numFmtId="0" fontId="3" fillId="2" borderId="0" xfId="3" applyFill="1" applyBorder="1"/>
    <xf numFmtId="0" fontId="3" fillId="2" borderId="42" xfId="3" applyFill="1" applyBorder="1" applyAlignment="1">
      <alignment horizontal="center"/>
    </xf>
    <xf numFmtId="0" fontId="12" fillId="2" borderId="0" xfId="3" applyFont="1" applyFill="1" applyBorder="1" applyAlignment="1">
      <alignment horizontal="left" indent="3"/>
    </xf>
    <xf numFmtId="0" fontId="3" fillId="2" borderId="0" xfId="3" applyFill="1" applyBorder="1" applyAlignment="1">
      <alignment horizontal="right" vertical="center"/>
    </xf>
    <xf numFmtId="166" fontId="3" fillId="2" borderId="0" xfId="3" applyNumberFormat="1" applyFont="1" applyFill="1" applyBorder="1" applyAlignment="1">
      <alignment horizontal="right" vertical="center"/>
    </xf>
    <xf numFmtId="0" fontId="3" fillId="2" borderId="41" xfId="3" applyFill="1" applyBorder="1" applyAlignment="1">
      <alignment horizontal="center" vertical="center"/>
    </xf>
    <xf numFmtId="0" fontId="3" fillId="2" borderId="42" xfId="3" applyFill="1" applyBorder="1" applyAlignment="1">
      <alignment horizontal="center" vertical="center"/>
    </xf>
    <xf numFmtId="166" fontId="25" fillId="2" borderId="0" xfId="3" applyNumberFormat="1" applyFont="1" applyFill="1" applyBorder="1" applyAlignment="1">
      <alignment horizontal="right" vertical="center"/>
    </xf>
    <xf numFmtId="166" fontId="25" fillId="2" borderId="1" xfId="3" applyNumberFormat="1" applyFont="1" applyFill="1" applyBorder="1" applyAlignment="1">
      <alignment horizontal="center" vertical="center"/>
    </xf>
    <xf numFmtId="166" fontId="12" fillId="2" borderId="0" xfId="3" applyNumberFormat="1" applyFont="1" applyFill="1" applyBorder="1" applyAlignment="1">
      <alignment horizontal="left" vertical="center" indent="2"/>
    </xf>
    <xf numFmtId="166" fontId="2" fillId="2" borderId="1" xfId="3" applyNumberFormat="1" applyFont="1" applyFill="1" applyBorder="1" applyAlignment="1">
      <alignment horizontal="center" vertical="center"/>
    </xf>
    <xf numFmtId="166" fontId="2" fillId="2" borderId="0" xfId="3" applyNumberFormat="1" applyFont="1" applyFill="1" applyBorder="1" applyAlignment="1">
      <alignment horizontal="center" vertical="center"/>
    </xf>
    <xf numFmtId="171" fontId="12" fillId="2" borderId="0" xfId="3" applyNumberFormat="1" applyFont="1" applyFill="1" applyBorder="1" applyAlignment="1">
      <alignment horizontal="left" vertical="center"/>
    </xf>
    <xf numFmtId="166" fontId="12" fillId="2" borderId="0" xfId="3" applyNumberFormat="1" applyFont="1" applyFill="1" applyBorder="1" applyAlignment="1">
      <alignment horizontal="left" vertical="center"/>
    </xf>
    <xf numFmtId="166" fontId="12" fillId="2" borderId="0" xfId="3" applyNumberFormat="1" applyFont="1" applyFill="1" applyBorder="1" applyAlignment="1">
      <alignment vertical="top" wrapText="1"/>
    </xf>
    <xf numFmtId="166" fontId="12" fillId="2" borderId="42" xfId="3" applyNumberFormat="1" applyFont="1" applyFill="1" applyBorder="1" applyAlignment="1">
      <alignment vertical="top" wrapText="1"/>
    </xf>
    <xf numFmtId="0" fontId="12" fillId="2" borderId="0" xfId="3" applyFont="1" applyFill="1" applyBorder="1" applyAlignment="1">
      <alignment horizontal="left" vertical="center" indent="1"/>
    </xf>
    <xf numFmtId="166" fontId="12" fillId="2" borderId="0" xfId="3" applyNumberFormat="1" applyFont="1" applyFill="1" applyBorder="1" applyAlignment="1">
      <alignment horizontal="left" vertical="center" indent="3"/>
    </xf>
    <xf numFmtId="166" fontId="12" fillId="2" borderId="44" xfId="3" applyNumberFormat="1" applyFont="1" applyFill="1" applyBorder="1" applyAlignment="1">
      <alignment vertical="top" wrapText="1"/>
    </xf>
    <xf numFmtId="166" fontId="12" fillId="2" borderId="45" xfId="3" applyNumberFormat="1" applyFont="1" applyFill="1" applyBorder="1" applyAlignment="1">
      <alignment vertical="top" wrapText="1"/>
    </xf>
    <xf numFmtId="0" fontId="3" fillId="2" borderId="38" xfId="3" applyFill="1" applyBorder="1" applyAlignment="1">
      <alignment horizontal="center" vertical="center"/>
    </xf>
    <xf numFmtId="166" fontId="2" fillId="2" borderId="39" xfId="3" applyNumberFormat="1" applyFont="1" applyFill="1" applyBorder="1" applyAlignment="1">
      <alignment horizontal="center" vertical="center"/>
    </xf>
    <xf numFmtId="0" fontId="33" fillId="2" borderId="0" xfId="3" applyFont="1" applyFill="1" applyBorder="1" applyAlignment="1">
      <alignment horizontal="center"/>
    </xf>
    <xf numFmtId="0" fontId="33" fillId="2" borderId="0" xfId="3" applyFont="1" applyFill="1" applyBorder="1" applyAlignment="1">
      <alignment horizontal="center" vertical="center"/>
    </xf>
    <xf numFmtId="166" fontId="23" fillId="2" borderId="0" xfId="3" applyNumberFormat="1" applyFont="1" applyFill="1" applyBorder="1" applyAlignment="1">
      <alignment vertical="center" wrapText="1"/>
    </xf>
    <xf numFmtId="0" fontId="3" fillId="2" borderId="44" xfId="3" applyFill="1" applyBorder="1" applyAlignment="1">
      <alignment horizontal="center"/>
    </xf>
    <xf numFmtId="0" fontId="3" fillId="2" borderId="44" xfId="3" applyFill="1" applyBorder="1"/>
    <xf numFmtId="0" fontId="35" fillId="2" borderId="44" xfId="3" applyFont="1" applyFill="1" applyBorder="1" applyAlignment="1">
      <alignment horizontal="left" vertical="center"/>
    </xf>
    <xf numFmtId="0" fontId="3" fillId="2" borderId="45" xfId="3" applyFill="1" applyBorder="1"/>
    <xf numFmtId="0" fontId="3" fillId="10" borderId="40" xfId="3" applyFill="1" applyBorder="1" applyAlignment="1">
      <alignment horizontal="center"/>
    </xf>
    <xf numFmtId="0" fontId="3" fillId="10" borderId="42" xfId="3" applyFill="1" applyBorder="1" applyAlignment="1">
      <alignment horizontal="center"/>
    </xf>
    <xf numFmtId="0" fontId="3" fillId="0" borderId="0" xfId="3" applyFont="1" applyAlignment="1">
      <alignment vertical="center"/>
    </xf>
    <xf numFmtId="0" fontId="3" fillId="10" borderId="41" xfId="3" applyFont="1" applyFill="1" applyBorder="1" applyAlignment="1">
      <alignment vertical="center"/>
    </xf>
    <xf numFmtId="0" fontId="21" fillId="10" borderId="0" xfId="3" applyFont="1" applyFill="1" applyBorder="1" applyAlignment="1">
      <alignment horizontal="left" vertical="center" indent="1"/>
    </xf>
    <xf numFmtId="0" fontId="3" fillId="10" borderId="42" xfId="3" applyFont="1" applyFill="1" applyBorder="1" applyAlignment="1">
      <alignment horizontal="center" vertical="center"/>
    </xf>
    <xf numFmtId="0" fontId="3" fillId="0" borderId="0" xfId="3" applyFont="1" applyAlignment="1">
      <alignment horizontal="center" vertical="center"/>
    </xf>
    <xf numFmtId="1" fontId="3" fillId="10" borderId="59" xfId="3" applyNumberFormat="1" applyFont="1" applyFill="1" applyBorder="1" applyAlignment="1">
      <alignment horizontal="center" vertical="center"/>
    </xf>
    <xf numFmtId="1" fontId="2" fillId="10" borderId="36" xfId="3" applyNumberFormat="1" applyFont="1" applyFill="1" applyBorder="1" applyAlignment="1">
      <alignment horizontal="center" vertical="center"/>
    </xf>
    <xf numFmtId="0" fontId="12" fillId="10" borderId="0" xfId="3" applyFont="1" applyFill="1" applyBorder="1" applyAlignment="1">
      <alignment horizontal="right" vertical="center"/>
    </xf>
    <xf numFmtId="1" fontId="36" fillId="10" borderId="64" xfId="3" applyNumberFormat="1" applyFont="1" applyFill="1" applyBorder="1" applyAlignment="1">
      <alignment horizontal="center" vertical="center"/>
    </xf>
    <xf numFmtId="1" fontId="36" fillId="10" borderId="64" xfId="3" quotePrefix="1" applyNumberFormat="1" applyFont="1" applyFill="1" applyBorder="1" applyAlignment="1">
      <alignment horizontal="center" vertical="center"/>
    </xf>
    <xf numFmtId="1" fontId="36" fillId="10" borderId="65" xfId="3" applyNumberFormat="1" applyFont="1" applyFill="1" applyBorder="1" applyAlignment="1">
      <alignment horizontal="center" vertical="center"/>
    </xf>
    <xf numFmtId="0" fontId="3" fillId="10" borderId="43" xfId="3" applyFill="1" applyBorder="1"/>
    <xf numFmtId="0" fontId="3" fillId="13" borderId="0" xfId="3" applyFill="1"/>
    <xf numFmtId="0" fontId="3" fillId="13" borderId="0" xfId="3" applyFill="1" applyBorder="1"/>
    <xf numFmtId="0" fontId="23" fillId="13" borderId="0" xfId="3" applyFont="1" applyFill="1" applyBorder="1" applyAlignment="1">
      <alignment horizontal="center" vertical="center" wrapText="1"/>
    </xf>
    <xf numFmtId="0" fontId="3" fillId="13" borderId="0" xfId="3" applyFill="1" applyBorder="1" applyAlignment="1">
      <alignment horizontal="center"/>
    </xf>
    <xf numFmtId="0" fontId="3" fillId="0" borderId="0" xfId="3" applyFill="1"/>
    <xf numFmtId="0" fontId="3" fillId="0" borderId="0" xfId="3" applyFill="1" applyBorder="1"/>
    <xf numFmtId="0" fontId="23" fillId="0" borderId="0" xfId="3" applyFont="1" applyFill="1" applyBorder="1" applyAlignment="1">
      <alignment horizontal="center" vertical="center" wrapText="1"/>
    </xf>
    <xf numFmtId="0" fontId="3" fillId="0" borderId="0" xfId="3" applyBorder="1" applyAlignment="1">
      <alignment horizontal="center"/>
    </xf>
    <xf numFmtId="0" fontId="12" fillId="0" borderId="0" xfId="3" applyFont="1" applyBorder="1" applyAlignment="1">
      <alignment vertical="top"/>
    </xf>
    <xf numFmtId="0" fontId="12" fillId="0" borderId="0" xfId="3" applyFont="1" applyBorder="1" applyAlignment="1">
      <alignment vertical="top" wrapText="1"/>
    </xf>
    <xf numFmtId="0" fontId="12" fillId="0" borderId="0" xfId="3" applyFont="1" applyAlignment="1">
      <alignment vertical="top" wrapText="1"/>
    </xf>
    <xf numFmtId="0" fontId="3" fillId="0" borderId="0" xfId="3" applyAlignment="1"/>
    <xf numFmtId="0" fontId="22" fillId="0" borderId="0" xfId="3" applyFont="1"/>
    <xf numFmtId="0" fontId="3" fillId="0" borderId="0" xfId="3" applyFont="1" applyAlignment="1">
      <alignment horizontal="left"/>
    </xf>
    <xf numFmtId="0" fontId="22" fillId="0" borderId="0" xfId="3" applyFont="1" applyAlignment="1">
      <alignment horizontal="center"/>
    </xf>
    <xf numFmtId="0" fontId="3" fillId="0" borderId="0" xfId="3" applyAlignment="1">
      <alignment horizontal="left"/>
    </xf>
    <xf numFmtId="0" fontId="3" fillId="0" borderId="0" xfId="0" applyFont="1" applyAlignment="1">
      <alignment wrapText="1"/>
    </xf>
    <xf numFmtId="0" fontId="14" fillId="0" borderId="1" xfId="0" applyFont="1" applyBorder="1" applyAlignment="1">
      <alignment horizontal="center" vertical="center"/>
    </xf>
    <xf numFmtId="0" fontId="0" fillId="0" borderId="0" xfId="0" applyAlignment="1">
      <alignment horizontal="center"/>
    </xf>
    <xf numFmtId="2" fontId="0" fillId="7" borderId="1" xfId="0" applyNumberFormat="1" applyFill="1" applyBorder="1" applyAlignment="1">
      <alignment horizontal="center" vertical="center"/>
    </xf>
    <xf numFmtId="0" fontId="14" fillId="0" borderId="0" xfId="0" applyFont="1" applyBorder="1" applyAlignment="1">
      <alignment vertical="center"/>
    </xf>
    <xf numFmtId="1" fontId="0" fillId="0" borderId="0" xfId="0" applyNumberFormat="1" applyAlignment="1">
      <alignment horizontal="center"/>
    </xf>
    <xf numFmtId="0" fontId="1" fillId="0" borderId="0" xfId="6"/>
    <xf numFmtId="0" fontId="13" fillId="0" borderId="0" xfId="6" applyFont="1" applyAlignment="1">
      <alignment horizontal="center"/>
    </xf>
    <xf numFmtId="0" fontId="1" fillId="8" borderId="1" xfId="6" applyFill="1" applyBorder="1"/>
    <xf numFmtId="0" fontId="1" fillId="14" borderId="0" xfId="6" applyFill="1"/>
    <xf numFmtId="164" fontId="1" fillId="8" borderId="1" xfId="6" applyNumberFormat="1" applyFill="1" applyBorder="1"/>
    <xf numFmtId="2" fontId="1" fillId="8" borderId="1" xfId="6" applyNumberFormat="1" applyFill="1" applyBorder="1"/>
    <xf numFmtId="11" fontId="1" fillId="8" borderId="1" xfId="6" applyNumberFormat="1" applyFill="1" applyBorder="1"/>
    <xf numFmtId="0" fontId="40" fillId="0" borderId="0" xfId="6" applyFont="1" applyFill="1" applyBorder="1"/>
    <xf numFmtId="0" fontId="13" fillId="0" borderId="0" xfId="6" applyFont="1"/>
    <xf numFmtId="0" fontId="41" fillId="0" borderId="0" xfId="6" applyFont="1"/>
    <xf numFmtId="0" fontId="1" fillId="14" borderId="1" xfId="6" applyFill="1" applyBorder="1"/>
    <xf numFmtId="0" fontId="13" fillId="0" borderId="68" xfId="6" applyFont="1" applyBorder="1" applyAlignment="1">
      <alignment horizontal="right"/>
    </xf>
    <xf numFmtId="2" fontId="13" fillId="14" borderId="69" xfId="6" applyNumberFormat="1" applyFont="1" applyFill="1" applyBorder="1" applyAlignment="1">
      <alignment horizontal="center"/>
    </xf>
    <xf numFmtId="0" fontId="13" fillId="0" borderId="70" xfId="6" applyFont="1" applyBorder="1"/>
    <xf numFmtId="0" fontId="45" fillId="0" borderId="0" xfId="7"/>
    <xf numFmtId="164" fontId="1" fillId="0" borderId="0" xfId="6" applyNumberFormat="1"/>
    <xf numFmtId="11" fontId="1" fillId="0" borderId="0" xfId="6" applyNumberFormat="1"/>
    <xf numFmtId="0" fontId="0" fillId="8" borderId="9" xfId="0" applyFill="1" applyBorder="1" applyAlignment="1" applyProtection="1">
      <alignment horizontal="center"/>
      <protection locked="0"/>
    </xf>
    <xf numFmtId="0" fontId="0" fillId="8" borderId="1" xfId="0" applyFill="1" applyBorder="1" applyProtection="1">
      <protection locked="0"/>
    </xf>
    <xf numFmtId="164" fontId="0" fillId="8" borderId="1" xfId="0" applyNumberFormat="1" applyFill="1" applyBorder="1" applyProtection="1">
      <protection locked="0"/>
    </xf>
    <xf numFmtId="0" fontId="14" fillId="0" borderId="0" xfId="0" applyFont="1" applyBorder="1" applyAlignment="1">
      <alignment horizontal="center"/>
    </xf>
    <xf numFmtId="0" fontId="3" fillId="0" borderId="0" xfId="0" applyFont="1" applyAlignment="1">
      <alignment textRotation="90"/>
    </xf>
    <xf numFmtId="0" fontId="14" fillId="0" borderId="0" xfId="0" applyFont="1" applyAlignment="1">
      <alignment horizontal="center" vertical="center"/>
    </xf>
    <xf numFmtId="0" fontId="14" fillId="0" borderId="1" xfId="0" applyFont="1" applyFill="1" applyBorder="1" applyAlignment="1">
      <alignment horizontal="center" vertical="center"/>
    </xf>
    <xf numFmtId="0" fontId="14" fillId="0" borderId="12" xfId="0" applyFont="1" applyBorder="1"/>
    <xf numFmtId="0" fontId="14" fillId="0" borderId="8" xfId="0" applyFont="1" applyBorder="1"/>
    <xf numFmtId="0" fontId="14" fillId="0" borderId="10" xfId="0" applyFont="1" applyBorder="1" applyAlignment="1">
      <alignment horizontal="right"/>
    </xf>
    <xf numFmtId="0" fontId="14" fillId="0" borderId="10" xfId="0" applyFont="1" applyBorder="1" applyAlignment="1">
      <alignment horizontal="center"/>
    </xf>
    <xf numFmtId="2" fontId="14" fillId="7" borderId="1" xfId="0" applyNumberFormat="1" applyFont="1" applyFill="1" applyBorder="1" applyAlignment="1" applyProtection="1">
      <alignment horizontal="center" vertical="center"/>
    </xf>
    <xf numFmtId="166" fontId="14" fillId="13" borderId="32" xfId="0" applyNumberFormat="1" applyFont="1" applyFill="1" applyBorder="1" applyAlignment="1" applyProtection="1">
      <alignment horizontal="center" vertical="center"/>
    </xf>
    <xf numFmtId="0" fontId="14" fillId="0" borderId="12" xfId="0" applyFont="1" applyBorder="1" applyAlignment="1"/>
    <xf numFmtId="0" fontId="14" fillId="0" borderId="10" xfId="0" applyFont="1" applyBorder="1"/>
    <xf numFmtId="0" fontId="14" fillId="7" borderId="7" xfId="0" applyFont="1" applyFill="1" applyBorder="1" applyAlignment="1">
      <alignment horizontal="center" shrinkToFit="1"/>
    </xf>
    <xf numFmtId="0" fontId="22" fillId="0" borderId="1" xfId="0" applyFont="1" applyBorder="1" applyAlignment="1">
      <alignment horizontal="center" vertical="center"/>
    </xf>
    <xf numFmtId="166" fontId="0" fillId="7" borderId="1" xfId="0" applyNumberFormat="1" applyFill="1" applyBorder="1" applyAlignment="1">
      <alignment horizontal="center" vertical="center"/>
    </xf>
    <xf numFmtId="166" fontId="14" fillId="2" borderId="1" xfId="0" applyNumberFormat="1" applyFont="1" applyFill="1" applyBorder="1" applyAlignment="1" applyProtection="1">
      <alignment horizontal="center" vertical="center"/>
      <protection locked="0"/>
    </xf>
    <xf numFmtId="49" fontId="0" fillId="6" borderId="1" xfId="0" applyNumberFormat="1" applyFill="1" applyBorder="1" applyAlignment="1" applyProtection="1">
      <alignment horizontal="center"/>
      <protection locked="0"/>
    </xf>
    <xf numFmtId="0" fontId="27" fillId="11" borderId="6" xfId="0" applyFont="1" applyFill="1" applyBorder="1" applyAlignment="1" applyProtection="1">
      <alignment horizontal="center" vertical="center"/>
      <protection locked="0"/>
    </xf>
    <xf numFmtId="0" fontId="3" fillId="11" borderId="1" xfId="0" applyFont="1" applyFill="1" applyBorder="1" applyAlignment="1" applyProtection="1">
      <alignment horizontal="center" vertical="center"/>
      <protection locked="0"/>
    </xf>
    <xf numFmtId="0" fontId="3" fillId="11" borderId="0" xfId="0" applyFont="1" applyFill="1" applyBorder="1" applyAlignment="1" applyProtection="1">
      <alignment horizontal="center" vertical="center"/>
    </xf>
    <xf numFmtId="0" fontId="12" fillId="11" borderId="0" xfId="0" applyFont="1" applyFill="1" applyBorder="1" applyAlignment="1" applyProtection="1">
      <alignment horizontal="right" vertical="center"/>
    </xf>
    <xf numFmtId="0" fontId="0" fillId="0" borderId="1" xfId="0" applyFill="1" applyBorder="1" applyAlignment="1" applyProtection="1">
      <alignment horizontal="center" vertical="center"/>
      <protection locked="0"/>
    </xf>
    <xf numFmtId="0" fontId="3" fillId="0" borderId="1" xfId="4" applyNumberFormat="1" applyFont="1" applyFill="1" applyBorder="1" applyAlignment="1" applyProtection="1">
      <alignment horizontal="center" vertical="center"/>
      <protection locked="0"/>
    </xf>
    <xf numFmtId="0" fontId="0" fillId="0" borderId="0" xfId="0" applyAlignment="1">
      <alignment horizontal="right" vertical="center"/>
    </xf>
    <xf numFmtId="0" fontId="3" fillId="0" borderId="1" xfId="0" applyFont="1" applyBorder="1" applyAlignment="1">
      <alignment horizontal="right" vertical="center"/>
    </xf>
    <xf numFmtId="9" fontId="0" fillId="6" borderId="1" xfId="1" applyFont="1" applyFill="1" applyBorder="1" applyAlignment="1" applyProtection="1">
      <alignment horizontal="center" vertical="center"/>
      <protection locked="0"/>
    </xf>
    <xf numFmtId="0" fontId="0" fillId="0" borderId="1" xfId="0" applyBorder="1" applyAlignment="1">
      <alignment horizontal="right" vertical="center"/>
    </xf>
    <xf numFmtId="49" fontId="0" fillId="6" borderId="73" xfId="0" applyNumberFormat="1" applyFill="1" applyBorder="1" applyAlignment="1" applyProtection="1">
      <alignment horizontal="center"/>
      <protection locked="0"/>
    </xf>
    <xf numFmtId="49" fontId="0" fillId="6" borderId="75" xfId="0" applyNumberFormat="1" applyFill="1" applyBorder="1" applyAlignment="1" applyProtection="1">
      <alignment horizontal="left" vertical="top"/>
      <protection locked="0"/>
    </xf>
    <xf numFmtId="49" fontId="0" fillId="6" borderId="73" xfId="0" applyNumberFormat="1" applyFill="1" applyBorder="1" applyAlignment="1" applyProtection="1">
      <alignment horizontal="left" vertical="center"/>
      <protection locked="0"/>
    </xf>
    <xf numFmtId="49" fontId="0" fillId="6" borderId="74" xfId="0" applyNumberFormat="1" applyFill="1" applyBorder="1" applyAlignment="1" applyProtection="1">
      <alignment horizontal="left" vertical="center"/>
      <protection locked="0"/>
    </xf>
    <xf numFmtId="0" fontId="3" fillId="0" borderId="0" xfId="0" applyFont="1" applyFill="1" applyBorder="1" applyAlignment="1" applyProtection="1">
      <alignment horizontal="center"/>
      <protection locked="0"/>
    </xf>
    <xf numFmtId="49" fontId="3" fillId="6" borderId="73" xfId="0" applyNumberFormat="1" applyFont="1" applyFill="1" applyBorder="1" applyAlignment="1" applyProtection="1">
      <alignment horizontal="left" vertical="center"/>
      <protection locked="0"/>
    </xf>
    <xf numFmtId="49" fontId="3" fillId="6" borderId="74" xfId="0" applyNumberFormat="1" applyFont="1" applyFill="1" applyBorder="1" applyAlignment="1" applyProtection="1">
      <alignment horizontal="left" vertical="top"/>
      <protection locked="0"/>
    </xf>
    <xf numFmtId="49" fontId="3" fillId="6" borderId="75" xfId="0" applyNumberFormat="1" applyFont="1" applyFill="1" applyBorder="1" applyAlignment="1" applyProtection="1">
      <alignment horizontal="left" vertical="top"/>
      <protection locked="0"/>
    </xf>
    <xf numFmtId="0" fontId="32" fillId="2" borderId="0" xfId="0" applyFont="1" applyFill="1" applyBorder="1" applyAlignment="1" applyProtection="1">
      <alignment horizontal="center" vertical="center"/>
      <protection locked="0"/>
    </xf>
    <xf numFmtId="0" fontId="32" fillId="2" borderId="0" xfId="3" applyFont="1" applyFill="1" applyBorder="1" applyAlignment="1" applyProtection="1">
      <alignment horizontal="center" vertical="center"/>
      <protection locked="0"/>
    </xf>
    <xf numFmtId="0" fontId="3" fillId="11" borderId="1" xfId="3" applyFont="1" applyFill="1" applyBorder="1" applyAlignment="1" applyProtection="1">
      <alignment horizontal="center" vertical="center"/>
      <protection locked="0"/>
    </xf>
    <xf numFmtId="0" fontId="3" fillId="11" borderId="0" xfId="3" applyFont="1" applyFill="1" applyBorder="1" applyAlignment="1" applyProtection="1">
      <alignment horizontal="center" vertical="center"/>
    </xf>
    <xf numFmtId="0" fontId="12" fillId="11" borderId="0" xfId="3" applyFont="1" applyFill="1" applyBorder="1" applyAlignment="1" applyProtection="1">
      <alignment horizontal="right" vertical="center"/>
    </xf>
    <xf numFmtId="2" fontId="14" fillId="15" borderId="1" xfId="0" applyNumberFormat="1" applyFont="1" applyFill="1" applyBorder="1" applyAlignment="1" applyProtection="1">
      <alignment horizontal="center"/>
    </xf>
    <xf numFmtId="0" fontId="14" fillId="0" borderId="6" xfId="0" applyFont="1" applyBorder="1" applyAlignment="1">
      <alignment horizontal="center"/>
    </xf>
    <xf numFmtId="0" fontId="14" fillId="0" borderId="4" xfId="0" applyFont="1" applyBorder="1" applyAlignment="1">
      <alignment horizontal="center"/>
    </xf>
    <xf numFmtId="0" fontId="14" fillId="0" borderId="1" xfId="0" applyFont="1" applyBorder="1" applyAlignment="1">
      <alignment horizontal="center" vertical="center" textRotation="90" wrapText="1"/>
    </xf>
    <xf numFmtId="0" fontId="14" fillId="0" borderId="14" xfId="0" applyFont="1" applyBorder="1" applyAlignment="1">
      <alignment horizontal="center" vertical="center" textRotation="90" wrapText="1"/>
    </xf>
    <xf numFmtId="0" fontId="14" fillId="0" borderId="15" xfId="0" applyFont="1" applyBorder="1" applyAlignment="1">
      <alignment horizontal="center" vertical="center" textRotation="90" wrapText="1"/>
    </xf>
    <xf numFmtId="0" fontId="14" fillId="0" borderId="12" xfId="0" applyFont="1" applyBorder="1" applyAlignment="1">
      <alignment horizontal="center" vertical="center" textRotation="90" wrapText="1"/>
    </xf>
    <xf numFmtId="0" fontId="14" fillId="0" borderId="9" xfId="0" applyFont="1" applyBorder="1" applyAlignment="1">
      <alignment horizontal="center" vertical="center" textRotation="90" wrapText="1"/>
    </xf>
    <xf numFmtId="0" fontId="14" fillId="0" borderId="2" xfId="0" applyFont="1" applyBorder="1" applyAlignment="1">
      <alignment horizontal="center" vertical="center" textRotation="90" wrapText="1"/>
    </xf>
    <xf numFmtId="0" fontId="14" fillId="0" borderId="10" xfId="0" applyFont="1" applyBorder="1" applyAlignment="1">
      <alignment horizontal="center" vertical="center" textRotation="90" wrapText="1"/>
    </xf>
    <xf numFmtId="0" fontId="14" fillId="0" borderId="14" xfId="0" applyFont="1" applyBorder="1" applyAlignment="1">
      <alignment horizontal="center"/>
    </xf>
    <xf numFmtId="0" fontId="14" fillId="0" borderId="5" xfId="0" applyFont="1" applyBorder="1" applyAlignment="1">
      <alignment horizontal="center"/>
    </xf>
    <xf numFmtId="2" fontId="14" fillId="0" borderId="1" xfId="0" applyNumberFormat="1" applyFont="1" applyBorder="1" applyAlignment="1">
      <alignment horizontal="center" vertical="center" wrapText="1"/>
    </xf>
    <xf numFmtId="0" fontId="14" fillId="0" borderId="1" xfId="0" applyFont="1" applyBorder="1" applyAlignment="1">
      <alignment horizontal="right"/>
    </xf>
    <xf numFmtId="0" fontId="14" fillId="7" borderId="1" xfId="0" applyFont="1" applyFill="1" applyBorder="1" applyAlignment="1">
      <alignment horizontal="center" shrinkToFit="1"/>
    </xf>
    <xf numFmtId="2" fontId="14" fillId="7" borderId="6" xfId="0" applyNumberFormat="1" applyFont="1" applyFill="1" applyBorder="1" applyAlignment="1">
      <alignment horizontal="center"/>
    </xf>
    <xf numFmtId="2" fontId="14" fillId="7" borderId="4" xfId="0" applyNumberFormat="1" applyFont="1" applyFill="1" applyBorder="1" applyAlignment="1">
      <alignment horizont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5" xfId="0" applyFont="1" applyBorder="1" applyAlignment="1">
      <alignment horizontal="center" vertical="center"/>
    </xf>
    <xf numFmtId="0" fontId="15" fillId="0" borderId="12" xfId="2" applyFont="1" applyBorder="1" applyAlignment="1" applyProtection="1">
      <alignment horizontal="center"/>
    </xf>
    <xf numFmtId="0" fontId="15" fillId="0" borderId="7" xfId="2" applyFont="1" applyBorder="1" applyAlignment="1" applyProtection="1">
      <alignment horizontal="center"/>
    </xf>
    <xf numFmtId="0" fontId="15" fillId="0" borderId="8" xfId="2" applyFont="1" applyBorder="1" applyAlignment="1" applyProtection="1">
      <alignment horizontal="center"/>
    </xf>
    <xf numFmtId="0" fontId="14" fillId="0" borderId="1" xfId="0" applyFont="1" applyFill="1" applyBorder="1" applyAlignment="1">
      <alignment horizontal="right"/>
    </xf>
    <xf numFmtId="0" fontId="16" fillId="0" borderId="12" xfId="0" applyFont="1" applyBorder="1" applyAlignment="1">
      <alignment horizontal="center"/>
    </xf>
    <xf numFmtId="0" fontId="16" fillId="0" borderId="8" xfId="0" applyFont="1" applyBorder="1" applyAlignment="1">
      <alignment horizontal="center"/>
    </xf>
    <xf numFmtId="0" fontId="16" fillId="0" borderId="14" xfId="0" applyFont="1" applyBorder="1" applyAlignment="1">
      <alignment horizontal="center"/>
    </xf>
    <xf numFmtId="0" fontId="16" fillId="0" borderId="13" xfId="0" applyFont="1" applyBorder="1" applyAlignment="1">
      <alignment horizontal="center"/>
    </xf>
    <xf numFmtId="0" fontId="16" fillId="0" borderId="5" xfId="0" applyFont="1" applyBorder="1" applyAlignment="1">
      <alignment horizontal="center"/>
    </xf>
    <xf numFmtId="167" fontId="14" fillId="7" borderId="4" xfId="1" applyNumberFormat="1" applyFont="1" applyFill="1" applyBorder="1" applyAlignment="1" applyProtection="1">
      <alignment horizontal="center" vertical="center"/>
    </xf>
    <xf numFmtId="0" fontId="16" fillId="0" borderId="9" xfId="0" applyFont="1" applyBorder="1" applyAlignment="1">
      <alignment horizontal="center"/>
    </xf>
    <xf numFmtId="0" fontId="14" fillId="7" borderId="6" xfId="0" applyFont="1" applyFill="1" applyBorder="1" applyAlignment="1">
      <alignment horizontal="center" shrinkToFit="1"/>
    </xf>
    <xf numFmtId="0" fontId="14" fillId="7" borderId="4" xfId="0" applyFont="1" applyFill="1" applyBorder="1" applyAlignment="1">
      <alignment horizontal="center" shrinkToFit="1"/>
    </xf>
    <xf numFmtId="0" fontId="16" fillId="0" borderId="15" xfId="0" applyFont="1" applyBorder="1" applyAlignment="1">
      <alignment horizontal="center" vertical="center" wrapText="1"/>
    </xf>
    <xf numFmtId="0" fontId="16" fillId="0" borderId="11" xfId="0" applyFont="1" applyBorder="1" applyAlignment="1">
      <alignment horizontal="center" vertical="center" wrapText="1"/>
    </xf>
    <xf numFmtId="0" fontId="14" fillId="6" borderId="1" xfId="0" applyFont="1" applyFill="1" applyBorder="1" applyAlignment="1" applyProtection="1">
      <alignment horizontal="center"/>
      <protection locked="0"/>
    </xf>
    <xf numFmtId="0" fontId="14" fillId="6" borderId="6" xfId="0" applyFont="1" applyFill="1" applyBorder="1" applyAlignment="1" applyProtection="1">
      <alignment horizontal="center"/>
      <protection locked="0"/>
    </xf>
    <xf numFmtId="0" fontId="14" fillId="6" borderId="4" xfId="0" applyFont="1" applyFill="1" applyBorder="1" applyAlignment="1" applyProtection="1">
      <alignment horizontal="center"/>
      <protection locked="0"/>
    </xf>
    <xf numFmtId="0" fontId="16" fillId="7" borderId="12" xfId="0" applyFont="1" applyFill="1" applyBorder="1" applyAlignment="1">
      <alignment horizontal="center"/>
    </xf>
    <xf numFmtId="0" fontId="16" fillId="7" borderId="8" xfId="0" applyFont="1" applyFill="1" applyBorder="1" applyAlignment="1">
      <alignment horizontal="center"/>
    </xf>
    <xf numFmtId="0" fontId="16" fillId="0" borderId="1" xfId="0" applyFont="1" applyFill="1" applyBorder="1" applyAlignment="1">
      <alignment horizontal="center"/>
    </xf>
    <xf numFmtId="0" fontId="16" fillId="0" borderId="6" xfId="0" applyFont="1" applyFill="1" applyBorder="1" applyAlignment="1">
      <alignment horizontal="center"/>
    </xf>
    <xf numFmtId="0" fontId="16" fillId="0" borderId="4" xfId="0" applyFont="1" applyFill="1" applyBorder="1" applyAlignment="1">
      <alignment horizontal="center"/>
    </xf>
    <xf numFmtId="0" fontId="16" fillId="6" borderId="1" xfId="0" applyFont="1" applyFill="1" applyBorder="1" applyAlignment="1" applyProtection="1">
      <alignment horizontal="center"/>
      <protection locked="0"/>
    </xf>
    <xf numFmtId="164" fontId="14" fillId="7" borderId="2" xfId="0" applyNumberFormat="1" applyFont="1" applyFill="1" applyBorder="1" applyAlignment="1" applyProtection="1">
      <alignment horizontal="center" vertical="center"/>
    </xf>
    <xf numFmtId="164" fontId="14" fillId="7" borderId="10" xfId="0" applyNumberFormat="1" applyFont="1" applyFill="1" applyBorder="1" applyAlignment="1" applyProtection="1">
      <alignment horizontal="center" vertical="center"/>
    </xf>
    <xf numFmtId="164" fontId="14" fillId="7" borderId="1" xfId="0" applyNumberFormat="1" applyFont="1" applyFill="1" applyBorder="1" applyAlignment="1" applyProtection="1">
      <alignment horizontal="center" vertical="center"/>
    </xf>
    <xf numFmtId="0" fontId="14" fillId="0" borderId="1" xfId="0" applyFont="1" applyBorder="1" applyAlignment="1">
      <alignment horizontal="center" vertical="center"/>
    </xf>
    <xf numFmtId="0" fontId="14" fillId="0" borderId="6" xfId="0" applyFont="1" applyFill="1" applyBorder="1" applyAlignment="1">
      <alignment horizontal="center"/>
    </xf>
    <xf numFmtId="0" fontId="14" fillId="0" borderId="4" xfId="0" applyFont="1" applyFill="1" applyBorder="1" applyAlignment="1">
      <alignment horizontal="center"/>
    </xf>
    <xf numFmtId="0" fontId="14" fillId="0" borderId="1" xfId="0" applyFont="1" applyBorder="1" applyAlignment="1" applyProtection="1">
      <alignment horizontal="right" vertical="top"/>
      <protection locked="0"/>
    </xf>
    <xf numFmtId="0" fontId="16" fillId="0" borderId="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 xfId="0" applyFont="1" applyBorder="1" applyAlignment="1">
      <alignment horizontal="center" vertical="center" wrapText="1"/>
    </xf>
    <xf numFmtId="0" fontId="14" fillId="6" borderId="0" xfId="0" applyFont="1" applyFill="1" applyBorder="1" applyAlignment="1" applyProtection="1">
      <alignment horizontal="center"/>
      <protection locked="0"/>
    </xf>
    <xf numFmtId="168" fontId="14" fillId="6" borderId="0" xfId="0" applyNumberFormat="1" applyFont="1" applyFill="1" applyBorder="1" applyAlignment="1" applyProtection="1">
      <alignment horizontal="center"/>
      <protection locked="0"/>
    </xf>
    <xf numFmtId="0" fontId="14" fillId="6" borderId="2" xfId="0" applyFont="1" applyFill="1" applyBorder="1" applyAlignment="1" applyProtection="1">
      <alignment horizontal="center" vertical="center" wrapText="1"/>
      <protection locked="0"/>
    </xf>
    <xf numFmtId="0" fontId="14" fillId="0" borderId="10" xfId="0" applyFont="1" applyBorder="1" applyAlignment="1">
      <alignment horizontal="center" vertical="center" textRotation="90"/>
    </xf>
    <xf numFmtId="0" fontId="14" fillId="0" borderId="1" xfId="0" applyFont="1" applyBorder="1" applyAlignment="1">
      <alignment horizontal="center" vertical="center" textRotation="90"/>
    </xf>
    <xf numFmtId="0" fontId="14" fillId="0" borderId="10" xfId="0" applyFont="1" applyBorder="1" applyAlignment="1">
      <alignment horizontal="center" vertical="center" wrapText="1"/>
    </xf>
    <xf numFmtId="0" fontId="14" fillId="6" borderId="0" xfId="0" applyFont="1" applyFill="1" applyBorder="1" applyAlignment="1" applyProtection="1">
      <alignment horizontal="center" vertical="center" wrapText="1"/>
      <protection locked="0"/>
    </xf>
    <xf numFmtId="0" fontId="16" fillId="0" borderId="0"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4" fillId="7" borderId="3" xfId="0" applyFont="1" applyFill="1" applyBorder="1" applyAlignment="1">
      <alignment horizontal="center" shrinkToFit="1"/>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4" fillId="0" borderId="6" xfId="0" applyFont="1" applyBorder="1" applyAlignment="1">
      <alignment horizontal="right"/>
    </xf>
    <xf numFmtId="0" fontId="14" fillId="0" borderId="4" xfId="0" applyFont="1" applyBorder="1" applyAlignment="1">
      <alignment horizontal="right"/>
    </xf>
    <xf numFmtId="0" fontId="14" fillId="7" borderId="15" xfId="0" applyFont="1" applyFill="1" applyBorder="1" applyAlignment="1" applyProtection="1">
      <alignment horizontal="center"/>
    </xf>
    <xf numFmtId="0" fontId="14" fillId="7" borderId="0" xfId="0" applyFont="1" applyFill="1" applyBorder="1" applyAlignment="1" applyProtection="1">
      <alignment horizontal="center"/>
    </xf>
    <xf numFmtId="0" fontId="14" fillId="7" borderId="11" xfId="0" applyFont="1" applyFill="1" applyBorder="1" applyAlignment="1" applyProtection="1">
      <alignment horizontal="center"/>
    </xf>
    <xf numFmtId="0" fontId="14" fillId="6" borderId="15" xfId="0" applyFont="1" applyFill="1" applyBorder="1" applyAlignment="1" applyProtection="1">
      <alignment horizontal="center" shrinkToFit="1"/>
      <protection locked="0"/>
    </xf>
    <xf numFmtId="0" fontId="14" fillId="6" borderId="0" xfId="0" applyFont="1" applyFill="1" applyBorder="1" applyAlignment="1" applyProtection="1">
      <alignment horizontal="center" shrinkToFit="1"/>
      <protection locked="0"/>
    </xf>
    <xf numFmtId="0" fontId="14" fillId="6" borderId="11" xfId="0" applyFont="1" applyFill="1" applyBorder="1" applyAlignment="1" applyProtection="1">
      <alignment horizontal="center" shrinkToFit="1"/>
      <protection locked="0"/>
    </xf>
    <xf numFmtId="0" fontId="14" fillId="0" borderId="1" xfId="0" applyFont="1" applyBorder="1" applyAlignment="1" applyProtection="1">
      <alignment horizontal="left" vertical="top" wrapText="1"/>
      <protection locked="0"/>
    </xf>
    <xf numFmtId="0" fontId="16" fillId="0" borderId="6"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3" fillId="0" borderId="24" xfId="0" applyFont="1" applyFill="1" applyBorder="1" applyAlignment="1">
      <alignment horizontal="left"/>
    </xf>
    <xf numFmtId="0" fontId="3" fillId="0" borderId="25" xfId="0" applyFont="1" applyFill="1" applyBorder="1" applyAlignment="1">
      <alignment horizontal="left"/>
    </xf>
    <xf numFmtId="0" fontId="3" fillId="0" borderId="1" xfId="0" applyFont="1" applyFill="1" applyBorder="1" applyAlignment="1">
      <alignment horizontal="left"/>
    </xf>
    <xf numFmtId="0" fontId="3" fillId="0" borderId="22" xfId="0" applyFont="1" applyFill="1" applyBorder="1" applyAlignment="1">
      <alignment horizontal="left"/>
    </xf>
    <xf numFmtId="0" fontId="3" fillId="0" borderId="1" xfId="0" applyFont="1" applyFill="1" applyBorder="1" applyAlignment="1"/>
    <xf numFmtId="0" fontId="3" fillId="0" borderId="22" xfId="0" applyFont="1" applyFill="1" applyBorder="1" applyAlignment="1"/>
    <xf numFmtId="0" fontId="0" fillId="0" borderId="13"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30" xfId="0" applyBorder="1" applyAlignment="1">
      <alignment horizontal="center"/>
    </xf>
    <xf numFmtId="0" fontId="0" fillId="0" borderId="34" xfId="0" applyBorder="1" applyAlignment="1">
      <alignment horizontal="center"/>
    </xf>
    <xf numFmtId="0" fontId="3" fillId="0" borderId="6" xfId="0" applyFont="1" applyBorder="1" applyAlignment="1">
      <alignment vertical="center" wrapText="1"/>
    </xf>
    <xf numFmtId="0" fontId="3" fillId="0" borderId="3" xfId="0" applyFont="1" applyBorder="1" applyAlignment="1">
      <alignment vertical="center" wrapText="1"/>
    </xf>
    <xf numFmtId="0" fontId="3" fillId="0" borderId="29" xfId="0" applyFont="1" applyBorder="1" applyAlignment="1">
      <alignmen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29" xfId="0" applyFont="1" applyBorder="1" applyAlignment="1">
      <alignment horizontal="left" vertical="center" wrapText="1"/>
    </xf>
    <xf numFmtId="0" fontId="0" fillId="0" borderId="6" xfId="0" applyBorder="1" applyAlignment="1">
      <alignment horizontal="center"/>
    </xf>
    <xf numFmtId="0" fontId="0" fillId="0" borderId="3" xfId="0" applyBorder="1" applyAlignment="1">
      <alignment horizontal="center"/>
    </xf>
    <xf numFmtId="0" fontId="0" fillId="0" borderId="29" xfId="0" applyBorder="1" applyAlignment="1">
      <alignment horizontal="center"/>
    </xf>
    <xf numFmtId="0" fontId="0" fillId="0" borderId="14" xfId="0" applyBorder="1" applyAlignment="1">
      <alignment horizontal="center"/>
    </xf>
    <xf numFmtId="0" fontId="0" fillId="0" borderId="33" xfId="0" applyBorder="1" applyAlignment="1">
      <alignment horizontal="center"/>
    </xf>
    <xf numFmtId="0" fontId="3" fillId="0" borderId="9" xfId="0" applyFont="1" applyBorder="1" applyAlignment="1">
      <alignment horizontal="left"/>
    </xf>
    <xf numFmtId="0" fontId="0" fillId="0" borderId="9" xfId="0" applyBorder="1" applyAlignment="1">
      <alignment horizontal="left"/>
    </xf>
    <xf numFmtId="0" fontId="0" fillId="0" borderId="35" xfId="0" applyBorder="1" applyAlignment="1">
      <alignment horizontal="left"/>
    </xf>
    <xf numFmtId="0" fontId="0" fillId="0" borderId="4" xfId="0" applyBorder="1" applyAlignment="1">
      <alignment horizontal="center"/>
    </xf>
    <xf numFmtId="0" fontId="0" fillId="0" borderId="1" xfId="0" applyBorder="1" applyAlignment="1">
      <alignment horizontal="left"/>
    </xf>
    <xf numFmtId="0" fontId="0" fillId="0" borderId="22" xfId="0" applyBorder="1" applyAlignment="1">
      <alignment horizontal="left"/>
    </xf>
    <xf numFmtId="0" fontId="3" fillId="0" borderId="1" xfId="0" applyFont="1" applyBorder="1" applyAlignment="1">
      <alignment horizontal="left"/>
    </xf>
    <xf numFmtId="0" fontId="3" fillId="0" borderId="22" xfId="0" applyFont="1" applyBorder="1" applyAlignment="1">
      <alignment horizontal="left"/>
    </xf>
    <xf numFmtId="0" fontId="3" fillId="0" borderId="6" xfId="0" applyFont="1" applyBorder="1" applyAlignment="1">
      <alignment horizontal="left"/>
    </xf>
    <xf numFmtId="0" fontId="3" fillId="0" borderId="3" xfId="0" applyFont="1" applyBorder="1" applyAlignment="1">
      <alignment horizontal="left"/>
    </xf>
    <xf numFmtId="0" fontId="3" fillId="0" borderId="29" xfId="0" applyFont="1" applyBorder="1" applyAlignment="1">
      <alignment horizontal="left"/>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0" xfId="0" applyFont="1" applyBorder="1" applyAlignment="1">
      <alignment horizontal="center"/>
    </xf>
    <xf numFmtId="0" fontId="2" fillId="0" borderId="20" xfId="0" applyFont="1" applyBorder="1" applyAlignment="1">
      <alignment horizontal="center"/>
    </xf>
    <xf numFmtId="0" fontId="3" fillId="0" borderId="1" xfId="0" applyFont="1" applyBorder="1" applyAlignment="1"/>
    <xf numFmtId="0" fontId="3" fillId="0" borderId="22" xfId="0" applyFont="1" applyBorder="1" applyAlignment="1"/>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3" fillId="0" borderId="30" xfId="0" applyFont="1" applyFill="1" applyBorder="1" applyAlignment="1">
      <alignment horizontal="left"/>
    </xf>
    <xf numFmtId="0" fontId="3" fillId="0" borderId="31" xfId="0" applyFont="1" applyFill="1" applyBorder="1" applyAlignment="1">
      <alignment horizontal="left"/>
    </xf>
    <xf numFmtId="0" fontId="0" fillId="0" borderId="1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 fillId="0" borderId="1" xfId="0" applyFont="1" applyBorder="1" applyAlignment="1">
      <alignment horizontal="center"/>
    </xf>
    <xf numFmtId="0" fontId="0" fillId="6" borderId="6"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2" fillId="0" borderId="37" xfId="0" applyFont="1" applyBorder="1" applyAlignment="1">
      <alignment horizontal="center"/>
    </xf>
    <xf numFmtId="0" fontId="3" fillId="0" borderId="0" xfId="0" applyFont="1" applyBorder="1" applyAlignment="1">
      <alignment horizontal="center"/>
    </xf>
    <xf numFmtId="0" fontId="9" fillId="0" borderId="0" xfId="2" applyAlignment="1" applyProtection="1">
      <alignment horizontal="center"/>
    </xf>
    <xf numFmtId="0" fontId="0" fillId="0" borderId="15" xfId="0" applyBorder="1" applyAlignment="1">
      <alignment horizont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xf>
    <xf numFmtId="0" fontId="2" fillId="0" borderId="0" xfId="0" applyFont="1" applyBorder="1" applyAlignment="1">
      <alignment horizontal="center"/>
    </xf>
    <xf numFmtId="166" fontId="2" fillId="0" borderId="9" xfId="0" applyNumberFormat="1" applyFont="1" applyBorder="1" applyAlignment="1">
      <alignment horizontal="center" vertical="center" wrapText="1"/>
    </xf>
    <xf numFmtId="166" fontId="2" fillId="0" borderId="10" xfId="0" applyNumberFormat="1" applyFont="1" applyBorder="1" applyAlignment="1">
      <alignment horizontal="center" vertical="center" wrapText="1"/>
    </xf>
    <xf numFmtId="0" fontId="2" fillId="0" borderId="9" xfId="0" applyFont="1" applyBorder="1" applyAlignment="1">
      <alignment horizontal="center"/>
    </xf>
    <xf numFmtId="0" fontId="37" fillId="0" borderId="0" xfId="5" applyFont="1" applyAlignment="1" applyProtection="1">
      <alignment horizontal="left" vertical="top" wrapText="1"/>
    </xf>
    <xf numFmtId="0" fontId="37" fillId="0" borderId="0" xfId="5" applyFont="1" applyAlignment="1" applyProtection="1"/>
    <xf numFmtId="0" fontId="37" fillId="0" borderId="0" xfId="5" applyAlignment="1" applyProtection="1"/>
    <xf numFmtId="0" fontId="12" fillId="10" borderId="66" xfId="0" applyFont="1" applyFill="1" applyBorder="1" applyAlignment="1">
      <alignment horizontal="center" vertical="center"/>
    </xf>
    <xf numFmtId="0" fontId="0" fillId="0" borderId="67" xfId="0" applyBorder="1"/>
    <xf numFmtId="0" fontId="23" fillId="10" borderId="0" xfId="0" applyFont="1" applyFill="1" applyBorder="1" applyAlignment="1">
      <alignment horizontal="left" vertical="center" wrapText="1" indent="10"/>
    </xf>
    <xf numFmtId="0" fontId="23" fillId="10" borderId="42" xfId="0" applyFont="1" applyFill="1" applyBorder="1" applyAlignment="1">
      <alignment horizontal="left" vertical="center" wrapText="1" indent="10"/>
    </xf>
    <xf numFmtId="0" fontId="23" fillId="10" borderId="44" xfId="0" applyFont="1" applyFill="1" applyBorder="1" applyAlignment="1">
      <alignment horizontal="center" vertical="center" wrapText="1"/>
    </xf>
    <xf numFmtId="0" fontId="0" fillId="0" borderId="44" xfId="0" applyBorder="1" applyAlignment="1">
      <alignment horizontal="center"/>
    </xf>
    <xf numFmtId="0" fontId="0" fillId="0" borderId="45" xfId="0" applyBorder="1" applyAlignment="1">
      <alignment horizontal="center"/>
    </xf>
    <xf numFmtId="0" fontId="12" fillId="13" borderId="0" xfId="0" applyFont="1" applyFill="1" applyBorder="1" applyAlignment="1">
      <alignment horizontal="left" vertical="center" wrapText="1"/>
    </xf>
    <xf numFmtId="0" fontId="18" fillId="0" borderId="0" xfId="0" applyFont="1" applyAlignment="1">
      <alignment horizontal="left" wrapText="1"/>
    </xf>
    <xf numFmtId="0" fontId="3" fillId="0" borderId="0" xfId="0" applyFont="1" applyAlignment="1">
      <alignment horizontal="left" vertical="top" wrapText="1"/>
    </xf>
    <xf numFmtId="2" fontId="2" fillId="10" borderId="62" xfId="0" applyNumberFormat="1" applyFont="1" applyFill="1" applyBorder="1" applyAlignment="1">
      <alignment horizontal="center" vertical="center"/>
    </xf>
    <xf numFmtId="0" fontId="0" fillId="0" borderId="63" xfId="0" applyBorder="1"/>
    <xf numFmtId="0" fontId="25" fillId="11" borderId="0" xfId="0" applyFont="1" applyFill="1" applyAlignment="1">
      <alignment horizontal="left" vertical="center" wrapText="1" indent="4"/>
    </xf>
    <xf numFmtId="0" fontId="25" fillId="0" borderId="0" xfId="0" applyFont="1" applyAlignment="1">
      <alignment horizontal="left" vertical="center" wrapText="1" indent="4"/>
    </xf>
    <xf numFmtId="0" fontId="25" fillId="0" borderId="42" xfId="0" applyFont="1" applyBorder="1" applyAlignment="1">
      <alignment horizontal="left" vertical="center" wrapText="1" indent="4"/>
    </xf>
    <xf numFmtId="0" fontId="25" fillId="0" borderId="44" xfId="0" applyFont="1" applyBorder="1" applyAlignment="1">
      <alignment horizontal="left" vertical="center" wrapText="1" indent="4"/>
    </xf>
    <xf numFmtId="0" fontId="25" fillId="0" borderId="45" xfId="0" applyFont="1" applyBorder="1" applyAlignment="1">
      <alignment horizontal="left" vertical="center" wrapText="1" indent="4"/>
    </xf>
    <xf numFmtId="0" fontId="23" fillId="12" borderId="39" xfId="0" applyFont="1" applyFill="1" applyBorder="1" applyAlignment="1">
      <alignment horizontal="left" vertical="top" wrapText="1" indent="3"/>
    </xf>
    <xf numFmtId="0" fontId="23" fillId="12" borderId="40" xfId="0" applyFont="1" applyFill="1" applyBorder="1" applyAlignment="1">
      <alignment horizontal="left" vertical="top" wrapText="1" indent="3"/>
    </xf>
    <xf numFmtId="0" fontId="23" fillId="12" borderId="0" xfId="0" applyFont="1" applyFill="1" applyBorder="1" applyAlignment="1">
      <alignment horizontal="left" vertical="top" wrapText="1" indent="3"/>
    </xf>
    <xf numFmtId="0" fontId="23" fillId="12" borderId="42" xfId="0" applyFont="1" applyFill="1" applyBorder="1" applyAlignment="1">
      <alignment horizontal="left" vertical="top" wrapText="1" indent="3"/>
    </xf>
    <xf numFmtId="0" fontId="3" fillId="12" borderId="0" xfId="0" applyFont="1" applyFill="1" applyBorder="1" applyAlignment="1">
      <alignment horizontal="center" wrapText="1"/>
    </xf>
    <xf numFmtId="0" fontId="3" fillId="12" borderId="53" xfId="0" applyFont="1" applyFill="1" applyBorder="1" applyAlignment="1">
      <alignment horizontal="center" wrapText="1"/>
    </xf>
    <xf numFmtId="0" fontId="0" fillId="12" borderId="0" xfId="0" applyFill="1" applyBorder="1" applyAlignment="1">
      <alignment horizontal="center" wrapText="1"/>
    </xf>
    <xf numFmtId="0" fontId="0" fillId="12" borderId="0" xfId="0" applyFill="1" applyBorder="1" applyAlignment="1">
      <alignment horizontal="center"/>
    </xf>
    <xf numFmtId="0" fontId="0" fillId="12" borderId="53" xfId="0" applyFill="1" applyBorder="1" applyAlignment="1">
      <alignment horizontal="center"/>
    </xf>
    <xf numFmtId="0" fontId="28" fillId="12" borderId="0" xfId="0" applyFont="1" applyFill="1" applyBorder="1" applyAlignment="1">
      <alignment horizontal="center" wrapText="1"/>
    </xf>
    <xf numFmtId="0" fontId="28" fillId="12" borderId="30" xfId="0" applyFont="1" applyFill="1" applyBorder="1" applyAlignment="1">
      <alignment horizontal="center" wrapText="1"/>
    </xf>
    <xf numFmtId="0" fontId="12" fillId="12" borderId="0" xfId="0" applyFont="1" applyFill="1" applyBorder="1" applyAlignment="1">
      <alignment horizontal="center" wrapText="1"/>
    </xf>
    <xf numFmtId="0" fontId="12" fillId="12" borderId="54" xfId="0" applyFont="1" applyFill="1" applyBorder="1" applyAlignment="1">
      <alignment horizontal="center" wrapText="1"/>
    </xf>
    <xf numFmtId="0" fontId="0" fillId="0" borderId="0" xfId="0" applyAlignment="1">
      <alignment horizontal="left" wrapText="1" indent="3"/>
    </xf>
    <xf numFmtId="0" fontId="0" fillId="0" borderId="42" xfId="0" applyBorder="1" applyAlignment="1">
      <alignment horizontal="left" wrapText="1" indent="3"/>
    </xf>
    <xf numFmtId="0" fontId="0" fillId="0" borderId="44" xfId="0" applyBorder="1" applyAlignment="1">
      <alignment horizontal="left" wrapText="1" indent="3"/>
    </xf>
    <xf numFmtId="0" fontId="0" fillId="0" borderId="45" xfId="0" applyBorder="1" applyAlignment="1">
      <alignment horizontal="left" wrapText="1" indent="3"/>
    </xf>
    <xf numFmtId="166" fontId="23" fillId="2" borderId="39" xfId="0" applyNumberFormat="1" applyFont="1" applyFill="1" applyBorder="1" applyAlignment="1">
      <alignment horizontal="left" vertical="center" wrapText="1"/>
    </xf>
    <xf numFmtId="166" fontId="23" fillId="2" borderId="40" xfId="0" applyNumberFormat="1" applyFont="1" applyFill="1" applyBorder="1" applyAlignment="1">
      <alignment horizontal="left" vertical="center" wrapText="1"/>
    </xf>
    <xf numFmtId="166" fontId="23" fillId="2" borderId="0" xfId="0" applyNumberFormat="1" applyFont="1" applyFill="1" applyBorder="1" applyAlignment="1">
      <alignment horizontal="left" vertical="center" wrapText="1"/>
    </xf>
    <xf numFmtId="166" fontId="23" fillId="2" borderId="42" xfId="0" applyNumberFormat="1" applyFont="1" applyFill="1" applyBorder="1" applyAlignment="1">
      <alignment horizontal="left" vertical="center" wrapText="1"/>
    </xf>
    <xf numFmtId="0" fontId="0" fillId="10" borderId="0" xfId="0" applyFill="1" applyBorder="1" applyAlignment="1">
      <alignment horizontal="center"/>
    </xf>
    <xf numFmtId="0" fontId="3" fillId="10" borderId="54" xfId="0" applyFont="1" applyFill="1" applyBorder="1" applyAlignment="1">
      <alignment horizontal="center"/>
    </xf>
    <xf numFmtId="2" fontId="3" fillId="10" borderId="60" xfId="0" applyNumberFormat="1" applyFont="1" applyFill="1" applyBorder="1" applyAlignment="1">
      <alignment horizontal="center" vertical="center"/>
    </xf>
    <xf numFmtId="0" fontId="0" fillId="0" borderId="61" xfId="0" applyBorder="1"/>
    <xf numFmtId="0" fontId="26" fillId="11" borderId="11" xfId="0" applyFont="1" applyFill="1" applyBorder="1" applyAlignment="1">
      <alignment horizontal="left" vertical="top" wrapText="1"/>
    </xf>
    <xf numFmtId="0" fontId="17" fillId="0" borderId="0" xfId="0" applyFont="1" applyBorder="1" applyAlignment="1">
      <alignment horizontal="center"/>
    </xf>
    <xf numFmtId="0" fontId="0" fillId="10" borderId="0" xfId="0" applyFill="1" applyBorder="1" applyAlignment="1">
      <alignment horizontal="left"/>
    </xf>
    <xf numFmtId="0" fontId="20" fillId="10" borderId="42" xfId="0" applyFont="1" applyFill="1" applyBorder="1" applyAlignment="1">
      <alignment horizontal="center" vertical="center"/>
    </xf>
    <xf numFmtId="0" fontId="3" fillId="10" borderId="0" xfId="0" applyFont="1" applyFill="1" applyBorder="1" applyAlignment="1">
      <alignment horizontal="left"/>
    </xf>
    <xf numFmtId="0" fontId="23" fillId="10" borderId="0" xfId="0" applyFont="1" applyFill="1" applyBorder="1" applyAlignment="1">
      <alignment horizontal="left" vertical="top" wrapText="1"/>
    </xf>
    <xf numFmtId="0" fontId="23" fillId="10" borderId="42" xfId="0" applyFont="1" applyFill="1" applyBorder="1" applyAlignment="1">
      <alignment horizontal="left" vertical="top" wrapText="1"/>
    </xf>
    <xf numFmtId="0" fontId="23" fillId="10" borderId="44" xfId="0" applyFont="1" applyFill="1" applyBorder="1" applyAlignment="1">
      <alignment horizontal="left" vertical="top" wrapText="1"/>
    </xf>
    <xf numFmtId="0" fontId="23" fillId="10" borderId="45" xfId="0" applyFont="1" applyFill="1" applyBorder="1" applyAlignment="1">
      <alignment horizontal="left" vertical="top" wrapText="1"/>
    </xf>
    <xf numFmtId="0" fontId="12" fillId="10" borderId="66" xfId="3" applyFont="1" applyFill="1" applyBorder="1" applyAlignment="1">
      <alignment horizontal="center" vertical="center"/>
    </xf>
    <xf numFmtId="0" fontId="3" fillId="0" borderId="67" xfId="3" applyBorder="1"/>
    <xf numFmtId="0" fontId="23" fillId="10" borderId="0" xfId="3" applyFont="1" applyFill="1" applyBorder="1" applyAlignment="1">
      <alignment horizontal="left" vertical="center" wrapText="1" indent="10"/>
    </xf>
    <xf numFmtId="0" fontId="23" fillId="10" borderId="42" xfId="3" applyFont="1" applyFill="1" applyBorder="1" applyAlignment="1">
      <alignment horizontal="left" vertical="center" wrapText="1" indent="10"/>
    </xf>
    <xf numFmtId="0" fontId="23" fillId="10" borderId="44" xfId="3" applyFont="1" applyFill="1" applyBorder="1" applyAlignment="1">
      <alignment horizontal="center" vertical="center" wrapText="1"/>
    </xf>
    <xf numFmtId="0" fontId="3" fillId="0" borderId="44" xfId="3" applyBorder="1" applyAlignment="1">
      <alignment horizontal="center"/>
    </xf>
    <xf numFmtId="0" fontId="3" fillId="0" borderId="45" xfId="3" applyBorder="1" applyAlignment="1">
      <alignment horizontal="center"/>
    </xf>
    <xf numFmtId="0" fontId="12" fillId="13" borderId="0" xfId="3" applyFont="1" applyFill="1" applyBorder="1" applyAlignment="1">
      <alignment horizontal="left" vertical="center" wrapText="1"/>
    </xf>
    <xf numFmtId="0" fontId="18" fillId="0" borderId="0" xfId="3" applyFont="1" applyAlignment="1">
      <alignment horizontal="left" wrapText="1"/>
    </xf>
    <xf numFmtId="0" fontId="3" fillId="0" borderId="0" xfId="3" applyFont="1" applyAlignment="1">
      <alignment horizontal="left" vertical="top" wrapText="1"/>
    </xf>
    <xf numFmtId="2" fontId="2" fillId="10" borderId="62" xfId="3" applyNumberFormat="1" applyFont="1" applyFill="1" applyBorder="1" applyAlignment="1">
      <alignment horizontal="center" vertical="center"/>
    </xf>
    <xf numFmtId="0" fontId="3" fillId="0" borderId="63" xfId="3" applyBorder="1"/>
    <xf numFmtId="0" fontId="25" fillId="11" borderId="0" xfId="3" applyFont="1" applyFill="1" applyAlignment="1">
      <alignment horizontal="left" vertical="center" wrapText="1" indent="4"/>
    </xf>
    <xf numFmtId="0" fontId="25" fillId="0" borderId="0" xfId="3" applyFont="1" applyAlignment="1">
      <alignment horizontal="left" vertical="center" wrapText="1" indent="4"/>
    </xf>
    <xf numFmtId="0" fontId="25" fillId="0" borderId="42" xfId="3" applyFont="1" applyBorder="1" applyAlignment="1">
      <alignment horizontal="left" vertical="center" wrapText="1" indent="4"/>
    </xf>
    <xf numFmtId="0" fontId="25" fillId="0" borderId="44" xfId="3" applyFont="1" applyBorder="1" applyAlignment="1">
      <alignment horizontal="left" vertical="center" wrapText="1" indent="4"/>
    </xf>
    <xf numFmtId="0" fontId="25" fillId="0" borderId="45" xfId="3" applyFont="1" applyBorder="1" applyAlignment="1">
      <alignment horizontal="left" vertical="center" wrapText="1" indent="4"/>
    </xf>
    <xf numFmtId="0" fontId="23" fillId="12" borderId="39" xfId="3" applyFont="1" applyFill="1" applyBorder="1" applyAlignment="1">
      <alignment horizontal="left" vertical="top" wrapText="1" indent="3"/>
    </xf>
    <xf numFmtId="0" fontId="23" fillId="12" borderId="40" xfId="3" applyFont="1" applyFill="1" applyBorder="1" applyAlignment="1">
      <alignment horizontal="left" vertical="top" wrapText="1" indent="3"/>
    </xf>
    <xf numFmtId="0" fontId="23" fillId="12" borderId="0" xfId="3" applyFont="1" applyFill="1" applyBorder="1" applyAlignment="1">
      <alignment horizontal="left" vertical="top" wrapText="1" indent="3"/>
    </xf>
    <xf numFmtId="0" fontId="23" fillId="12" borderId="42" xfId="3" applyFont="1" applyFill="1" applyBorder="1" applyAlignment="1">
      <alignment horizontal="left" vertical="top" wrapText="1" indent="3"/>
    </xf>
    <xf numFmtId="0" fontId="3" fillId="12" borderId="0" xfId="3" applyFont="1" applyFill="1" applyBorder="1" applyAlignment="1">
      <alignment horizontal="center" wrapText="1"/>
    </xf>
    <xf numFmtId="0" fontId="3" fillId="12" borderId="53" xfId="3" applyFont="1" applyFill="1" applyBorder="1" applyAlignment="1">
      <alignment horizontal="center" wrapText="1"/>
    </xf>
    <xf numFmtId="0" fontId="3" fillId="12" borderId="0" xfId="3" applyFill="1" applyBorder="1" applyAlignment="1">
      <alignment horizontal="center" wrapText="1"/>
    </xf>
    <xf numFmtId="0" fontId="3" fillId="12" borderId="0" xfId="3" applyFill="1" applyBorder="1" applyAlignment="1">
      <alignment horizontal="center"/>
    </xf>
    <xf numFmtId="0" fontId="3" fillId="12" borderId="53" xfId="3" applyFill="1" applyBorder="1" applyAlignment="1">
      <alignment horizontal="center"/>
    </xf>
    <xf numFmtId="0" fontId="28" fillId="12" borderId="0" xfId="3" applyFont="1" applyFill="1" applyBorder="1" applyAlignment="1">
      <alignment horizontal="center" wrapText="1"/>
    </xf>
    <xf numFmtId="0" fontId="28" fillId="12" borderId="30" xfId="3" applyFont="1" applyFill="1" applyBorder="1" applyAlignment="1">
      <alignment horizontal="center" wrapText="1"/>
    </xf>
    <xf numFmtId="0" fontId="12" fillId="12" borderId="0" xfId="3" applyFont="1" applyFill="1" applyBorder="1" applyAlignment="1">
      <alignment horizontal="center" wrapText="1"/>
    </xf>
    <xf numFmtId="0" fontId="12" fillId="12" borderId="54" xfId="3" applyFont="1" applyFill="1" applyBorder="1" applyAlignment="1">
      <alignment horizontal="center" wrapText="1"/>
    </xf>
    <xf numFmtId="0" fontId="3" fillId="0" borderId="0" xfId="3" applyAlignment="1">
      <alignment horizontal="left" wrapText="1" indent="3"/>
    </xf>
    <xf numFmtId="0" fontId="3" fillId="0" borderId="42" xfId="3" applyBorder="1" applyAlignment="1">
      <alignment horizontal="left" wrapText="1" indent="3"/>
    </xf>
    <xf numFmtId="0" fontId="3" fillId="0" borderId="44" xfId="3" applyBorder="1" applyAlignment="1">
      <alignment horizontal="left" wrapText="1" indent="3"/>
    </xf>
    <xf numFmtId="0" fontId="3" fillId="0" borderId="45" xfId="3" applyBorder="1" applyAlignment="1">
      <alignment horizontal="left" wrapText="1" indent="3"/>
    </xf>
    <xf numFmtId="166" fontId="23" fillId="2" borderId="39" xfId="3" applyNumberFormat="1" applyFont="1" applyFill="1" applyBorder="1" applyAlignment="1">
      <alignment horizontal="left" vertical="center" wrapText="1"/>
    </xf>
    <xf numFmtId="166" fontId="23" fillId="2" borderId="40" xfId="3" applyNumberFormat="1" applyFont="1" applyFill="1" applyBorder="1" applyAlignment="1">
      <alignment horizontal="left" vertical="center" wrapText="1"/>
    </xf>
    <xf numFmtId="166" fontId="23" fillId="2" borderId="0" xfId="3" applyNumberFormat="1" applyFont="1" applyFill="1" applyBorder="1" applyAlignment="1">
      <alignment horizontal="left" vertical="center" wrapText="1"/>
    </xf>
    <xf numFmtId="166" fontId="23" fillId="2" borderId="42" xfId="3" applyNumberFormat="1" applyFont="1" applyFill="1" applyBorder="1" applyAlignment="1">
      <alignment horizontal="left" vertical="center" wrapText="1"/>
    </xf>
    <xf numFmtId="0" fontId="3" fillId="10" borderId="0" xfId="3" applyFill="1" applyBorder="1" applyAlignment="1">
      <alignment horizontal="center"/>
    </xf>
    <xf numFmtId="0" fontId="3" fillId="10" borderId="54" xfId="3" applyFont="1" applyFill="1" applyBorder="1" applyAlignment="1">
      <alignment horizontal="center"/>
    </xf>
    <xf numFmtId="2" fontId="3" fillId="10" borderId="60" xfId="3" applyNumberFormat="1" applyFont="1" applyFill="1" applyBorder="1" applyAlignment="1">
      <alignment horizontal="center" vertical="center"/>
    </xf>
    <xf numFmtId="0" fontId="3" fillId="0" borderId="61" xfId="3" applyBorder="1"/>
    <xf numFmtId="0" fontId="26" fillId="11" borderId="11" xfId="3" applyFont="1" applyFill="1" applyBorder="1" applyAlignment="1">
      <alignment horizontal="left" vertical="top" wrapText="1"/>
    </xf>
    <xf numFmtId="0" fontId="17" fillId="0" borderId="0" xfId="3" applyFont="1" applyBorder="1" applyAlignment="1">
      <alignment horizontal="center"/>
    </xf>
    <xf numFmtId="0" fontId="3" fillId="10" borderId="0" xfId="3" applyFill="1" applyBorder="1" applyAlignment="1">
      <alignment horizontal="left"/>
    </xf>
    <xf numFmtId="0" fontId="20" fillId="10" borderId="42" xfId="3" applyFont="1" applyFill="1" applyBorder="1" applyAlignment="1">
      <alignment horizontal="center" vertical="center"/>
    </xf>
    <xf numFmtId="0" fontId="3" fillId="10" borderId="0" xfId="3" applyFont="1" applyFill="1" applyBorder="1" applyAlignment="1">
      <alignment horizontal="left"/>
    </xf>
    <xf numFmtId="0" fontId="23" fillId="10" borderId="0" xfId="3" applyFont="1" applyFill="1" applyBorder="1" applyAlignment="1">
      <alignment horizontal="left" vertical="top" wrapText="1"/>
    </xf>
    <xf numFmtId="0" fontId="23" fillId="10" borderId="42" xfId="3" applyFont="1" applyFill="1" applyBorder="1" applyAlignment="1">
      <alignment horizontal="left" vertical="top" wrapText="1"/>
    </xf>
    <xf numFmtId="0" fontId="23" fillId="10" borderId="44" xfId="3" applyFont="1" applyFill="1" applyBorder="1" applyAlignment="1">
      <alignment horizontal="left" vertical="top" wrapText="1"/>
    </xf>
    <xf numFmtId="0" fontId="23" fillId="10" borderId="45" xfId="3" applyFont="1" applyFill="1" applyBorder="1"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2" fillId="0" borderId="14" xfId="0" applyFont="1" applyBorder="1" applyAlignment="1">
      <alignment horizontal="center"/>
    </xf>
    <xf numFmtId="0" fontId="2" fillId="0" borderId="13"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3" fillId="0" borderId="1" xfId="0" applyFont="1" applyBorder="1" applyAlignment="1">
      <alignment horizont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2" fontId="0" fillId="4" borderId="6" xfId="0" applyNumberFormat="1" applyFill="1" applyBorder="1" applyAlignment="1">
      <alignment horizontal="center" vertical="center"/>
    </xf>
    <xf numFmtId="2" fontId="0" fillId="4"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2" fillId="0" borderId="0" xfId="0" applyFont="1" applyAlignment="1">
      <alignment horizontal="center"/>
    </xf>
  </cellXfs>
  <cellStyles count="8">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Percent" xfId="1" builtinId="5"/>
    <cellStyle name="Percent 2" xfId="4" xr:uid="{00000000-0005-0000-0000-000032000000}"/>
  </cellStyles>
  <dxfs count="47">
    <dxf>
      <font>
        <b val="0"/>
        <i val="0"/>
        <strike val="0"/>
        <condense val="0"/>
        <extend val="0"/>
        <outline val="0"/>
        <shadow val="0"/>
        <u val="none"/>
        <vertAlign val="baseline"/>
        <sz val="10"/>
        <color auto="1"/>
        <name val="Arial"/>
        <scheme val="none"/>
      </font>
    </dxf>
    <dxf>
      <alignment horizontal="center" vertical="bottom" textRotation="0" wrapText="1" indent="0" justifyLastLine="0" shrinkToFit="0" readingOrder="0"/>
    </dxf>
    <dxf>
      <alignment horizontal="center" textRotation="0" indent="0" justifyLastLine="0" shrinkToFit="0" readingOrder="0"/>
    </dxf>
    <dxf>
      <font>
        <b val="0"/>
        <i val="0"/>
        <strike val="0"/>
        <condense val="0"/>
        <extend val="0"/>
        <outline val="0"/>
        <shadow val="0"/>
        <u val="none"/>
        <vertAlign val="baseline"/>
        <sz val="10"/>
        <color auto="1"/>
        <name val="Arial"/>
        <scheme val="none"/>
      </font>
      <numFmt numFmtId="167" formatCode="0.0%"/>
    </dxf>
    <dxf>
      <font>
        <b/>
        <i val="0"/>
        <strike val="0"/>
        <condense val="0"/>
        <extend val="0"/>
        <outline val="0"/>
        <shadow val="0"/>
        <u val="none"/>
        <vertAlign val="baseline"/>
        <sz val="10"/>
        <color auto="1"/>
        <name val="Arial"/>
        <scheme val="none"/>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center" textRotation="0" wrapText="1" indent="0" justifyLastLine="0" shrinkToFit="0" readingOrder="0"/>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99"/>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theme="0" tint="-0.14996795556505021"/>
        </patternFill>
      </fill>
    </dxf>
    <dxf>
      <font>
        <b/>
        <i val="0"/>
      </font>
    </dxf>
    <dxf>
      <font>
        <b/>
        <i val="0"/>
      </font>
    </dxf>
    <dxf>
      <font>
        <b/>
        <i val="0"/>
      </font>
    </dxf>
    <dxf>
      <font>
        <b/>
        <i val="0"/>
      </font>
    </dxf>
    <dxf>
      <font>
        <b/>
        <i val="0"/>
      </font>
    </dxf>
    <dxf>
      <font>
        <b/>
        <i val="0"/>
      </font>
    </dxf>
    <dxf>
      <font>
        <b/>
        <i val="0"/>
      </font>
      <fill>
        <patternFill>
          <bgColor rgb="FF00B0F0"/>
        </patternFill>
      </fill>
    </dxf>
  </dxfs>
  <tableStyles count="0" defaultTableStyle="TableStyleMedium9" defaultPivotStyle="PivotStyleLight16"/>
  <colors>
    <mruColors>
      <color rgb="FFFFFF99"/>
      <color rgb="FFFFFF66"/>
      <color rgb="FF66CC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Lines="12" dropStyle="combo" dx="22" fmlaLink="D14" fmlaRange="$I$12:$I$22" noThreeD="1" sel="2" val="0"/>
</file>

<file path=xl/ctrlProps/ctrlProp10.xml><?xml version="1.0" encoding="utf-8"?>
<formControlPr xmlns="http://schemas.microsoft.com/office/spreadsheetml/2009/9/main" objectType="Drop" dropLines="12" dropStyle="combo" dx="22" fmlaLink="D16" fmlaRange="$I$12:$I$22" noThreeD="1" sel="10" val="0"/>
</file>

<file path=xl/ctrlProps/ctrlProp11.xml><?xml version="1.0" encoding="utf-8"?>
<formControlPr xmlns="http://schemas.microsoft.com/office/spreadsheetml/2009/9/main" objectType="Drop" dropLines="12" dropStyle="combo" dx="22" fmlaLink="D17" fmlaRange="$I$12:$I$22" noThreeD="1" sel="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checked="Checked" fmlaLink="$D$44"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Radio" firstButton="1" fmlaLink="$K$3"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CheckBox" checked="Checked" fmlaLink="$F$45" lockText="1" noThreeD="1"/>
</file>

<file path=xl/ctrlProps/ctrlProp21.xml><?xml version="1.0" encoding="utf-8"?>
<formControlPr xmlns="http://schemas.microsoft.com/office/spreadsheetml/2009/9/main" objectType="CheckBox" checked="Checked" fmlaLink="$D$38" lockText="1" noThreeD="1"/>
</file>

<file path=xl/ctrlProps/ctrlProp22.xml><?xml version="1.0" encoding="utf-8"?>
<formControlPr xmlns="http://schemas.microsoft.com/office/spreadsheetml/2009/9/main" objectType="CheckBox" checked="Checked" fmlaLink="$E$38" lockText="1" noThreeD="1"/>
</file>

<file path=xl/ctrlProps/ctrlProp23.xml><?xml version="1.0" encoding="utf-8"?>
<formControlPr xmlns="http://schemas.microsoft.com/office/spreadsheetml/2009/9/main" objectType="CheckBox" checked="Checked" fmlaLink="$F$38" lockText="1" noThreeD="1"/>
</file>

<file path=xl/ctrlProps/ctrlProp24.xml><?xml version="1.0" encoding="utf-8"?>
<formControlPr xmlns="http://schemas.microsoft.com/office/spreadsheetml/2009/9/main" objectType="CheckBox" checked="Checked" fmlaLink="$E$45" lockText="1" noThreeD="1"/>
</file>

<file path=xl/ctrlProps/ctrlProp25.xml><?xml version="1.0" encoding="utf-8"?>
<formControlPr xmlns="http://schemas.microsoft.com/office/spreadsheetml/2009/9/main" objectType="Drop" dropLines="12" dropStyle="combo" dx="22" fmlaLink="D15" fmlaRange="$I$13:$I$23" noThreeD="1" sel="1" val="0"/>
</file>

<file path=xl/ctrlProps/ctrlProp26.xml><?xml version="1.0" encoding="utf-8"?>
<formControlPr xmlns="http://schemas.microsoft.com/office/spreadsheetml/2009/9/main" objectType="Drop" dropLines="12" dropStyle="combo" dx="22" fmlaLink="D16" fmlaRange="$I$13:$I$23" noThreeD="1" sel="1" val="0"/>
</file>

<file path=xl/ctrlProps/ctrlProp27.xml><?xml version="1.0" encoding="utf-8"?>
<formControlPr xmlns="http://schemas.microsoft.com/office/spreadsheetml/2009/9/main" objectType="Drop" dropLines="12" dropStyle="combo" dx="22" fmlaLink="D17" fmlaRange="$I$13:$I$23" noThreeD="1" sel="1" val="0"/>
</file>

<file path=xl/ctrlProps/ctrlProp28.xml><?xml version="1.0" encoding="utf-8"?>
<formControlPr xmlns="http://schemas.microsoft.com/office/spreadsheetml/2009/9/main" objectType="Drop" dropLines="12" dropStyle="combo" dx="22" fmlaLink="D18" fmlaRange="$I$13:$I$23" noThreeD="1" sel="1" val="0"/>
</file>

<file path=xl/ctrlProps/ctrlProp29.xml><?xml version="1.0" encoding="utf-8"?>
<formControlPr xmlns="http://schemas.microsoft.com/office/spreadsheetml/2009/9/main" objectType="Drop" dropLines="12" dropStyle="combo" dx="22" fmlaLink="D22"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19" fmlaRange="$I$13:$I$23" noThreeD="1" sel="1" val="0"/>
</file>

<file path=xl/ctrlProps/ctrlProp31.xml><?xml version="1.0" encoding="utf-8"?>
<formControlPr xmlns="http://schemas.microsoft.com/office/spreadsheetml/2009/9/main" objectType="Drop" dropLines="12" dropStyle="combo" dx="22" fmlaLink="D20" fmlaRange="$I$13:$I$23" noThreeD="1" sel="1" val="0"/>
</file>

<file path=xl/ctrlProps/ctrlProp32.xml><?xml version="1.0" encoding="utf-8"?>
<formControlPr xmlns="http://schemas.microsoft.com/office/spreadsheetml/2009/9/main" objectType="Drop" dropLines="12" dropStyle="combo" dx="22" fmlaLink="D21" fmlaRange="$I$13:$I$23" noThreeD="1" sel="1" val="0"/>
</file>

<file path=xl/ctrlProps/ctrlProp33.xml><?xml version="1.0" encoding="utf-8"?>
<formControlPr xmlns="http://schemas.microsoft.com/office/spreadsheetml/2009/9/main" objectType="CheckBox" checked="Checked" fmlaLink="$D$45" lockText="1" noThreeD="1"/>
</file>

<file path=xl/ctrlProps/ctrlProp34.xml><?xml version="1.0" encoding="utf-8"?>
<formControlPr xmlns="http://schemas.microsoft.com/office/spreadsheetml/2009/9/main" objectType="Drop" dropLines="12" dropStyle="combo" dx="22" fmlaLink="D23" fmlaRange="$I$13:$I$23" noThreeD="1" sel="1" val="0"/>
</file>

<file path=xl/ctrlProps/ctrlProp4.xml><?xml version="1.0" encoding="utf-8"?>
<formControlPr xmlns="http://schemas.microsoft.com/office/spreadsheetml/2009/9/main" objectType="CheckBox" checked="Checked" fmlaLink="$F$44" lockText="1" noThreeD="1"/>
</file>

<file path=xl/ctrlProps/ctrlProp5.xml><?xml version="1.0" encoding="utf-8"?>
<formControlPr xmlns="http://schemas.microsoft.com/office/spreadsheetml/2009/9/main" objectType="CheckBox" checked="Checked" fmlaLink="$D$37" lockText="1" noThreeD="1"/>
</file>

<file path=xl/ctrlProps/ctrlProp6.xml><?xml version="1.0" encoding="utf-8"?>
<formControlPr xmlns="http://schemas.microsoft.com/office/spreadsheetml/2009/9/main" objectType="CheckBox" checked="Checked" fmlaLink="$E$37" lockText="1" noThreeD="1"/>
</file>

<file path=xl/ctrlProps/ctrlProp7.xml><?xml version="1.0" encoding="utf-8"?>
<formControlPr xmlns="http://schemas.microsoft.com/office/spreadsheetml/2009/9/main" objectType="CheckBox" checked="Checked" fmlaLink="$F$37" lockText="1" noThreeD="1"/>
</file>

<file path=xl/ctrlProps/ctrlProp8.xml><?xml version="1.0" encoding="utf-8"?>
<formControlPr xmlns="http://schemas.microsoft.com/office/spreadsheetml/2009/9/main" objectType="CheckBox" checked="Checked" fmlaLink="$E$44" lockText="1" noThreeD="1"/>
</file>

<file path=xl/ctrlProps/ctrlProp9.xml><?xml version="1.0" encoding="utf-8"?>
<formControlPr xmlns="http://schemas.microsoft.com/office/spreadsheetml/2009/9/main" objectType="Drop" dropLines="12" dropStyle="combo" dx="22" fmlaLink="D15" fmlaRange="$I$12:$I$22" noThreeD="1" sel="2" val="0"/>
</file>

<file path=xl/drawings/_rels/drawing1.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3.png"/><Relationship Id="rId1" Type="http://schemas.openxmlformats.org/officeDocument/2006/relationships/hyperlink" Target="http://www.homebrewsupply.com/?a_aid=toddhuizingh&amp;a_bid=70d8cb08#a_aid=toddhuizingh&amp;a_bid=70d8cb08&amp;chan=code2"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13</xdr:row>
          <xdr:rowOff>7620</xdr:rowOff>
        </xdr:from>
        <xdr:to>
          <xdr:col>3</xdr:col>
          <xdr:colOff>975360</xdr:colOff>
          <xdr:row>13</xdr:row>
          <xdr:rowOff>213360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30480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43</xdr:row>
          <xdr:rowOff>0</xdr:rowOff>
        </xdr:from>
        <xdr:to>
          <xdr:col>5</xdr:col>
          <xdr:colOff>693420</xdr:colOff>
          <xdr:row>44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36</xdr:row>
          <xdr:rowOff>0</xdr:rowOff>
        </xdr:from>
        <xdr:to>
          <xdr:col>3</xdr:col>
          <xdr:colOff>693420</xdr:colOff>
          <xdr:row>36</xdr:row>
          <xdr:rowOff>220980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36</xdr:row>
          <xdr:rowOff>0</xdr:rowOff>
        </xdr:from>
        <xdr:to>
          <xdr:col>4</xdr:col>
          <xdr:colOff>693420</xdr:colOff>
          <xdr:row>36</xdr:row>
          <xdr:rowOff>220980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36</xdr:row>
          <xdr:rowOff>0</xdr:rowOff>
        </xdr:from>
        <xdr:to>
          <xdr:col>5</xdr:col>
          <xdr:colOff>693420</xdr:colOff>
          <xdr:row>37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43</xdr:row>
          <xdr:rowOff>0</xdr:rowOff>
        </xdr:from>
        <xdr:to>
          <xdr:col>4</xdr:col>
          <xdr:colOff>693420</xdr:colOff>
          <xdr:row>44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5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5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43</xdr:row>
          <xdr:rowOff>0</xdr:rowOff>
        </xdr:from>
        <xdr:to>
          <xdr:col>3</xdr:col>
          <xdr:colOff>693420</xdr:colOff>
          <xdr:row>44</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5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39</xdr:row>
      <xdr:rowOff>95250</xdr:rowOff>
    </xdr:from>
    <xdr:to>
      <xdr:col>5</xdr:col>
      <xdr:colOff>495300</xdr:colOff>
      <xdr:row>40</xdr:row>
      <xdr:rowOff>66675</xdr:rowOff>
    </xdr:to>
    <xdr:sp macro="" textlink="">
      <xdr:nvSpPr>
        <xdr:cNvPr id="21" name="Line 45">
          <a:extLst>
            <a:ext uri="{FF2B5EF4-FFF2-40B4-BE49-F238E27FC236}">
              <a16:creationId xmlns:a16="http://schemas.microsoft.com/office/drawing/2014/main" id="{00000000-0008-0000-05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39</xdr:row>
      <xdr:rowOff>95250</xdr:rowOff>
    </xdr:from>
    <xdr:to>
      <xdr:col>6</xdr:col>
      <xdr:colOff>9525</xdr:colOff>
      <xdr:row>39</xdr:row>
      <xdr:rowOff>95250</xdr:rowOff>
    </xdr:to>
    <xdr:sp macro="" textlink="">
      <xdr:nvSpPr>
        <xdr:cNvPr id="22" name="Line 46">
          <a:extLst>
            <a:ext uri="{FF2B5EF4-FFF2-40B4-BE49-F238E27FC236}">
              <a16:creationId xmlns:a16="http://schemas.microsoft.com/office/drawing/2014/main" id="{00000000-0008-0000-05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36</xdr:row>
      <xdr:rowOff>200025</xdr:rowOff>
    </xdr:from>
    <xdr:to>
      <xdr:col>7</xdr:col>
      <xdr:colOff>161925</xdr:colOff>
      <xdr:row>37</xdr:row>
      <xdr:rowOff>123825</xdr:rowOff>
    </xdr:to>
    <xdr:sp macro="" textlink="">
      <xdr:nvSpPr>
        <xdr:cNvPr id="23" name="Line 47">
          <a:extLst>
            <a:ext uri="{FF2B5EF4-FFF2-40B4-BE49-F238E27FC236}">
              <a16:creationId xmlns:a16="http://schemas.microsoft.com/office/drawing/2014/main" id="{00000000-0008-0000-05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37</xdr:row>
      <xdr:rowOff>123825</xdr:rowOff>
    </xdr:from>
    <xdr:to>
      <xdr:col>7</xdr:col>
      <xdr:colOff>552450</xdr:colOff>
      <xdr:row>37</xdr:row>
      <xdr:rowOff>123825</xdr:rowOff>
    </xdr:to>
    <xdr:sp macro="" textlink="">
      <xdr:nvSpPr>
        <xdr:cNvPr id="24" name="Line 48">
          <a:extLst>
            <a:ext uri="{FF2B5EF4-FFF2-40B4-BE49-F238E27FC236}">
              <a16:creationId xmlns:a16="http://schemas.microsoft.com/office/drawing/2014/main" id="{00000000-0008-0000-05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34</xdr:row>
      <xdr:rowOff>104775</xdr:rowOff>
    </xdr:from>
    <xdr:to>
      <xdr:col>8</xdr:col>
      <xdr:colOff>114300</xdr:colOff>
      <xdr:row>34</xdr:row>
      <xdr:rowOff>104775</xdr:rowOff>
    </xdr:to>
    <xdr:sp macro="" textlink="">
      <xdr:nvSpPr>
        <xdr:cNvPr id="25" name="Line 49">
          <a:extLst>
            <a:ext uri="{FF2B5EF4-FFF2-40B4-BE49-F238E27FC236}">
              <a16:creationId xmlns:a16="http://schemas.microsoft.com/office/drawing/2014/main" id="{00000000-0008-0000-05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34</xdr:row>
      <xdr:rowOff>104775</xdr:rowOff>
    </xdr:from>
    <xdr:to>
      <xdr:col>8</xdr:col>
      <xdr:colOff>114300</xdr:colOff>
      <xdr:row>36</xdr:row>
      <xdr:rowOff>133350</xdr:rowOff>
    </xdr:to>
    <xdr:sp macro="" textlink="">
      <xdr:nvSpPr>
        <xdr:cNvPr id="26" name="Line 51">
          <a:extLst>
            <a:ext uri="{FF2B5EF4-FFF2-40B4-BE49-F238E27FC236}">
              <a16:creationId xmlns:a16="http://schemas.microsoft.com/office/drawing/2014/main" id="{00000000-0008-0000-05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30</xdr:row>
      <xdr:rowOff>180975</xdr:rowOff>
    </xdr:from>
    <xdr:to>
      <xdr:col>7</xdr:col>
      <xdr:colOff>333375</xdr:colOff>
      <xdr:row>30</xdr:row>
      <xdr:rowOff>180975</xdr:rowOff>
    </xdr:to>
    <xdr:sp macro="" textlink="">
      <xdr:nvSpPr>
        <xdr:cNvPr id="27" name="Line 52">
          <a:extLst>
            <a:ext uri="{FF2B5EF4-FFF2-40B4-BE49-F238E27FC236}">
              <a16:creationId xmlns:a16="http://schemas.microsoft.com/office/drawing/2014/main" id="{00000000-0008-0000-05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51</xdr:row>
      <xdr:rowOff>190500</xdr:rowOff>
    </xdr:from>
    <xdr:to>
      <xdr:col>2</xdr:col>
      <xdr:colOff>962025</xdr:colOff>
      <xdr:row>52</xdr:row>
      <xdr:rowOff>95250</xdr:rowOff>
    </xdr:to>
    <xdr:sp macro="" textlink="">
      <xdr:nvSpPr>
        <xdr:cNvPr id="28" name="Line 53">
          <a:extLst>
            <a:ext uri="{FF2B5EF4-FFF2-40B4-BE49-F238E27FC236}">
              <a16:creationId xmlns:a16="http://schemas.microsoft.com/office/drawing/2014/main" id="{00000000-0008-0000-05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95250</xdr:rowOff>
    </xdr:from>
    <xdr:to>
      <xdr:col>2</xdr:col>
      <xdr:colOff>1133475</xdr:colOff>
      <xdr:row>52</xdr:row>
      <xdr:rowOff>95250</xdr:rowOff>
    </xdr:to>
    <xdr:sp macro="" textlink="">
      <xdr:nvSpPr>
        <xdr:cNvPr id="29" name="Line 54">
          <a:extLst>
            <a:ext uri="{FF2B5EF4-FFF2-40B4-BE49-F238E27FC236}">
              <a16:creationId xmlns:a16="http://schemas.microsoft.com/office/drawing/2014/main" id="{00000000-0008-0000-05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26</xdr:row>
      <xdr:rowOff>85725</xdr:rowOff>
    </xdr:from>
    <xdr:to>
      <xdr:col>5</xdr:col>
      <xdr:colOff>971550</xdr:colOff>
      <xdr:row>27</xdr:row>
      <xdr:rowOff>28575</xdr:rowOff>
    </xdr:to>
    <xdr:sp macro="" textlink="">
      <xdr:nvSpPr>
        <xdr:cNvPr id="30" name="Line 56">
          <a:extLst>
            <a:ext uri="{FF2B5EF4-FFF2-40B4-BE49-F238E27FC236}">
              <a16:creationId xmlns:a16="http://schemas.microsoft.com/office/drawing/2014/main" id="{00000000-0008-0000-05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26</xdr:row>
      <xdr:rowOff>85725</xdr:rowOff>
    </xdr:from>
    <xdr:to>
      <xdr:col>7</xdr:col>
      <xdr:colOff>333375</xdr:colOff>
      <xdr:row>26</xdr:row>
      <xdr:rowOff>85725</xdr:rowOff>
    </xdr:to>
    <xdr:sp macro="" textlink="">
      <xdr:nvSpPr>
        <xdr:cNvPr id="31" name="Line 59">
          <a:extLst>
            <a:ext uri="{FF2B5EF4-FFF2-40B4-BE49-F238E27FC236}">
              <a16:creationId xmlns:a16="http://schemas.microsoft.com/office/drawing/2014/main" id="{00000000-0008-0000-05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114300</xdr:rowOff>
    </xdr:from>
    <xdr:to>
      <xdr:col>2</xdr:col>
      <xdr:colOff>114300</xdr:colOff>
      <xdr:row>38</xdr:row>
      <xdr:rowOff>114300</xdr:rowOff>
    </xdr:to>
    <xdr:sp macro="" textlink="">
      <xdr:nvSpPr>
        <xdr:cNvPr id="32" name="Line 65">
          <a:extLst>
            <a:ext uri="{FF2B5EF4-FFF2-40B4-BE49-F238E27FC236}">
              <a16:creationId xmlns:a16="http://schemas.microsoft.com/office/drawing/2014/main" id="{00000000-0008-0000-05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2</xdr:col>
      <xdr:colOff>85725</xdr:colOff>
      <xdr:row>37</xdr:row>
      <xdr:rowOff>123825</xdr:rowOff>
    </xdr:to>
    <xdr:sp macro="" textlink="">
      <xdr:nvSpPr>
        <xdr:cNvPr id="33" name="Line 66">
          <a:extLst>
            <a:ext uri="{FF2B5EF4-FFF2-40B4-BE49-F238E27FC236}">
              <a16:creationId xmlns:a16="http://schemas.microsoft.com/office/drawing/2014/main" id="{00000000-0008-0000-05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1</xdr:col>
      <xdr:colOff>47625</xdr:colOff>
      <xdr:row>38</xdr:row>
      <xdr:rowOff>114300</xdr:rowOff>
    </xdr:to>
    <xdr:sp macro="" textlink="">
      <xdr:nvSpPr>
        <xdr:cNvPr id="34" name="Line 72">
          <a:extLst>
            <a:ext uri="{FF2B5EF4-FFF2-40B4-BE49-F238E27FC236}">
              <a16:creationId xmlns:a16="http://schemas.microsoft.com/office/drawing/2014/main" id="{00000000-0008-0000-05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323850</xdr:colOff>
      <xdr:row>34</xdr:row>
      <xdr:rowOff>114300</xdr:rowOff>
    </xdr:to>
    <xdr:sp macro="" textlink="">
      <xdr:nvSpPr>
        <xdr:cNvPr id="35" name="Line 73">
          <a:extLst>
            <a:ext uri="{FF2B5EF4-FFF2-40B4-BE49-F238E27FC236}">
              <a16:creationId xmlns:a16="http://schemas.microsoft.com/office/drawing/2014/main" id="{00000000-0008-0000-05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123825</xdr:rowOff>
    </xdr:from>
    <xdr:to>
      <xdr:col>2</xdr:col>
      <xdr:colOff>180975</xdr:colOff>
      <xdr:row>35</xdr:row>
      <xdr:rowOff>123825</xdr:rowOff>
    </xdr:to>
    <xdr:sp macro="" textlink="">
      <xdr:nvSpPr>
        <xdr:cNvPr id="36" name="Line 74">
          <a:extLst>
            <a:ext uri="{FF2B5EF4-FFF2-40B4-BE49-F238E27FC236}">
              <a16:creationId xmlns:a16="http://schemas.microsoft.com/office/drawing/2014/main" id="{00000000-0008-0000-05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28575</xdr:colOff>
      <xdr:row>35</xdr:row>
      <xdr:rowOff>123825</xdr:rowOff>
    </xdr:to>
    <xdr:sp macro="" textlink="">
      <xdr:nvSpPr>
        <xdr:cNvPr id="37" name="Line 75">
          <a:extLst>
            <a:ext uri="{FF2B5EF4-FFF2-40B4-BE49-F238E27FC236}">
              <a16:creationId xmlns:a16="http://schemas.microsoft.com/office/drawing/2014/main" id="{00000000-0008-0000-05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133350</xdr:rowOff>
    </xdr:from>
    <xdr:to>
      <xdr:col>8</xdr:col>
      <xdr:colOff>209550</xdr:colOff>
      <xdr:row>36</xdr:row>
      <xdr:rowOff>133350</xdr:rowOff>
    </xdr:to>
    <xdr:sp macro="" textlink="">
      <xdr:nvSpPr>
        <xdr:cNvPr id="38" name="Line 77">
          <a:extLst>
            <a:ext uri="{FF2B5EF4-FFF2-40B4-BE49-F238E27FC236}">
              <a16:creationId xmlns:a16="http://schemas.microsoft.com/office/drawing/2014/main" id="{00000000-0008-0000-05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114300</xdr:rowOff>
    </xdr:from>
    <xdr:to>
      <xdr:col>2</xdr:col>
      <xdr:colOff>114300</xdr:colOff>
      <xdr:row>45</xdr:row>
      <xdr:rowOff>114300</xdr:rowOff>
    </xdr:to>
    <xdr:sp macro="" textlink="">
      <xdr:nvSpPr>
        <xdr:cNvPr id="39" name="Line 78">
          <a:extLst>
            <a:ext uri="{FF2B5EF4-FFF2-40B4-BE49-F238E27FC236}">
              <a16:creationId xmlns:a16="http://schemas.microsoft.com/office/drawing/2014/main" id="{00000000-0008-0000-05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2</xdr:col>
      <xdr:colOff>85725</xdr:colOff>
      <xdr:row>44</xdr:row>
      <xdr:rowOff>123825</xdr:rowOff>
    </xdr:to>
    <xdr:sp macro="" textlink="">
      <xdr:nvSpPr>
        <xdr:cNvPr id="40" name="Line 79">
          <a:extLst>
            <a:ext uri="{FF2B5EF4-FFF2-40B4-BE49-F238E27FC236}">
              <a16:creationId xmlns:a16="http://schemas.microsoft.com/office/drawing/2014/main" id="{00000000-0008-0000-05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1</xdr:col>
      <xdr:colOff>47625</xdr:colOff>
      <xdr:row>45</xdr:row>
      <xdr:rowOff>114300</xdr:rowOff>
    </xdr:to>
    <xdr:sp macro="" textlink="">
      <xdr:nvSpPr>
        <xdr:cNvPr id="41" name="Line 80">
          <a:extLst>
            <a:ext uri="{FF2B5EF4-FFF2-40B4-BE49-F238E27FC236}">
              <a16:creationId xmlns:a16="http://schemas.microsoft.com/office/drawing/2014/main" id="{00000000-0008-0000-05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323850</xdr:colOff>
      <xdr:row>41</xdr:row>
      <xdr:rowOff>114300</xdr:rowOff>
    </xdr:to>
    <xdr:sp macro="" textlink="">
      <xdr:nvSpPr>
        <xdr:cNvPr id="42" name="Line 81">
          <a:extLst>
            <a:ext uri="{FF2B5EF4-FFF2-40B4-BE49-F238E27FC236}">
              <a16:creationId xmlns:a16="http://schemas.microsoft.com/office/drawing/2014/main" id="{00000000-0008-0000-05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123825</xdr:rowOff>
    </xdr:from>
    <xdr:to>
      <xdr:col>2</xdr:col>
      <xdr:colOff>180975</xdr:colOff>
      <xdr:row>42</xdr:row>
      <xdr:rowOff>123825</xdr:rowOff>
    </xdr:to>
    <xdr:sp macro="" textlink="">
      <xdr:nvSpPr>
        <xdr:cNvPr id="43" name="Line 82">
          <a:extLst>
            <a:ext uri="{FF2B5EF4-FFF2-40B4-BE49-F238E27FC236}">
              <a16:creationId xmlns:a16="http://schemas.microsoft.com/office/drawing/2014/main" id="{00000000-0008-0000-05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28575</xdr:colOff>
      <xdr:row>42</xdr:row>
      <xdr:rowOff>123825</xdr:rowOff>
    </xdr:to>
    <xdr:sp macro="" textlink="">
      <xdr:nvSpPr>
        <xdr:cNvPr id="44" name="Line 83">
          <a:extLst>
            <a:ext uri="{FF2B5EF4-FFF2-40B4-BE49-F238E27FC236}">
              <a16:creationId xmlns:a16="http://schemas.microsoft.com/office/drawing/2014/main" id="{00000000-0008-0000-05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61</xdr:row>
      <xdr:rowOff>190499</xdr:rowOff>
    </xdr:from>
    <xdr:to>
      <xdr:col>4</xdr:col>
      <xdr:colOff>633190</xdr:colOff>
      <xdr:row>63</xdr:row>
      <xdr:rowOff>0</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5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1798320</xdr:colOff>
          <xdr:row>78</xdr:row>
          <xdr:rowOff>99060</xdr:rowOff>
        </xdr:from>
        <xdr:to>
          <xdr:col>3</xdr:col>
          <xdr:colOff>518160</xdr:colOff>
          <xdr:row>78</xdr:row>
          <xdr:rowOff>106680</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5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56</xdr:row>
          <xdr:rowOff>175260</xdr:rowOff>
        </xdr:from>
        <xdr:to>
          <xdr:col>2</xdr:col>
          <xdr:colOff>1584960</xdr:colOff>
          <xdr:row>60</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5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693420</xdr:colOff>
          <xdr:row>45</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693420</xdr:colOff>
          <xdr:row>38</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693420</xdr:colOff>
          <xdr:row>38</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693420</xdr:colOff>
          <xdr:row>38</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6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693420</xdr:colOff>
          <xdr:row>45</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6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6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6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6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6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6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6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6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6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693420</xdr:colOff>
          <xdr:row>45</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6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6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3" name="Line 49">
          <a:extLst>
            <a:ext uri="{FF2B5EF4-FFF2-40B4-BE49-F238E27FC236}">
              <a16:creationId xmlns:a16="http://schemas.microsoft.com/office/drawing/2014/main" id="{00000000-0008-0000-06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123825</xdr:rowOff>
    </xdr:to>
    <xdr:sp macro="" textlink="">
      <xdr:nvSpPr>
        <xdr:cNvPr id="24" name="Line 51">
          <a:extLst>
            <a:ext uri="{FF2B5EF4-FFF2-40B4-BE49-F238E27FC236}">
              <a16:creationId xmlns:a16="http://schemas.microsoft.com/office/drawing/2014/main" id="{00000000-0008-0000-06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5" name="Line 52">
          <a:extLst>
            <a:ext uri="{FF2B5EF4-FFF2-40B4-BE49-F238E27FC236}">
              <a16:creationId xmlns:a16="http://schemas.microsoft.com/office/drawing/2014/main" id="{00000000-0008-0000-06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6" name="Line 53">
          <a:extLst>
            <a:ext uri="{FF2B5EF4-FFF2-40B4-BE49-F238E27FC236}">
              <a16:creationId xmlns:a16="http://schemas.microsoft.com/office/drawing/2014/main" id="{00000000-0008-0000-06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7" name="Line 54">
          <a:extLst>
            <a:ext uri="{FF2B5EF4-FFF2-40B4-BE49-F238E27FC236}">
              <a16:creationId xmlns:a16="http://schemas.microsoft.com/office/drawing/2014/main" id="{00000000-0008-0000-06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28" name="Line 56">
          <a:extLst>
            <a:ext uri="{FF2B5EF4-FFF2-40B4-BE49-F238E27FC236}">
              <a16:creationId xmlns:a16="http://schemas.microsoft.com/office/drawing/2014/main" id="{00000000-0008-0000-06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29" name="Line 59">
          <a:extLst>
            <a:ext uri="{FF2B5EF4-FFF2-40B4-BE49-F238E27FC236}">
              <a16:creationId xmlns:a16="http://schemas.microsoft.com/office/drawing/2014/main" id="{00000000-0008-0000-06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0" name="Line 60">
          <a:extLst>
            <a:ext uri="{FF2B5EF4-FFF2-40B4-BE49-F238E27FC236}">
              <a16:creationId xmlns:a16="http://schemas.microsoft.com/office/drawing/2014/main" id="{00000000-0008-0000-06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1" name="Line 61">
          <a:extLst>
            <a:ext uri="{FF2B5EF4-FFF2-40B4-BE49-F238E27FC236}">
              <a16:creationId xmlns:a16="http://schemas.microsoft.com/office/drawing/2014/main" id="{00000000-0008-0000-06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2" name="Line 62">
          <a:extLst>
            <a:ext uri="{FF2B5EF4-FFF2-40B4-BE49-F238E27FC236}">
              <a16:creationId xmlns:a16="http://schemas.microsoft.com/office/drawing/2014/main" id="{00000000-0008-0000-06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3" name="Line 63">
          <a:extLst>
            <a:ext uri="{FF2B5EF4-FFF2-40B4-BE49-F238E27FC236}">
              <a16:creationId xmlns:a16="http://schemas.microsoft.com/office/drawing/2014/main" id="{00000000-0008-0000-06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4" name="Line 64">
          <a:extLst>
            <a:ext uri="{FF2B5EF4-FFF2-40B4-BE49-F238E27FC236}">
              <a16:creationId xmlns:a16="http://schemas.microsoft.com/office/drawing/2014/main" id="{00000000-0008-0000-06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5" name="Line 65">
          <a:extLst>
            <a:ext uri="{FF2B5EF4-FFF2-40B4-BE49-F238E27FC236}">
              <a16:creationId xmlns:a16="http://schemas.microsoft.com/office/drawing/2014/main" id="{00000000-0008-0000-06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6" name="Line 66">
          <a:extLst>
            <a:ext uri="{FF2B5EF4-FFF2-40B4-BE49-F238E27FC236}">
              <a16:creationId xmlns:a16="http://schemas.microsoft.com/office/drawing/2014/main" id="{00000000-0008-0000-06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37" name="Line 67">
          <a:extLst>
            <a:ext uri="{FF2B5EF4-FFF2-40B4-BE49-F238E27FC236}">
              <a16:creationId xmlns:a16="http://schemas.microsoft.com/office/drawing/2014/main" id="{00000000-0008-0000-06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38" name="Line 68">
          <a:extLst>
            <a:ext uri="{FF2B5EF4-FFF2-40B4-BE49-F238E27FC236}">
              <a16:creationId xmlns:a16="http://schemas.microsoft.com/office/drawing/2014/main" id="{00000000-0008-0000-06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39" name="Line 69">
          <a:extLst>
            <a:ext uri="{FF2B5EF4-FFF2-40B4-BE49-F238E27FC236}">
              <a16:creationId xmlns:a16="http://schemas.microsoft.com/office/drawing/2014/main" id="{00000000-0008-0000-06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0" name="Line 70">
          <a:extLst>
            <a:ext uri="{FF2B5EF4-FFF2-40B4-BE49-F238E27FC236}">
              <a16:creationId xmlns:a16="http://schemas.microsoft.com/office/drawing/2014/main" id="{00000000-0008-0000-06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1" name="Line 71">
          <a:extLst>
            <a:ext uri="{FF2B5EF4-FFF2-40B4-BE49-F238E27FC236}">
              <a16:creationId xmlns:a16="http://schemas.microsoft.com/office/drawing/2014/main" id="{00000000-0008-0000-06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123825</xdr:rowOff>
    </xdr:from>
    <xdr:to>
      <xdr:col>8</xdr:col>
      <xdr:colOff>209550</xdr:colOff>
      <xdr:row>37</xdr:row>
      <xdr:rowOff>123825</xdr:rowOff>
    </xdr:to>
    <xdr:sp macro="" textlink="">
      <xdr:nvSpPr>
        <xdr:cNvPr id="42" name="Line 75">
          <a:extLst>
            <a:ext uri="{FF2B5EF4-FFF2-40B4-BE49-F238E27FC236}">
              <a16:creationId xmlns:a16="http://schemas.microsoft.com/office/drawing/2014/main" id="{00000000-0008-0000-06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365760</xdr:colOff>
          <xdr:row>57</xdr:row>
          <xdr:rowOff>182880</xdr:rowOff>
        </xdr:from>
        <xdr:to>
          <xdr:col>2</xdr:col>
          <xdr:colOff>1607820</xdr:colOff>
          <xdr:row>61</xdr:row>
          <xdr:rowOff>45720</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6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63</xdr:row>
      <xdr:rowOff>0</xdr:rowOff>
    </xdr:from>
    <xdr:to>
      <xdr:col>4</xdr:col>
      <xdr:colOff>628650</xdr:colOff>
      <xdr:row>64</xdr:row>
      <xdr:rowOff>0</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6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H204" totalsRowShown="0" headerRowDxfId="15">
  <autoFilter ref="A1:H204" xr:uid="{00000000-0009-0000-0100-000002000000}"/>
  <sortState ref="A2:H203">
    <sortCondition ref="A1:A203"/>
  </sortState>
  <tableColumns count="8">
    <tableColumn id="1" xr3:uid="{00000000-0010-0000-0000-000001000000}" name="Ingredient Name"/>
    <tableColumn id="6" xr3:uid="{00000000-0010-0000-0000-000006000000}" name="Company" dataDxfId="14"/>
    <tableColumn id="2" xr3:uid="{00000000-0010-0000-0000-000002000000}" name="Grain or Sugar" dataDxfId="13" totalsRowDxfId="12"/>
    <tableColumn id="8" xr3:uid="{00000000-0010-0000-0000-000008000000}" name="Extract %" dataDxfId="11" totalsRowDxfId="10"/>
    <tableColumn id="5" xr3:uid="{00000000-0010-0000-0000-000005000000}" name="Moisture Content %" dataDxfId="9" totalsRowDxfId="8"/>
    <tableColumn id="3" xr3:uid="{00000000-0010-0000-0000-000003000000}" name="Max PPG" dataDxfId="7" totalsRowDxfId="6"/>
    <tableColumn id="4" xr3:uid="{00000000-0010-0000-0000-000004000000}" name="° L" dataDxfId="5"/>
    <tableColumn id="7" xr3:uid="{00000000-0010-0000-0000-000007000000}" name="Sourc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242" totalsRowShown="0" headerRowDxfId="4">
  <autoFilter ref="A1:I242" xr:uid="{00000000-0009-0000-0100-000003000000}"/>
  <sortState ref="A2:I242">
    <sortCondition ref="A1:A242"/>
  </sortState>
  <tableColumns count="9">
    <tableColumn id="1" xr3:uid="{00000000-0010-0000-0100-000001000000}" name="Name &amp; Number"/>
    <tableColumn id="2" xr3:uid="{00000000-0010-0000-0100-000002000000}" name="Type"/>
    <tableColumn id="3" xr3:uid="{00000000-0010-0000-0100-000003000000}" name="Lab"/>
    <tableColumn id="4" xr3:uid="{00000000-0010-0000-0100-000004000000}" name="Floc."/>
    <tableColumn id="5" xr3:uid="{00000000-0010-0000-0100-000005000000}" name="Atten."/>
    <tableColumn id="6" xr3:uid="{00000000-0010-0000-0100-000006000000}" name="Avg Atten" dataDxfId="3" dataCellStyle="Percent"/>
    <tableColumn id="7" xr3:uid="{00000000-0010-0000-0100-000007000000}" name="Temp. Low F" dataDxfId="2"/>
    <tableColumn id="9" xr3:uid="{00000000-0010-0000-0100-000009000000}" name="Temp. High F" dataDxfId="1"/>
    <tableColumn id="8" xr3:uid="{00000000-0010-0000-0100-000008000000}" name="Descriptio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BeerList_Table" displayName="BeerList_Table" ref="B1:AI14" totalsRowShown="0" headerRowDxfId="0">
  <autoFilter ref="B1:AI14" xr:uid="{00000000-0009-0000-0100-000001000000}"/>
  <tableColumns count="34">
    <tableColumn id="1" xr3:uid="{00000000-0010-0000-0200-000001000000}" name="1. Standard American Beer"/>
    <tableColumn id="2" xr3:uid="{00000000-0010-0000-0200-000002000000}" name="2. International Lager"/>
    <tableColumn id="3" xr3:uid="{00000000-0010-0000-0200-000003000000}" name="3. Czech Lager"/>
    <tableColumn id="4" xr3:uid="{00000000-0010-0000-0200-000004000000}" name="4. Pale Malty European Lager"/>
    <tableColumn id="5" xr3:uid="{00000000-0010-0000-0200-000005000000}" name="5. Pale Bitter European Beer"/>
    <tableColumn id="6" xr3:uid="{00000000-0010-0000-0200-000006000000}" name="6. Amber Malty European Lager"/>
    <tableColumn id="7" xr3:uid="{00000000-0010-0000-0200-000007000000}" name="7. Amber Bitter European Beer"/>
    <tableColumn id="8" xr3:uid="{00000000-0010-0000-0200-000008000000}" name="8. Dark European Lager"/>
    <tableColumn id="11" xr3:uid="{00000000-0010-0000-0200-00000B000000}" name="9. Strong European Beer"/>
    <tableColumn id="12" xr3:uid="{00000000-0010-0000-0200-00000C000000}" name="10. German Wheat Beer"/>
    <tableColumn id="13" xr3:uid="{00000000-0010-0000-0200-00000D000000}" name="11. British Bitter"/>
    <tableColumn id="14" xr3:uid="{00000000-0010-0000-0200-00000E000000}" name="12. Pale Commonwealth Beer"/>
    <tableColumn id="17" xr3:uid="{00000000-0010-0000-0200-000011000000}" name="13. Brown British Beer"/>
    <tableColumn id="18" xr3:uid="{00000000-0010-0000-0200-000012000000}" name="14. Scottish Ale"/>
    <tableColumn id="15" xr3:uid="{00000000-0010-0000-0200-00000F000000}" name="15. Irish Beer"/>
    <tableColumn id="16" xr3:uid="{00000000-0010-0000-0200-000010000000}" name="16. Dark British Beer"/>
    <tableColumn id="23" xr3:uid="{00000000-0010-0000-0200-000017000000}" name="17. Strong British Ale"/>
    <tableColumn id="24" xr3:uid="{00000000-0010-0000-0200-000018000000}" name="18. Pale American Ale"/>
    <tableColumn id="21" xr3:uid="{00000000-0010-0000-0200-000015000000}" name="19. Amber and Brown American Beer"/>
    <tableColumn id="22" xr3:uid="{00000000-0010-0000-0200-000016000000}" name="20. American Porter and Stout"/>
    <tableColumn id="19" xr3:uid="{00000000-0010-0000-0200-000013000000}" name="21. IPA"/>
    <tableColumn id="20" xr3:uid="{00000000-0010-0000-0200-000014000000}" name="22. Strong American Ale"/>
    <tableColumn id="27" xr3:uid="{00000000-0010-0000-0200-00001B000000}" name="23. European Sour Ale"/>
    <tableColumn id="28" xr3:uid="{00000000-0010-0000-0200-00001C000000}" name="24. Belgian Ale"/>
    <tableColumn id="25" xr3:uid="{00000000-0010-0000-0200-000019000000}" name="25. Strong Belgian Ale"/>
    <tableColumn id="26" xr3:uid="{00000000-0010-0000-0200-00001A000000}" name="26. Trappist Ale"/>
    <tableColumn id="30" xr3:uid="{00000000-0010-0000-0200-00001E000000}" name="27. Historical Beer"/>
    <tableColumn id="32" xr3:uid="{00000000-0010-0000-0200-000020000000}" name="28. American Wild Ale"/>
    <tableColumn id="33" xr3:uid="{00000000-0010-0000-0200-000021000000}" name="29. Fruit Beer"/>
    <tableColumn id="31" xr3:uid="{00000000-0010-0000-0200-00001F000000}" name="30. Spiced Beer"/>
    <tableColumn id="29" xr3:uid="{00000000-0010-0000-0200-00001D000000}" name="31. Alternative Fermentables Beer"/>
    <tableColumn id="35" xr3:uid="{00000000-0010-0000-0200-000023000000}" name="32. Smoked Beer"/>
    <tableColumn id="34" xr3:uid="{00000000-0010-0000-0200-000022000000}" name="33. Wood Beer"/>
    <tableColumn id="9" xr3:uid="{00000000-0010-0000-0200-000009000000}" name="34. Specialty Bee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0.xml.rels><?xml version="1.0" encoding="UTF-8" standalone="yes"?>
<Relationships xmlns="http://schemas.openxmlformats.org/package/2006/relationships"><Relationship Id="rId117" Type="http://schemas.openxmlformats.org/officeDocument/2006/relationships/hyperlink" Target="http://www.bestmalz.de/en/malts/best-caramel-munich-iii"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63" Type="http://schemas.openxmlformats.org/officeDocument/2006/relationships/hyperlink" Target="https://www.weyermann.de/usa/gelbe_seiten_usa.asp?go=brewery&amp;umenue=yes&amp;idmenue=269&amp;sprache=10" TargetMode="External"/><Relationship Id="rId84" Type="http://schemas.openxmlformats.org/officeDocument/2006/relationships/hyperlink" Target="http://www.brewingwithbriess.com/Products/Dark_Roasted.htm" TargetMode="External"/><Relationship Id="rId138" Type="http://schemas.openxmlformats.org/officeDocument/2006/relationships/hyperlink" Target="http://www.brewingwithbriess.com/Products/Adjuncts.htm" TargetMode="External"/><Relationship Id="rId159" Type="http://schemas.openxmlformats.org/officeDocument/2006/relationships/hyperlink" Target="http://www.beersmith.com/Grains/Grains/GrainList.htm" TargetMode="External"/><Relationship Id="rId170" Type="http://schemas.openxmlformats.org/officeDocument/2006/relationships/hyperlink" Target="http://www.brewingwithbriess.com/Products/Extracts.htm" TargetMode="External"/><Relationship Id="rId107" Type="http://schemas.openxmlformats.org/officeDocument/2006/relationships/hyperlink" Target="http://www.bestmalz.de/en/malts/best-spel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53"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128" Type="http://schemas.openxmlformats.org/officeDocument/2006/relationships/hyperlink" Target="http://www.muntonsmicrobrewing.com/product-range/"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5" Type="http://schemas.openxmlformats.org/officeDocument/2006/relationships/hyperlink" Target="http://www.bestmalz.de/en/malts/best-heidelberg/?portfolioCats=28" TargetMode="External"/><Relationship Id="rId160" Type="http://schemas.openxmlformats.org/officeDocument/2006/relationships/hyperlink" Target="http://www.beersmith.com/Grains/Grains/GrainList.htm" TargetMode="External"/><Relationship Id="rId22" Type="http://schemas.openxmlformats.org/officeDocument/2006/relationships/hyperlink" Target="https://www.simpsonsmalt.co.uk/our-malts/chocolate-malt/" TargetMode="External"/><Relationship Id="rId43" Type="http://schemas.openxmlformats.org/officeDocument/2006/relationships/hyperlink" Target="http://www.dingemansmout.be/products/roasted-malts" TargetMode="External"/><Relationship Id="rId64" Type="http://schemas.openxmlformats.org/officeDocument/2006/relationships/hyperlink" Target="https://www.weyermann.de/usa/gelbe_seiten_usa.asp?go=brewery&amp;umenue=yes&amp;idmenue=269&amp;sprache=10" TargetMode="External"/><Relationship Id="rId118" Type="http://schemas.openxmlformats.org/officeDocument/2006/relationships/hyperlink" Target="http://www.bestmalz.de/en/malts/best-black-malt" TargetMode="External"/><Relationship Id="rId139" Type="http://schemas.openxmlformats.org/officeDocument/2006/relationships/hyperlink" Target="http://www.fawcett-maltsters.co.uk/uploads/2/0/2/6/20260333/spec_table_asbc.pdf" TargetMode="External"/><Relationship Id="rId85" Type="http://schemas.openxmlformats.org/officeDocument/2006/relationships/hyperlink" Target="http://www.brewingwithbriess.com/Products/Roasted.htm" TargetMode="External"/><Relationship Id="rId150" Type="http://schemas.openxmlformats.org/officeDocument/2006/relationships/hyperlink" Target="http://www.beersmith.com/Grains/Grains/GrainList.htm" TargetMode="External"/><Relationship Id="rId171" Type="http://schemas.openxmlformats.org/officeDocument/2006/relationships/hyperlink" Target="http://www.brewingwithbriess.com/Products/Extracts.htm" TargetMode="External"/><Relationship Id="rId12" Type="http://schemas.openxmlformats.org/officeDocument/2006/relationships/hyperlink" Target="https://www.simpsonsmalt.co.uk/our-malts/caramalt/" TargetMode="External"/><Relationship Id="rId33" Type="http://schemas.openxmlformats.org/officeDocument/2006/relationships/hyperlink" Target="http://www.dingemansmout.be/products/kilned-malts" TargetMode="External"/><Relationship Id="rId108" Type="http://schemas.openxmlformats.org/officeDocument/2006/relationships/hyperlink" Target="http://www.bestmalz.de/en/malts/best-heidelberg-wheat-malt"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5" Type="http://schemas.openxmlformats.org/officeDocument/2006/relationships/hyperlink" Target="http://www.brewingwithbriess.com/Products/Caramel.htm" TargetMode="External"/><Relationship Id="rId96" Type="http://schemas.openxmlformats.org/officeDocument/2006/relationships/hyperlink" Target="http://www.bestmalz.de/en/malts/best-pilsen-malt" TargetMode="External"/><Relationship Id="rId140" Type="http://schemas.openxmlformats.org/officeDocument/2006/relationships/hyperlink" Target="http://brewingwithbriess.com/Products/Roasted_Barley.htm" TargetMode="External"/><Relationship Id="rId161" Type="http://schemas.openxmlformats.org/officeDocument/2006/relationships/hyperlink" Target="http://www.beersmith.com/Grains/Grains/GrainList.htm"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pils" TargetMode="External"/><Relationship Id="rId119" Type="http://schemas.openxmlformats.org/officeDocument/2006/relationships/hyperlink" Target="http://www.bestmalz.de/en/malts/best-black-malt-extra" TargetMode="External"/><Relationship Id="rId44" Type="http://schemas.openxmlformats.org/officeDocument/2006/relationships/hyperlink" Target="http://www.dingemansmout.be/products/roasted-malts" TargetMode="External"/><Relationship Id="rId60" Type="http://schemas.openxmlformats.org/officeDocument/2006/relationships/hyperlink" Target="https://www.weyermann.de/usa/gelbe_seiten_usa.asp?go=brewery&amp;umenue=yes&amp;idmenue=269&amp;sprache=10" TargetMode="External"/><Relationship Id="rId65" Type="http://schemas.openxmlformats.org/officeDocument/2006/relationships/hyperlink" Target="https://www.weyermann.de/usa/gelbe_seiten_usa.asp?go=brewery&amp;umenue=yes&amp;idmenue=269&amp;sprache=10" TargetMode="External"/><Relationship Id="rId81" Type="http://schemas.openxmlformats.org/officeDocument/2006/relationships/hyperlink" Target="http://www.brewingwithbriess.com/Products/Caramel.htm" TargetMode="External"/><Relationship Id="rId86" Type="http://schemas.openxmlformats.org/officeDocument/2006/relationships/hyperlink" Target="http://www.brewingwithbriess.com/Products/Munich.htm" TargetMode="External"/><Relationship Id="rId130" Type="http://schemas.openxmlformats.org/officeDocument/2006/relationships/hyperlink" Target="http://www.muntonsmicrobrewing.com/product-range/" TargetMode="External"/><Relationship Id="rId135" Type="http://schemas.openxmlformats.org/officeDocument/2006/relationships/hyperlink" Target="http://www.muntonsmicrobrewing.com/product-range/" TargetMode="External"/><Relationship Id="rId151" Type="http://schemas.openxmlformats.org/officeDocument/2006/relationships/hyperlink" Target="http://www.beersmith.com/Grains/Grains/GrainList.htm" TargetMode="External"/><Relationship Id="rId156" Type="http://schemas.openxmlformats.org/officeDocument/2006/relationships/hyperlink" Target="http://www.beersmith.com/Grains/Grains/GrainList.htm" TargetMode="External"/><Relationship Id="rId177" Type="http://schemas.openxmlformats.org/officeDocument/2006/relationships/table" Target="../tables/table1.xml"/><Relationship Id="rId172" Type="http://schemas.openxmlformats.org/officeDocument/2006/relationships/hyperlink" Target="https://bsgcraftbrewing.com/rahr-standard-2row"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red-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pale-ale" TargetMode="External"/><Relationship Id="rId104" Type="http://schemas.openxmlformats.org/officeDocument/2006/relationships/hyperlink" Target="https://www.simpsonsmalt.co.uk/our-malts/crystal-dark/" TargetMode="External"/><Relationship Id="rId120" Type="http://schemas.openxmlformats.org/officeDocument/2006/relationships/hyperlink" Target="http://www.bestmalz.de/en/malts/best-chit-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Roasted_Barley.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Base.htm"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Adjuncts.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special-x" TargetMode="External"/><Relationship Id="rId115" Type="http://schemas.openxmlformats.org/officeDocument/2006/relationships/hyperlink" Target="http://www.bestmalz.de/en/malts/best-caramel-munich-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Extracts.htm" TargetMode="External"/><Relationship Id="rId157" Type="http://schemas.openxmlformats.org/officeDocument/2006/relationships/hyperlink" Target="http://www.beersmith.com/Grains/Grains/GrainList.htm" TargetMode="External"/><Relationship Id="rId61" Type="http://schemas.openxmlformats.org/officeDocument/2006/relationships/hyperlink" Target="http://www.brewingwithbriess.com/Products/Base.htm"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bsgdistilling.com/rahr-standard-6-row"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 TargetMode="External"/><Relationship Id="rId105" Type="http://schemas.openxmlformats.org/officeDocument/2006/relationships/hyperlink" Target="http://www.bestmalz.de/en/malts/best-wheat-malt"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brewingwithbriess.com/Products/Kilned.htm" TargetMode="External"/><Relationship Id="rId168" Type="http://schemas.openxmlformats.org/officeDocument/2006/relationships/hyperlink" Target="https://www.weyermann.de/usa/gelbe_seiten_usa.asp?go=brewery&amp;umenue=yes&amp;idmenue=269&amp;sprache=10"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Wheat.htm" TargetMode="External"/><Relationship Id="rId98" Type="http://schemas.openxmlformats.org/officeDocument/2006/relationships/hyperlink" Target="http://www.bestmalz.de/en/malts/best-vienna" TargetMode="External"/><Relationship Id="rId121" Type="http://schemas.openxmlformats.org/officeDocument/2006/relationships/hyperlink" Target="http://www.bestmalz.de/en/malts/best-acidulated-malt" TargetMode="External"/><Relationship Id="rId142" Type="http://schemas.openxmlformats.org/officeDocument/2006/relationships/hyperlink" Target="http://brewingwithbriess.com/Products/Dark_Roasted.htm" TargetMode="External"/><Relationship Id="rId163" Type="http://schemas.openxmlformats.org/officeDocument/2006/relationships/hyperlink" Target="http://www.brewingwithbriess.com/Products/Dark_Roasted.htm"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s://www.weyermann.de/usa/gelbe_seiten_usa.asp?go=brewery&amp;umenue=yes&amp;idmenue=269&amp;sprache=10" TargetMode="External"/><Relationship Id="rId116" Type="http://schemas.openxmlformats.org/officeDocument/2006/relationships/hyperlink" Target="http://www.bestmalz.de/en/malts/best-caramel-munich-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Carapils.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hell"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avangard-malz.de/upload/iblock/1cb/1cbb170b18740b3d58e8786cf14b3e8c.pdf"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wheat-malt-dark"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rewingwithbriess.com/Products/Roasted.htm" TargetMode="External"/><Relationship Id="rId99" Type="http://schemas.openxmlformats.org/officeDocument/2006/relationships/hyperlink" Target="http://www.bestmalz.de/en/malts/best-munich-dark/" TargetMode="External"/><Relationship Id="rId101" Type="http://schemas.openxmlformats.org/officeDocument/2006/relationships/hyperlink" Target="http://www.bestmalz.de/en/malts/best-melanoidin-light" TargetMode="External"/><Relationship Id="rId122" Type="http://schemas.openxmlformats.org/officeDocument/2006/relationships/hyperlink" Target="http://www.bestmalz.de/en/malts/best-smoked" TargetMode="External"/><Relationship Id="rId143" Type="http://schemas.openxmlformats.org/officeDocument/2006/relationships/hyperlink" Target="http://brewingwithbriess.com/Products/Dark_Roasted.htm" TargetMode="External"/><Relationship Id="rId148" Type="http://schemas.openxmlformats.org/officeDocument/2006/relationships/hyperlink" Target="http://brewingwithbriess.com/Products/Kilned.htm" TargetMode="External"/><Relationship Id="rId164" Type="http://schemas.openxmlformats.org/officeDocument/2006/relationships/hyperlink" Target="http://www.brewingwithbriess.com/Products/Dark_Roasted.htm" TargetMode="External"/><Relationship Id="rId169" Type="http://schemas.openxmlformats.org/officeDocument/2006/relationships/hyperlink" Target="http://www.brewingwithbriess.com/Products/Extracts.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26" Type="http://schemas.openxmlformats.org/officeDocument/2006/relationships/hyperlink" Target="https://www.simpsonsmalt.co.uk/our-malts/wheat-malt/" TargetMode="External"/><Relationship Id="rId47"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Munich.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romatic" TargetMode="External"/><Relationship Id="rId133" Type="http://schemas.openxmlformats.org/officeDocument/2006/relationships/hyperlink" Target="http://www.muntonsmicrobrewing.com/product-range/" TargetMode="External"/><Relationship Id="rId154" Type="http://schemas.openxmlformats.org/officeDocument/2006/relationships/hyperlink" Target="http://www.beersmith.com/Grains/Grains/GrainList.htm" TargetMode="External"/><Relationship Id="rId175" Type="http://schemas.openxmlformats.org/officeDocument/2006/relationships/hyperlink" Target="https://www.mydigitalpublication.com/publication/?m=53118&amp;l=1&amp;p=&amp;pn=" TargetMode="External"/><Relationship Id="rId16" Type="http://schemas.openxmlformats.org/officeDocument/2006/relationships/hyperlink" Target="https://www.simpsonsmalt.co.uk/our-malts/crystal-medium/" TargetMode="External"/><Relationship Id="rId37" Type="http://schemas.openxmlformats.org/officeDocument/2006/relationships/hyperlink" Target="http://www.dingemansmout.be/products/caramalized-malts" TargetMode="External"/><Relationship Id="rId58" Type="http://schemas.openxmlformats.org/officeDocument/2006/relationships/hyperlink" Target="https://www.weyermann.de/usa/gelbe_seiten_usa.asp?go=brewery&amp;umenue=yes&amp;idmenue=269&amp;sprache=10"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www.bestmalz.de/en/malts/best-munich" TargetMode="External"/><Relationship Id="rId123" Type="http://schemas.openxmlformats.org/officeDocument/2006/relationships/hyperlink" Target="http://www.bestmalz.de/en/malts/best-peated" TargetMode="External"/><Relationship Id="rId144" Type="http://schemas.openxmlformats.org/officeDocument/2006/relationships/hyperlink" Target="http://brewingwithbriess.com/Products/Roasted.htm" TargetMode="External"/><Relationship Id="rId90" Type="http://schemas.openxmlformats.org/officeDocument/2006/relationships/hyperlink" Target="http://www.brewingwithbriess.com/Products/Base.htm" TargetMode="External"/><Relationship Id="rId165" Type="http://schemas.openxmlformats.org/officeDocument/2006/relationships/hyperlink" Target="http://www.brewingwithbriess.com/Products/Dark_Roasted.htm" TargetMode="External"/><Relationship Id="rId27" Type="http://schemas.openxmlformats.org/officeDocument/2006/relationships/hyperlink" Target="https://www.simpsonsmalt.co.uk/our-malts/golden-naked-oats-gno/" TargetMode="External"/><Relationship Id="rId48"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Roasted.htm" TargetMode="External"/><Relationship Id="rId113" Type="http://schemas.openxmlformats.org/officeDocument/2006/relationships/hyperlink" Target="http://www.bestmalz.de/en/malts/best-caramel-amber" TargetMode="External"/><Relationship Id="rId134" Type="http://schemas.openxmlformats.org/officeDocument/2006/relationships/hyperlink" Target="http://www.muntonsmicrobrewing.com/product-range/" TargetMode="External"/><Relationship Id="rId80" Type="http://schemas.openxmlformats.org/officeDocument/2006/relationships/hyperlink" Target="http://www.brewingwithbriess.com/Products/Caramel.htm" TargetMode="External"/><Relationship Id="rId155" Type="http://schemas.openxmlformats.org/officeDocument/2006/relationships/hyperlink" Target="http://www.beersmith.com/Grains/Grains/GrainList.htm" TargetMode="External"/><Relationship Id="rId176" Type="http://schemas.openxmlformats.org/officeDocument/2006/relationships/printerSettings" Target="../printerSettings/printerSettings9.bin"/><Relationship Id="rId17" Type="http://schemas.openxmlformats.org/officeDocument/2006/relationships/hyperlink" Target="https://www.simpsonsmalt.co.uk/our-malts/crystal-extra-dark/"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best-pale-ale-malt/" TargetMode="External"/><Relationship Id="rId124" Type="http://schemas.openxmlformats.org/officeDocument/2006/relationships/hyperlink" Target="http://www.bestmalz.de/en/malts/best-roasted-barley" TargetMode="External"/><Relationship Id="rId70" Type="http://schemas.openxmlformats.org/officeDocument/2006/relationships/hyperlink" Target="http://www.brewingwithbriess.com/Products/Caramel.htm" TargetMode="External"/><Relationship Id="rId91" Type="http://schemas.openxmlformats.org/officeDocument/2006/relationships/hyperlink" Target="http://www.brewingwithbriess.com/Products/Base.htm" TargetMode="External"/><Relationship Id="rId145" Type="http://schemas.openxmlformats.org/officeDocument/2006/relationships/hyperlink" Target="http://brewingwithbriess.com/Products/Kilned.htm" TargetMode="External"/><Relationship Id="rId166" Type="http://schemas.openxmlformats.org/officeDocument/2006/relationships/hyperlink" Target="http://www.bestmalz.de/en/malts/best-chocolate" TargetMode="External"/><Relationship Id="rId1" Type="http://schemas.openxmlformats.org/officeDocument/2006/relationships/hyperlink" Target="https://www.simpsonsmalt.co.uk/our-malts/finest-pale-ale-golden-promise/" TargetMode="External"/></Relationships>
</file>

<file path=xl/worksheets/_rels/sheet1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4.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brainlubeonline.com/GasLawsBeer.html"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aypal.com/cgi-bin/webscr?cmd=_s-xclick&amp;hosted_button_id=4YTSMV7HTDBKW"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youtu.be/W7sEOu2Iz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1.xml"/><Relationship Id="rId12" Type="http://schemas.openxmlformats.org/officeDocument/2006/relationships/image" Target="../media/image2.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6.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1.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hyperlink" Target="http://www.howtobrew.com/section3/chapter15-1.html" TargetMode="External"/><Relationship Id="rId21" Type="http://schemas.openxmlformats.org/officeDocument/2006/relationships/ctrlProp" Target="../ctrlProps/ctrlProp28.xml"/><Relationship Id="rId7" Type="http://schemas.openxmlformats.org/officeDocument/2006/relationships/drawing" Target="../drawings/drawing2.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ctrlProp" Target="../ctrlProps/ctrlProp18.xml"/><Relationship Id="rId24" Type="http://schemas.openxmlformats.org/officeDocument/2006/relationships/ctrlProp" Target="../ctrlProps/ctrlProp31.xml"/><Relationship Id="rId5" Type="http://schemas.openxmlformats.org/officeDocument/2006/relationships/hyperlink" Target="http://www.ezwatercalculator.com/" TargetMode="Externa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image" Target="../media/image2.emf"/><Relationship Id="rId19" Type="http://schemas.openxmlformats.org/officeDocument/2006/relationships/ctrlProp" Target="../ctrlProps/ctrlProp26.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30"/>
  <sheetViews>
    <sheetView tabSelected="1" topLeftCell="A28" zoomScaleNormal="100" workbookViewId="0">
      <selection activeCell="B30" sqref="B30"/>
    </sheetView>
  </sheetViews>
  <sheetFormatPr defaultRowHeight="13.2" x14ac:dyDescent="0.25"/>
  <cols>
    <col min="1" max="1" width="10.109375" bestFit="1" customWidth="1"/>
    <col min="2" max="2" width="111.21875" customWidth="1"/>
  </cols>
  <sheetData>
    <row r="2" spans="2:2" x14ac:dyDescent="0.25">
      <c r="B2" s="54" t="s">
        <v>1213</v>
      </c>
    </row>
    <row r="3" spans="2:2" x14ac:dyDescent="0.25">
      <c r="B3" s="23" t="s">
        <v>1203</v>
      </c>
    </row>
    <row r="4" spans="2:2" x14ac:dyDescent="0.25">
      <c r="B4" s="130" t="s">
        <v>1349</v>
      </c>
    </row>
    <row r="5" spans="2:2" x14ac:dyDescent="0.25">
      <c r="B5" s="23" t="s">
        <v>1204</v>
      </c>
    </row>
    <row r="6" spans="2:2" x14ac:dyDescent="0.25">
      <c r="B6" s="23" t="s">
        <v>1205</v>
      </c>
    </row>
    <row r="7" spans="2:2" x14ac:dyDescent="0.25">
      <c r="B7" s="23" t="s">
        <v>1206</v>
      </c>
    </row>
    <row r="8" spans="2:2" x14ac:dyDescent="0.25">
      <c r="B8" s="23" t="s">
        <v>1207</v>
      </c>
    </row>
    <row r="9" spans="2:2" x14ac:dyDescent="0.25">
      <c r="B9" s="23" t="s">
        <v>1208</v>
      </c>
    </row>
    <row r="10" spans="2:2" x14ac:dyDescent="0.25">
      <c r="B10" s="23" t="s">
        <v>1209</v>
      </c>
    </row>
    <row r="11" spans="2:2" x14ac:dyDescent="0.25">
      <c r="B11" s="23" t="s">
        <v>1210</v>
      </c>
    </row>
    <row r="12" spans="2:2" x14ac:dyDescent="0.25">
      <c r="B12" s="23" t="s">
        <v>1214</v>
      </c>
    </row>
    <row r="13" spans="2:2" x14ac:dyDescent="0.25">
      <c r="B13" s="79" t="s">
        <v>142</v>
      </c>
    </row>
    <row r="16" spans="2:2" x14ac:dyDescent="0.25">
      <c r="B16" s="54" t="s">
        <v>1211</v>
      </c>
    </row>
    <row r="17" spans="1:2" x14ac:dyDescent="0.25">
      <c r="B17" s="23" t="s">
        <v>1212</v>
      </c>
    </row>
    <row r="18" spans="1:2" ht="66" x14ac:dyDescent="0.25">
      <c r="A18" s="78">
        <v>42838</v>
      </c>
      <c r="B18" s="77" t="s">
        <v>1229</v>
      </c>
    </row>
    <row r="19" spans="1:2" x14ac:dyDescent="0.25">
      <c r="A19" s="98">
        <v>42840</v>
      </c>
      <c r="B19" s="23" t="s">
        <v>1230</v>
      </c>
    </row>
    <row r="20" spans="1:2" x14ac:dyDescent="0.25">
      <c r="A20" s="98">
        <v>42845</v>
      </c>
      <c r="B20" s="23" t="s">
        <v>1231</v>
      </c>
    </row>
    <row r="21" spans="1:2" x14ac:dyDescent="0.25">
      <c r="A21" s="98">
        <v>42850</v>
      </c>
      <c r="B21" s="23" t="s">
        <v>1305</v>
      </c>
    </row>
    <row r="22" spans="1:2" x14ac:dyDescent="0.25">
      <c r="A22" s="98">
        <v>42854</v>
      </c>
      <c r="B22" s="23" t="s">
        <v>1316</v>
      </c>
    </row>
    <row r="23" spans="1:2" ht="52.8" x14ac:dyDescent="0.25">
      <c r="A23" s="102">
        <v>42931</v>
      </c>
      <c r="B23" s="77" t="s">
        <v>1348</v>
      </c>
    </row>
    <row r="24" spans="1:2" ht="132" x14ac:dyDescent="0.25">
      <c r="A24" s="102">
        <v>42983</v>
      </c>
      <c r="B24" s="77" t="s">
        <v>1674</v>
      </c>
    </row>
    <row r="25" spans="1:2" ht="145.19999999999999" x14ac:dyDescent="0.25">
      <c r="A25" s="102">
        <v>43048</v>
      </c>
      <c r="B25" s="77" t="s">
        <v>1754</v>
      </c>
    </row>
    <row r="26" spans="1:2" ht="26.4" x14ac:dyDescent="0.25">
      <c r="A26" s="102">
        <v>43189</v>
      </c>
      <c r="B26" s="77" t="s">
        <v>1755</v>
      </c>
    </row>
    <row r="27" spans="1:2" ht="26.4" x14ac:dyDescent="0.25">
      <c r="A27" s="102">
        <v>43267</v>
      </c>
      <c r="B27" s="77" t="s">
        <v>1760</v>
      </c>
    </row>
    <row r="28" spans="1:2" x14ac:dyDescent="0.25">
      <c r="A28" s="98">
        <v>43386</v>
      </c>
      <c r="B28" s="77" t="s">
        <v>1770</v>
      </c>
    </row>
    <row r="29" spans="1:2" ht="52.8" x14ac:dyDescent="0.25">
      <c r="A29" s="102">
        <v>43435</v>
      </c>
      <c r="B29" s="77" t="s">
        <v>1771</v>
      </c>
    </row>
    <row r="30" spans="1:2" ht="264" x14ac:dyDescent="0.25">
      <c r="A30" s="102">
        <v>43460</v>
      </c>
      <c r="B30" s="560" t="s">
        <v>2046</v>
      </c>
    </row>
  </sheetData>
  <sheetProtection sheet="1" objects="1" scenarios="1"/>
  <hyperlinks>
    <hyperlink ref="B13"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H210"/>
  <sheetViews>
    <sheetView zoomScale="120" zoomScaleNormal="120" workbookViewId="0">
      <pane ySplit="1" topLeftCell="A2" activePane="bottomLeft" state="frozen"/>
      <selection pane="bottomLeft" activeCell="A116" sqref="A116:XFD116"/>
    </sheetView>
  </sheetViews>
  <sheetFormatPr defaultRowHeight="13.2" x14ac:dyDescent="0.25"/>
  <cols>
    <col min="1" max="1" width="43.77734375" customWidth="1"/>
    <col min="2" max="2" width="15.77734375" customWidth="1"/>
    <col min="3" max="3" width="11.21875" customWidth="1"/>
    <col min="4" max="4" width="7.5546875" customWidth="1"/>
    <col min="5" max="5" width="8.5546875" customWidth="1"/>
    <col min="6" max="6" width="6.77734375" style="49" customWidth="1"/>
    <col min="7" max="7" width="7.88671875" style="49" bestFit="1" customWidth="1"/>
    <col min="8" max="8" width="52.88671875" customWidth="1"/>
    <col min="9" max="9" width="68.109375" customWidth="1"/>
    <col min="10" max="28" width="4.88671875" customWidth="1"/>
    <col min="33" max="33" width="10.109375" customWidth="1"/>
  </cols>
  <sheetData>
    <row r="1" spans="1:8" s="100" customFormat="1" ht="40.799999999999997" customHeight="1" x14ac:dyDescent="0.25">
      <c r="A1" s="103" t="s">
        <v>1417</v>
      </c>
      <c r="B1" s="103" t="s">
        <v>1366</v>
      </c>
      <c r="C1" s="103" t="s">
        <v>1416</v>
      </c>
      <c r="D1" s="103" t="s">
        <v>1658</v>
      </c>
      <c r="E1" s="103" t="s">
        <v>1653</v>
      </c>
      <c r="F1" s="103" t="s">
        <v>1648</v>
      </c>
      <c r="G1" s="103" t="s">
        <v>1612</v>
      </c>
      <c r="H1" s="103" t="s">
        <v>1365</v>
      </c>
    </row>
    <row r="2" spans="1:8" s="100" customFormat="1" x14ac:dyDescent="0.25">
      <c r="A2" s="103"/>
      <c r="B2" s="174"/>
      <c r="C2" s="97"/>
      <c r="D2" s="97"/>
      <c r="E2" s="97"/>
      <c r="F2" s="173"/>
      <c r="G2" s="173"/>
      <c r="H2" s="103"/>
    </row>
    <row r="3" spans="1:8" s="100" customFormat="1" x14ac:dyDescent="0.25">
      <c r="A3" s="23" t="s">
        <v>1459</v>
      </c>
      <c r="B3" s="23" t="s">
        <v>1367</v>
      </c>
      <c r="C3" s="51" t="s">
        <v>89</v>
      </c>
      <c r="D3" s="159">
        <v>0.76</v>
      </c>
      <c r="E3" s="159">
        <v>0.1</v>
      </c>
      <c r="F3" s="157">
        <f>(grains_table[[#This Row],[Extract %]]*46.214)/1000+1</f>
        <v>1.03512264</v>
      </c>
      <c r="G3" s="140">
        <v>3.3</v>
      </c>
      <c r="H3" s="133" t="s">
        <v>1408</v>
      </c>
    </row>
    <row r="4" spans="1:8" ht="13.2" customHeight="1" x14ac:dyDescent="0.25">
      <c r="A4" s="23" t="s">
        <v>1460</v>
      </c>
      <c r="B4" s="23" t="s">
        <v>1412</v>
      </c>
      <c r="C4" s="51" t="s">
        <v>89</v>
      </c>
      <c r="D4" s="159">
        <v>0.76</v>
      </c>
      <c r="E4" s="159">
        <v>0.08</v>
      </c>
      <c r="F4" s="157">
        <f>(grains_table[[#This Row],[Extract %]]*46.214)/1000+1</f>
        <v>1.03512264</v>
      </c>
      <c r="G4" s="131">
        <v>4</v>
      </c>
      <c r="H4" s="134" t="s">
        <v>1447</v>
      </c>
    </row>
    <row r="5" spans="1:8" ht="13.2" customHeight="1" x14ac:dyDescent="0.25">
      <c r="A5" s="23" t="s">
        <v>1659</v>
      </c>
      <c r="B5" s="23" t="s">
        <v>1370</v>
      </c>
      <c r="C5" s="51" t="s">
        <v>89</v>
      </c>
      <c r="D5" s="159">
        <v>0.79</v>
      </c>
      <c r="E5" s="159">
        <v>4.4999999999999998E-2</v>
      </c>
      <c r="F5" s="157">
        <f>(grains_table[[#This Row],[Extract %]]*46.214)/1000+1</f>
        <v>1.03650906</v>
      </c>
      <c r="G5" s="131">
        <v>19</v>
      </c>
      <c r="H5" s="133" t="s">
        <v>1405</v>
      </c>
    </row>
    <row r="6" spans="1:8" ht="13.2" customHeight="1" x14ac:dyDescent="0.25">
      <c r="A6" s="23" t="s">
        <v>1609</v>
      </c>
      <c r="B6" s="23" t="s">
        <v>1368</v>
      </c>
      <c r="C6" s="51" t="s">
        <v>89</v>
      </c>
      <c r="D6" s="159">
        <v>0.7</v>
      </c>
      <c r="E6" s="159">
        <v>0.05</v>
      </c>
      <c r="F6" s="157">
        <f>(grains_table[[#This Row],[Extract %]]*46.214)/1000+1</f>
        <v>1.0323498</v>
      </c>
      <c r="G6" s="132">
        <v>22.8</v>
      </c>
      <c r="H6" s="133" t="s">
        <v>1383</v>
      </c>
    </row>
    <row r="7" spans="1:8" ht="13.2" customHeight="1" x14ac:dyDescent="0.25">
      <c r="A7" s="23" t="s">
        <v>1461</v>
      </c>
      <c r="B7" s="23" t="s">
        <v>1370</v>
      </c>
      <c r="C7" s="51" t="s">
        <v>89</v>
      </c>
      <c r="D7" s="159">
        <v>0.77</v>
      </c>
      <c r="E7" s="159">
        <v>4.4999999999999998E-2</v>
      </c>
      <c r="F7" s="157">
        <f>(grains_table[[#This Row],[Extract %]]*46.214)/1000+1</f>
        <v>1.03558478</v>
      </c>
      <c r="G7" s="132">
        <v>38</v>
      </c>
      <c r="H7" s="133" t="s">
        <v>1405</v>
      </c>
    </row>
    <row r="8" spans="1:8" ht="13.2" customHeight="1" x14ac:dyDescent="0.25">
      <c r="A8" s="23" t="s">
        <v>1635</v>
      </c>
      <c r="B8" s="23" t="s">
        <v>1370</v>
      </c>
      <c r="C8" s="51" t="s">
        <v>89</v>
      </c>
      <c r="D8" s="159">
        <v>0.77</v>
      </c>
      <c r="E8" s="159">
        <v>4.4999999999999998E-2</v>
      </c>
      <c r="F8" s="157">
        <f>(grains_table[[#This Row],[Extract %]]*46.214)/1000+1</f>
        <v>1.03558478</v>
      </c>
      <c r="G8" s="132">
        <v>57</v>
      </c>
      <c r="H8" s="133" t="s">
        <v>1405</v>
      </c>
    </row>
    <row r="9" spans="1:8" ht="13.2" customHeight="1" x14ac:dyDescent="0.25">
      <c r="A9" s="23" t="s">
        <v>1636</v>
      </c>
      <c r="B9" s="23" t="s">
        <v>1367</v>
      </c>
      <c r="C9" s="51" t="s">
        <v>89</v>
      </c>
      <c r="D9" s="159">
        <v>0.78</v>
      </c>
      <c r="E9" s="159">
        <v>7.0000000000000007E-2</v>
      </c>
      <c r="F9" s="157">
        <f>(grains_table[[#This Row],[Extract %]]*46.214)/1000+1</f>
        <v>1.03604692</v>
      </c>
      <c r="G9" s="131">
        <v>1.8</v>
      </c>
      <c r="H9" s="133" t="s">
        <v>1408</v>
      </c>
    </row>
    <row r="10" spans="1:8" ht="13.2" customHeight="1" x14ac:dyDescent="0.25">
      <c r="A10" s="23" t="s">
        <v>1660</v>
      </c>
      <c r="B10" s="23" t="s">
        <v>1370</v>
      </c>
      <c r="C10" s="51" t="s">
        <v>89</v>
      </c>
      <c r="D10" s="159">
        <v>0.75</v>
      </c>
      <c r="E10" s="159">
        <v>4.4999999999999998E-2</v>
      </c>
      <c r="F10" s="157">
        <f>(grains_table[[#This Row],[Extract %]]*46.214)/1000+1</f>
        <v>1.0346605</v>
      </c>
      <c r="G10" s="49">
        <v>23</v>
      </c>
      <c r="H10" s="133" t="s">
        <v>1407</v>
      </c>
    </row>
    <row r="11" spans="1:8" ht="13.2" customHeight="1" x14ac:dyDescent="0.25">
      <c r="A11" s="23" t="s">
        <v>1654</v>
      </c>
      <c r="B11" s="23" t="s">
        <v>1369</v>
      </c>
      <c r="C11" s="51" t="s">
        <v>89</v>
      </c>
      <c r="D11" s="159">
        <v>0.72</v>
      </c>
      <c r="E11" s="159">
        <v>2.5000000000000001E-2</v>
      </c>
      <c r="F11" s="157">
        <f>(grains_table[[#This Row],[Extract %]]*46.214)/1000+1</f>
        <v>1.03327408</v>
      </c>
      <c r="G11" s="131">
        <v>40</v>
      </c>
      <c r="H11" s="133" t="s">
        <v>1616</v>
      </c>
    </row>
    <row r="12" spans="1:8" ht="13.2" customHeight="1" x14ac:dyDescent="0.25">
      <c r="A12" s="23" t="s">
        <v>1655</v>
      </c>
      <c r="B12" s="23" t="s">
        <v>1369</v>
      </c>
      <c r="C12" s="51" t="s">
        <v>89</v>
      </c>
      <c r="D12" s="159">
        <v>0.75</v>
      </c>
      <c r="E12" s="159">
        <v>2.5000000000000001E-2</v>
      </c>
      <c r="F12" s="157">
        <f>(grains_table[[#This Row],[Extract %]]*46.214)/1000+1</f>
        <v>1.0346605</v>
      </c>
      <c r="G12" s="49">
        <v>28</v>
      </c>
      <c r="H12" s="133" t="s">
        <v>1422</v>
      </c>
    </row>
    <row r="13" spans="1:8" ht="13.2" customHeight="1" x14ac:dyDescent="0.25">
      <c r="A13" s="23" t="s">
        <v>1662</v>
      </c>
      <c r="B13" s="23" t="s">
        <v>1370</v>
      </c>
      <c r="C13" s="51" t="s">
        <v>89</v>
      </c>
      <c r="D13" s="159">
        <v>0.7</v>
      </c>
      <c r="E13" s="159">
        <v>4.4999999999999998E-2</v>
      </c>
      <c r="F13" s="157">
        <f>(grains_table[[#This Row],[Extract %]]*46.214)/1000+1</f>
        <v>1.0323498</v>
      </c>
      <c r="G13" s="131">
        <v>530</v>
      </c>
      <c r="H13" s="134" t="s">
        <v>1407</v>
      </c>
    </row>
    <row r="14" spans="1:8" ht="13.2" customHeight="1" x14ac:dyDescent="0.25">
      <c r="A14" s="23" t="s">
        <v>1634</v>
      </c>
      <c r="B14" s="23" t="s">
        <v>1412</v>
      </c>
      <c r="C14" s="51" t="s">
        <v>89</v>
      </c>
      <c r="D14" s="159">
        <v>0.75</v>
      </c>
      <c r="E14" s="159">
        <v>4.4999999999999998E-2</v>
      </c>
      <c r="F14" s="157">
        <f>(grains_table[[#This Row],[Extract %]]*46.214)/1000+1</f>
        <v>1.0346605</v>
      </c>
      <c r="G14" s="135">
        <v>27</v>
      </c>
      <c r="H14" s="133" t="s">
        <v>1439</v>
      </c>
    </row>
    <row r="15" spans="1:8" ht="13.2" customHeight="1" x14ac:dyDescent="0.25">
      <c r="A15" s="23" t="s">
        <v>1633</v>
      </c>
      <c r="B15" s="23" t="s">
        <v>1412</v>
      </c>
      <c r="C15" s="51" t="s">
        <v>89</v>
      </c>
      <c r="D15" s="159">
        <v>0.75</v>
      </c>
      <c r="E15" s="159">
        <v>4.4999999999999998E-2</v>
      </c>
      <c r="F15" s="157">
        <f>(grains_table[[#This Row],[Extract %]]*46.214)/1000+1</f>
        <v>1.0346605</v>
      </c>
      <c r="G15" s="135">
        <v>19.5</v>
      </c>
      <c r="H15" s="133" t="s">
        <v>1438</v>
      </c>
    </row>
    <row r="16" spans="1:8" ht="13.2" customHeight="1" x14ac:dyDescent="0.25">
      <c r="A16" s="23" t="s">
        <v>1632</v>
      </c>
      <c r="B16" s="23" t="s">
        <v>1412</v>
      </c>
      <c r="C16" s="51" t="s">
        <v>89</v>
      </c>
      <c r="D16" s="159">
        <v>0.75</v>
      </c>
      <c r="E16" s="159">
        <v>4.4999999999999998E-2</v>
      </c>
      <c r="F16" s="157">
        <f>(grains_table[[#This Row],[Extract %]]*46.214)/1000+1</f>
        <v>1.0346605</v>
      </c>
      <c r="G16" s="135">
        <v>12</v>
      </c>
      <c r="H16" s="133" t="s">
        <v>1437</v>
      </c>
    </row>
    <row r="17" spans="1:8" ht="13.2" customHeight="1" x14ac:dyDescent="0.25">
      <c r="A17" s="23" t="s">
        <v>1631</v>
      </c>
      <c r="B17" s="23" t="s">
        <v>1412</v>
      </c>
      <c r="C17" s="51" t="s">
        <v>89</v>
      </c>
      <c r="D17" s="159">
        <v>0.75</v>
      </c>
      <c r="E17" s="159">
        <v>4.4999999999999998E-2</v>
      </c>
      <c r="F17" s="157">
        <f>(grains_table[[#This Row],[Extract %]]*46.214)/1000+1</f>
        <v>1.0346605</v>
      </c>
      <c r="G17" s="135">
        <v>5.4</v>
      </c>
      <c r="H17" s="133" t="s">
        <v>1441</v>
      </c>
    </row>
    <row r="18" spans="1:8" ht="13.2" customHeight="1" x14ac:dyDescent="0.25">
      <c r="A18" s="23" t="s">
        <v>1630</v>
      </c>
      <c r="B18" s="23" t="s">
        <v>1412</v>
      </c>
      <c r="C18" s="51" t="s">
        <v>89</v>
      </c>
      <c r="D18" s="159">
        <v>0.75</v>
      </c>
      <c r="E18" s="159">
        <v>4.4999999999999998E-2</v>
      </c>
      <c r="F18" s="157">
        <f>(grains_table[[#This Row],[Extract %]]*46.214)/1000+1</f>
        <v>1.0346605</v>
      </c>
      <c r="G18" s="135">
        <v>45.5</v>
      </c>
      <c r="H18" s="133" t="s">
        <v>1442</v>
      </c>
    </row>
    <row r="19" spans="1:8" ht="13.2" customHeight="1" x14ac:dyDescent="0.25">
      <c r="A19" s="23" t="s">
        <v>1629</v>
      </c>
      <c r="B19" s="23" t="s">
        <v>1412</v>
      </c>
      <c r="C19" s="51" t="s">
        <v>89</v>
      </c>
      <c r="D19" s="159">
        <v>0.75</v>
      </c>
      <c r="E19" s="159">
        <v>4.4999999999999998E-2</v>
      </c>
      <c r="F19" s="157">
        <f>(grains_table[[#This Row],[Extract %]]*46.214)/1000+1</f>
        <v>1.0346605</v>
      </c>
      <c r="G19" s="135">
        <v>63</v>
      </c>
      <c r="H19" s="133" t="s">
        <v>1443</v>
      </c>
    </row>
    <row r="20" spans="1:8" ht="13.2" customHeight="1" x14ac:dyDescent="0.25">
      <c r="A20" s="23" t="s">
        <v>1628</v>
      </c>
      <c r="B20" s="23" t="s">
        <v>1412</v>
      </c>
      <c r="C20" s="51" t="s">
        <v>89</v>
      </c>
      <c r="D20" s="159">
        <v>0.75</v>
      </c>
      <c r="E20" s="159">
        <v>4.4999999999999998E-2</v>
      </c>
      <c r="F20" s="157">
        <f>(grains_table[[#This Row],[Extract %]]*46.214)/1000+1</f>
        <v>1.0346605</v>
      </c>
      <c r="G20" s="135">
        <v>2.35</v>
      </c>
      <c r="H20" s="133" t="s">
        <v>1440</v>
      </c>
    </row>
    <row r="21" spans="1:8" ht="13.2" customHeight="1" x14ac:dyDescent="0.25">
      <c r="A21" s="23" t="s">
        <v>1462</v>
      </c>
      <c r="B21" s="23" t="s">
        <v>1370</v>
      </c>
      <c r="C21" s="51" t="s">
        <v>89</v>
      </c>
      <c r="D21" s="159">
        <v>0.74</v>
      </c>
      <c r="E21" s="159">
        <v>0.06</v>
      </c>
      <c r="F21" s="157">
        <f>(grains_table[[#This Row],[Extract %]]*46.214)/1000+1</f>
        <v>1.03419836</v>
      </c>
      <c r="G21" s="131">
        <v>45</v>
      </c>
      <c r="H21" s="133" t="s">
        <v>1406</v>
      </c>
    </row>
    <row r="22" spans="1:8" ht="13.2" customHeight="1" x14ac:dyDescent="0.25">
      <c r="A22" s="23" t="s">
        <v>1463</v>
      </c>
      <c r="B22" s="23" t="s">
        <v>1370</v>
      </c>
      <c r="C22" s="51" t="s">
        <v>89</v>
      </c>
      <c r="D22" s="159">
        <v>0.75</v>
      </c>
      <c r="E22" s="159">
        <v>9.5000000000000001E-2</v>
      </c>
      <c r="F22" s="157">
        <f>(grains_table[[#This Row],[Extract %]]*46.214)/1000+1</f>
        <v>1.0346605</v>
      </c>
      <c r="G22" s="131">
        <v>8</v>
      </c>
      <c r="H22" s="133" t="s">
        <v>1406</v>
      </c>
    </row>
    <row r="23" spans="1:8" ht="13.2" customHeight="1" x14ac:dyDescent="0.25">
      <c r="A23" s="23" t="s">
        <v>1464</v>
      </c>
      <c r="B23" s="23" t="s">
        <v>1370</v>
      </c>
      <c r="C23" s="51" t="s">
        <v>89</v>
      </c>
      <c r="D23" s="159">
        <v>0.75</v>
      </c>
      <c r="E23" s="159">
        <v>7.4999999999999997E-2</v>
      </c>
      <c r="F23" s="157">
        <f>(grains_table[[#This Row],[Extract %]]*46.214)/1000+1</f>
        <v>1.0346605</v>
      </c>
      <c r="G23" s="131">
        <v>20</v>
      </c>
      <c r="H23" s="133" t="s">
        <v>1406</v>
      </c>
    </row>
    <row r="24" spans="1:8" ht="13.2" customHeight="1" x14ac:dyDescent="0.25">
      <c r="A24" s="23" t="s">
        <v>1558</v>
      </c>
      <c r="B24" s="23" t="s">
        <v>1367</v>
      </c>
      <c r="C24" s="51" t="s">
        <v>89</v>
      </c>
      <c r="D24" s="159">
        <v>0.74</v>
      </c>
      <c r="E24" s="159">
        <v>7.0000000000000007E-2</v>
      </c>
      <c r="F24" s="157">
        <f>(grains_table[[#This Row],[Extract %]]*46.214)/1000+1</f>
        <v>1.03419836</v>
      </c>
      <c r="G24" s="131">
        <v>150</v>
      </c>
      <c r="H24" s="133" t="s">
        <v>1408</v>
      </c>
    </row>
    <row r="25" spans="1:8" ht="13.2" customHeight="1" x14ac:dyDescent="0.25">
      <c r="A25" s="23" t="s">
        <v>1559</v>
      </c>
      <c r="B25" s="23" t="s">
        <v>1367</v>
      </c>
      <c r="C25" s="51" t="s">
        <v>89</v>
      </c>
      <c r="D25" s="159">
        <v>0.74</v>
      </c>
      <c r="E25" s="159">
        <v>0.09</v>
      </c>
      <c r="F25" s="157">
        <f>(grains_table[[#This Row],[Extract %]]*46.214)/1000+1</f>
        <v>1.03419836</v>
      </c>
      <c r="G25" s="135">
        <v>12.75</v>
      </c>
      <c r="H25" s="133" t="s">
        <v>1408</v>
      </c>
    </row>
    <row r="26" spans="1:8" ht="13.2" customHeight="1" x14ac:dyDescent="0.25">
      <c r="A26" s="23" t="s">
        <v>1465</v>
      </c>
      <c r="B26" s="23" t="s">
        <v>1369</v>
      </c>
      <c r="C26" s="51" t="s">
        <v>89</v>
      </c>
      <c r="D26" s="159">
        <v>0.78</v>
      </c>
      <c r="E26" s="159">
        <v>0.04</v>
      </c>
      <c r="F26" s="157">
        <f>(grains_table[[#This Row],[Extract %]]*46.214)/1000+1</f>
        <v>1.03604692</v>
      </c>
      <c r="G26" s="49">
        <v>55</v>
      </c>
      <c r="H26" s="133" t="s">
        <v>1411</v>
      </c>
    </row>
    <row r="27" spans="1:8" ht="13.2" customHeight="1" x14ac:dyDescent="0.25">
      <c r="A27" s="23" t="s">
        <v>1590</v>
      </c>
      <c r="B27" s="23" t="s">
        <v>1367</v>
      </c>
      <c r="C27" s="51" t="s">
        <v>89</v>
      </c>
      <c r="D27" s="159">
        <v>0.65</v>
      </c>
      <c r="E27" s="159">
        <v>3.7999999999999999E-2</v>
      </c>
      <c r="F27" s="157">
        <f>(grains_table[[#This Row],[Extract %]]*46.214)/1000+1</f>
        <v>1.0300391</v>
      </c>
      <c r="G27" s="49">
        <v>337.5</v>
      </c>
      <c r="H27" s="133" t="s">
        <v>1408</v>
      </c>
    </row>
    <row r="28" spans="1:8" ht="13.2" customHeight="1" x14ac:dyDescent="0.25">
      <c r="A28" s="23" t="s">
        <v>1589</v>
      </c>
      <c r="B28" s="23" t="s">
        <v>1367</v>
      </c>
      <c r="C28" s="51" t="s">
        <v>89</v>
      </c>
      <c r="D28" s="159">
        <v>0.65</v>
      </c>
      <c r="E28" s="159">
        <v>3.7999999999999999E-2</v>
      </c>
      <c r="F28" s="157">
        <f>(grains_table[[#This Row],[Extract %]]*46.214)/1000+1</f>
        <v>1.0300391</v>
      </c>
      <c r="G28" s="131">
        <v>431.5</v>
      </c>
      <c r="H28" s="133" t="s">
        <v>1408</v>
      </c>
    </row>
    <row r="29" spans="1:8" ht="13.2" customHeight="1" x14ac:dyDescent="0.25">
      <c r="A29" s="23" t="s">
        <v>1588</v>
      </c>
      <c r="B29" s="23" t="s">
        <v>1367</v>
      </c>
      <c r="C29" s="51" t="s">
        <v>89</v>
      </c>
      <c r="D29" s="159">
        <v>0.65</v>
      </c>
      <c r="E29" s="159">
        <v>3.7999999999999999E-2</v>
      </c>
      <c r="F29" s="157">
        <f>(grains_table[[#This Row],[Extract %]]*46.214)/1000+1</f>
        <v>1.0300391</v>
      </c>
      <c r="G29" s="131">
        <v>525.5</v>
      </c>
      <c r="H29" s="133" t="s">
        <v>1408</v>
      </c>
    </row>
    <row r="30" spans="1:8" ht="13.2" customHeight="1" x14ac:dyDescent="0.25">
      <c r="A30" s="23" t="s">
        <v>1591</v>
      </c>
      <c r="B30" s="23" t="s">
        <v>1367</v>
      </c>
      <c r="C30" s="51" t="s">
        <v>89</v>
      </c>
      <c r="D30" s="159">
        <v>0.65</v>
      </c>
      <c r="E30" s="159">
        <v>3.7999999999999999E-2</v>
      </c>
      <c r="F30" s="157">
        <f>(grains_table[[#This Row],[Extract %]]*46.214)/1000+1</f>
        <v>1.0300391</v>
      </c>
      <c r="G30" s="131">
        <v>337.5</v>
      </c>
      <c r="H30" s="133" t="s">
        <v>1408</v>
      </c>
    </row>
    <row r="31" spans="1:8" ht="13.2" customHeight="1" x14ac:dyDescent="0.25">
      <c r="A31" s="23" t="s">
        <v>1592</v>
      </c>
      <c r="B31" s="23" t="s">
        <v>1367</v>
      </c>
      <c r="C31" s="51" t="s">
        <v>89</v>
      </c>
      <c r="D31" s="159">
        <v>0.65</v>
      </c>
      <c r="E31" s="159">
        <v>3.7999999999999999E-2</v>
      </c>
      <c r="F31" s="157">
        <f>(grains_table[[#This Row],[Extract %]]*46.214)/1000+1</f>
        <v>1.0300391</v>
      </c>
      <c r="G31" s="135">
        <v>431.5</v>
      </c>
      <c r="H31" s="133" t="s">
        <v>1408</v>
      </c>
    </row>
    <row r="32" spans="1:8" ht="13.2" customHeight="1" x14ac:dyDescent="0.25">
      <c r="A32" s="23" t="s">
        <v>1593</v>
      </c>
      <c r="B32" s="23" t="s">
        <v>1367</v>
      </c>
      <c r="C32" s="51" t="s">
        <v>89</v>
      </c>
      <c r="D32" s="159">
        <v>0.65</v>
      </c>
      <c r="E32" s="159">
        <v>3.7999999999999999E-2</v>
      </c>
      <c r="F32" s="157">
        <f>(grains_table[[#This Row],[Extract %]]*46.214)/1000+1</f>
        <v>1.0300391</v>
      </c>
      <c r="G32" s="131">
        <v>525.5</v>
      </c>
      <c r="H32" s="133" t="s">
        <v>1408</v>
      </c>
    </row>
    <row r="33" spans="1:8" ht="13.2" customHeight="1" x14ac:dyDescent="0.25">
      <c r="A33" s="23" t="s">
        <v>1560</v>
      </c>
      <c r="B33" s="23" t="s">
        <v>1367</v>
      </c>
      <c r="C33" s="51" t="s">
        <v>89</v>
      </c>
      <c r="D33" s="159"/>
      <c r="E33" s="159"/>
      <c r="F33" s="157">
        <f>(grains_table[[#This Row],[Extract %]]*46.214)/1000+1</f>
        <v>1</v>
      </c>
      <c r="G33" s="49">
        <v>2.2000000000000002</v>
      </c>
      <c r="H33" s="133" t="s">
        <v>1408</v>
      </c>
    </row>
    <row r="34" spans="1:8" ht="13.2" customHeight="1" x14ac:dyDescent="0.25">
      <c r="A34" s="23" t="s">
        <v>1561</v>
      </c>
      <c r="B34" s="23" t="s">
        <v>1367</v>
      </c>
      <c r="C34" s="51" t="s">
        <v>89</v>
      </c>
      <c r="D34" s="159">
        <v>0.74</v>
      </c>
      <c r="E34" s="159">
        <v>0.09</v>
      </c>
      <c r="F34" s="157">
        <f>(grains_table[[#This Row],[Extract %]]*46.214)/1000+1</f>
        <v>1.03419836</v>
      </c>
      <c r="G34" s="49">
        <v>9.9499999999999993</v>
      </c>
      <c r="H34" s="133" t="s">
        <v>1408</v>
      </c>
    </row>
    <row r="35" spans="1:8" ht="13.2" customHeight="1" x14ac:dyDescent="0.25">
      <c r="A35" s="23" t="s">
        <v>1466</v>
      </c>
      <c r="B35" s="23" t="s">
        <v>1368</v>
      </c>
      <c r="C35" s="51" t="s">
        <v>89</v>
      </c>
      <c r="D35" s="159">
        <v>0.71</v>
      </c>
      <c r="E35" s="159">
        <v>7.4999999999999997E-2</v>
      </c>
      <c r="F35" s="157">
        <f>(grains_table[[#This Row],[Extract %]]*46.214)/1000+1</f>
        <v>1.03281194</v>
      </c>
      <c r="G35" s="131">
        <v>14.05</v>
      </c>
      <c r="H35" s="133" t="s">
        <v>1385</v>
      </c>
    </row>
    <row r="36" spans="1:8" ht="13.2" customHeight="1" x14ac:dyDescent="0.25">
      <c r="A36" s="23" t="s">
        <v>1562</v>
      </c>
      <c r="B36" s="23" t="s">
        <v>1367</v>
      </c>
      <c r="C36" s="51" t="s">
        <v>89</v>
      </c>
      <c r="D36" s="159">
        <v>0.75</v>
      </c>
      <c r="E36" s="159">
        <v>4.4999999999999998E-2</v>
      </c>
      <c r="F36" s="157">
        <f>(grains_table[[#This Row],[Extract %]]*46.214)/1000+1</f>
        <v>1.0346605</v>
      </c>
      <c r="G36" s="49">
        <v>27</v>
      </c>
      <c r="H36" s="133" t="s">
        <v>1408</v>
      </c>
    </row>
    <row r="37" spans="1:8" ht="13.2" customHeight="1" x14ac:dyDescent="0.25">
      <c r="A37" s="23" t="s">
        <v>1467</v>
      </c>
      <c r="B37" s="23" t="s">
        <v>1369</v>
      </c>
      <c r="C37" s="51" t="s">
        <v>89</v>
      </c>
      <c r="D37" s="159">
        <v>0.77</v>
      </c>
      <c r="E37" s="159">
        <v>7.0000000000000007E-2</v>
      </c>
      <c r="F37" s="157">
        <f>(grains_table[[#This Row],[Extract %]]*46.214)/1000+1</f>
        <v>1.03558478</v>
      </c>
      <c r="G37" s="49">
        <v>10</v>
      </c>
      <c r="H37" s="134" t="s">
        <v>1411</v>
      </c>
    </row>
    <row r="38" spans="1:8" ht="13.2" customHeight="1" x14ac:dyDescent="0.25">
      <c r="A38" s="23" t="s">
        <v>1468</v>
      </c>
      <c r="B38" s="23" t="s">
        <v>1369</v>
      </c>
      <c r="C38" s="51" t="s">
        <v>89</v>
      </c>
      <c r="D38" s="159">
        <v>0.75</v>
      </c>
      <c r="E38" s="159">
        <v>0.03</v>
      </c>
      <c r="F38" s="157">
        <f>(grains_table[[#This Row],[Extract %]]*46.214)/1000+1</f>
        <v>1.0346605</v>
      </c>
      <c r="G38" s="131">
        <v>120</v>
      </c>
      <c r="H38" s="133" t="s">
        <v>1411</v>
      </c>
    </row>
    <row r="39" spans="1:8" ht="13.2" customHeight="1" x14ac:dyDescent="0.25">
      <c r="A39" s="23" t="s">
        <v>1469</v>
      </c>
      <c r="B39" s="23" t="s">
        <v>1369</v>
      </c>
      <c r="C39" s="51" t="s">
        <v>89</v>
      </c>
      <c r="D39" s="159">
        <v>0.76</v>
      </c>
      <c r="E39" s="159">
        <v>0.06</v>
      </c>
      <c r="F39" s="157">
        <f>(grains_table[[#This Row],[Extract %]]*46.214)/1000+1</f>
        <v>1.03512264</v>
      </c>
      <c r="G39" s="49">
        <v>20</v>
      </c>
      <c r="H39" s="133" t="s">
        <v>1411</v>
      </c>
    </row>
    <row r="40" spans="1:8" ht="13.2" customHeight="1" x14ac:dyDescent="0.25">
      <c r="A40" s="23" t="s">
        <v>1470</v>
      </c>
      <c r="B40" s="23" t="s">
        <v>1369</v>
      </c>
      <c r="C40" s="51" t="s">
        <v>89</v>
      </c>
      <c r="D40" s="159">
        <v>0.77</v>
      </c>
      <c r="E40" s="159">
        <v>5.5E-2</v>
      </c>
      <c r="F40" s="157">
        <f>(grains_table[[#This Row],[Extract %]]*46.214)/1000+1</f>
        <v>1.03558478</v>
      </c>
      <c r="G40" s="132">
        <v>30</v>
      </c>
      <c r="H40" s="134" t="s">
        <v>1411</v>
      </c>
    </row>
    <row r="41" spans="1:8" ht="13.2" customHeight="1" x14ac:dyDescent="0.25">
      <c r="A41" s="23" t="s">
        <v>1471</v>
      </c>
      <c r="B41" s="23" t="s">
        <v>1369</v>
      </c>
      <c r="C41" s="51" t="s">
        <v>89</v>
      </c>
      <c r="D41" s="159">
        <v>0.77</v>
      </c>
      <c r="E41" s="159">
        <v>5.5E-2</v>
      </c>
      <c r="F41" s="157">
        <f>(grains_table[[#This Row],[Extract %]]*46.214)/1000+1</f>
        <v>1.03558478</v>
      </c>
      <c r="G41" s="132">
        <v>40</v>
      </c>
      <c r="H41" s="134" t="s">
        <v>1411</v>
      </c>
    </row>
    <row r="42" spans="1:8" ht="13.2" customHeight="1" x14ac:dyDescent="0.25">
      <c r="A42" s="23" t="s">
        <v>1472</v>
      </c>
      <c r="B42" s="23" t="s">
        <v>1369</v>
      </c>
      <c r="C42" s="51" t="s">
        <v>89</v>
      </c>
      <c r="D42" s="159">
        <v>0.77</v>
      </c>
      <c r="E42" s="159">
        <v>0.05</v>
      </c>
      <c r="F42" s="157">
        <f>(grains_table[[#This Row],[Extract %]]*46.214)/1000+1</f>
        <v>1.03558478</v>
      </c>
      <c r="G42" s="132">
        <v>60</v>
      </c>
      <c r="H42" s="134" t="s">
        <v>1411</v>
      </c>
    </row>
    <row r="43" spans="1:8" ht="13.2" customHeight="1" x14ac:dyDescent="0.25">
      <c r="A43" s="23" t="s">
        <v>1473</v>
      </c>
      <c r="B43" s="23" t="s">
        <v>1369</v>
      </c>
      <c r="C43" s="51" t="s">
        <v>89</v>
      </c>
      <c r="D43" s="159">
        <v>0.76</v>
      </c>
      <c r="E43" s="159">
        <v>4.4999999999999998E-2</v>
      </c>
      <c r="F43" s="157">
        <f>(grains_table[[#This Row],[Extract %]]*46.214)/1000+1</f>
        <v>1.03512264</v>
      </c>
      <c r="G43" s="49">
        <v>80</v>
      </c>
      <c r="H43" s="134" t="s">
        <v>1411</v>
      </c>
    </row>
    <row r="44" spans="1:8" ht="13.2" customHeight="1" x14ac:dyDescent="0.25">
      <c r="A44" s="23" t="s">
        <v>1474</v>
      </c>
      <c r="B44" s="23" t="s">
        <v>1369</v>
      </c>
      <c r="C44" s="51" t="s">
        <v>89</v>
      </c>
      <c r="D44" s="159">
        <v>0.75</v>
      </c>
      <c r="E44" s="159">
        <v>0.04</v>
      </c>
      <c r="F44" s="157">
        <f>(grains_table[[#This Row],[Extract %]]*46.214)/1000+1</f>
        <v>1.0346605</v>
      </c>
      <c r="G44" s="131">
        <v>90</v>
      </c>
      <c r="H44" s="133" t="s">
        <v>1411</v>
      </c>
    </row>
    <row r="45" spans="1:8" ht="13.2" customHeight="1" x14ac:dyDescent="0.25">
      <c r="A45" s="23" t="s">
        <v>1475</v>
      </c>
      <c r="B45" s="23" t="s">
        <v>1369</v>
      </c>
      <c r="C45" s="51" t="s">
        <v>89</v>
      </c>
      <c r="D45" s="159">
        <v>0.77</v>
      </c>
      <c r="E45" s="159">
        <v>3.5000000000000003E-2</v>
      </c>
      <c r="F45" s="157">
        <f>(grains_table[[#This Row],[Extract %]]*46.214)/1000+1</f>
        <v>1.03558478</v>
      </c>
      <c r="G45" s="131">
        <v>60</v>
      </c>
      <c r="H45" s="133" t="s">
        <v>1411</v>
      </c>
    </row>
    <row r="46" spans="1:8" ht="13.2" customHeight="1" x14ac:dyDescent="0.25">
      <c r="A46" s="23" t="s">
        <v>1476</v>
      </c>
      <c r="B46" s="23" t="s">
        <v>1369</v>
      </c>
      <c r="C46" s="51" t="s">
        <v>89</v>
      </c>
      <c r="D46" s="159">
        <v>0.8</v>
      </c>
      <c r="E46" s="159">
        <v>0.05</v>
      </c>
      <c r="F46" s="157">
        <f>(grains_table[[#This Row],[Extract %]]*46.214)/1000+1</f>
        <v>1.0369712</v>
      </c>
      <c r="G46" s="131">
        <v>60</v>
      </c>
      <c r="H46" s="134" t="s">
        <v>1411</v>
      </c>
    </row>
    <row r="47" spans="1:8" ht="13.2" customHeight="1" x14ac:dyDescent="0.25">
      <c r="A47" s="23" t="s">
        <v>1477</v>
      </c>
      <c r="B47" s="23" t="s">
        <v>1369</v>
      </c>
      <c r="C47" s="51" t="s">
        <v>89</v>
      </c>
      <c r="D47" s="159">
        <v>0.78</v>
      </c>
      <c r="E47" s="159">
        <v>4.4999999999999998E-2</v>
      </c>
      <c r="F47" s="157">
        <f>(grains_table[[#This Row],[Extract %]]*46.214)/1000+1</f>
        <v>1.03604692</v>
      </c>
      <c r="G47" s="131">
        <v>20</v>
      </c>
      <c r="H47" s="133" t="s">
        <v>1411</v>
      </c>
    </row>
    <row r="48" spans="1:8" ht="13.2" customHeight="1" x14ac:dyDescent="0.25">
      <c r="A48" s="23" t="s">
        <v>1580</v>
      </c>
      <c r="B48" s="23" t="s">
        <v>1367</v>
      </c>
      <c r="C48" s="51" t="s">
        <v>89</v>
      </c>
      <c r="D48" s="159">
        <v>0.73</v>
      </c>
      <c r="E48" s="159">
        <v>6.5000000000000002E-2</v>
      </c>
      <c r="F48" s="157">
        <f>(grains_table[[#This Row],[Extract %]]*46.214)/1000+1</f>
        <v>1.03373622</v>
      </c>
      <c r="G48" s="131">
        <v>34.5</v>
      </c>
      <c r="H48" s="133" t="s">
        <v>1408</v>
      </c>
    </row>
    <row r="49" spans="1:8" ht="13.2" customHeight="1" x14ac:dyDescent="0.25">
      <c r="A49" s="23" t="s">
        <v>1581</v>
      </c>
      <c r="B49" s="23" t="s">
        <v>1367</v>
      </c>
      <c r="C49" s="51" t="s">
        <v>89</v>
      </c>
      <c r="D49" s="159">
        <v>0.73</v>
      </c>
      <c r="E49" s="159">
        <v>6.5000000000000002E-2</v>
      </c>
      <c r="F49" s="157">
        <f>(grains_table[[#This Row],[Extract %]]*46.214)/1000+1</f>
        <v>1.03373622</v>
      </c>
      <c r="G49" s="131">
        <v>45.5</v>
      </c>
      <c r="H49" s="133" t="s">
        <v>1408</v>
      </c>
    </row>
    <row r="50" spans="1:8" ht="13.2" customHeight="1" x14ac:dyDescent="0.25">
      <c r="A50" s="23" t="s">
        <v>1582</v>
      </c>
      <c r="B50" s="23" t="s">
        <v>1367</v>
      </c>
      <c r="C50" s="51" t="s">
        <v>89</v>
      </c>
      <c r="D50" s="159">
        <v>0.73</v>
      </c>
      <c r="E50" s="159">
        <v>6.5000000000000002E-2</v>
      </c>
      <c r="F50" s="157">
        <f>(grains_table[[#This Row],[Extract %]]*46.214)/1000+1</f>
        <v>1.03373622</v>
      </c>
      <c r="G50" s="131">
        <v>56.75</v>
      </c>
      <c r="H50" s="133" t="s">
        <v>1408</v>
      </c>
    </row>
    <row r="51" spans="1:8" ht="13.2" customHeight="1" x14ac:dyDescent="0.25">
      <c r="A51" s="23" t="s">
        <v>1583</v>
      </c>
      <c r="B51" s="23" t="s">
        <v>1367</v>
      </c>
      <c r="C51" s="51" t="s">
        <v>89</v>
      </c>
      <c r="D51" s="159">
        <v>0.75</v>
      </c>
      <c r="E51" s="159">
        <v>7.0000000000000007E-2</v>
      </c>
      <c r="F51" s="157">
        <f>(grains_table[[#This Row],[Extract %]]*46.214)/1000+1</f>
        <v>1.0346605</v>
      </c>
      <c r="G51" s="131">
        <v>2.2000000000000002</v>
      </c>
      <c r="H51" s="133" t="s">
        <v>1408</v>
      </c>
    </row>
    <row r="52" spans="1:8" ht="13.2" customHeight="1" x14ac:dyDescent="0.25">
      <c r="A52" s="23" t="s">
        <v>1584</v>
      </c>
      <c r="B52" s="23" t="s">
        <v>1367</v>
      </c>
      <c r="C52" s="51" t="s">
        <v>89</v>
      </c>
      <c r="D52" s="159">
        <v>0.74</v>
      </c>
      <c r="E52" s="159">
        <v>7.4999999999999997E-2</v>
      </c>
      <c r="F52" s="157">
        <f>(grains_table[[#This Row],[Extract %]]*46.214)/1000+1</f>
        <v>1.03419836</v>
      </c>
      <c r="G52" s="131">
        <v>19.5</v>
      </c>
      <c r="H52" s="133" t="s">
        <v>1408</v>
      </c>
    </row>
    <row r="53" spans="1:8" ht="13.2" customHeight="1" x14ac:dyDescent="0.25">
      <c r="A53" s="23" t="s">
        <v>1585</v>
      </c>
      <c r="B53" s="23" t="s">
        <v>1367</v>
      </c>
      <c r="C53" s="51" t="s">
        <v>89</v>
      </c>
      <c r="D53" s="159">
        <v>0.74</v>
      </c>
      <c r="E53" s="159">
        <v>6.5000000000000002E-2</v>
      </c>
      <c r="F53" s="157">
        <f>(grains_table[[#This Row],[Extract %]]*46.214)/1000+1</f>
        <v>1.03419836</v>
      </c>
      <c r="G53" s="49">
        <v>66.5</v>
      </c>
      <c r="H53" s="133" t="s">
        <v>1408</v>
      </c>
    </row>
    <row r="54" spans="1:8" ht="13.2" customHeight="1" x14ac:dyDescent="0.25">
      <c r="A54" s="23" t="s">
        <v>1586</v>
      </c>
      <c r="B54" s="23" t="s">
        <v>1367</v>
      </c>
      <c r="C54" s="51" t="s">
        <v>89</v>
      </c>
      <c r="D54" s="159">
        <v>0.68</v>
      </c>
      <c r="E54" s="159">
        <v>6.5000000000000002E-2</v>
      </c>
      <c r="F54" s="157">
        <f>(grains_table[[#This Row],[Extract %]]*46.214)/1000+1</f>
        <v>1.03142552</v>
      </c>
      <c r="G54" s="131">
        <v>47.5</v>
      </c>
      <c r="H54" s="133" t="s">
        <v>1408</v>
      </c>
    </row>
    <row r="55" spans="1:8" ht="13.2" customHeight="1" x14ac:dyDescent="0.25">
      <c r="A55" s="23" t="s">
        <v>1478</v>
      </c>
      <c r="B55" s="23" t="s">
        <v>1368</v>
      </c>
      <c r="C55" s="51" t="s">
        <v>89</v>
      </c>
      <c r="D55" s="159">
        <v>0.69</v>
      </c>
      <c r="E55" s="159">
        <v>0.05</v>
      </c>
      <c r="F55" s="157">
        <f>(grains_table[[#This Row],[Extract %]]*46.214)/1000+1</f>
        <v>1.03188766</v>
      </c>
      <c r="G55" s="49">
        <v>100.9</v>
      </c>
      <c r="H55" s="134" t="s">
        <v>1390</v>
      </c>
    </row>
    <row r="56" spans="1:8" ht="13.2" customHeight="1" x14ac:dyDescent="0.25">
      <c r="A56" s="23" t="s">
        <v>1479</v>
      </c>
      <c r="B56" s="23" t="s">
        <v>1368</v>
      </c>
      <c r="C56" s="51" t="s">
        <v>89</v>
      </c>
      <c r="D56" s="159">
        <v>0.69</v>
      </c>
      <c r="E56" s="159">
        <v>0.05</v>
      </c>
      <c r="F56" s="157">
        <f>(grains_table[[#This Row],[Extract %]]*46.214)/1000+1</f>
        <v>1.03188766</v>
      </c>
      <c r="G56" s="49">
        <v>178.7</v>
      </c>
      <c r="H56" s="133" t="s">
        <v>1391</v>
      </c>
    </row>
    <row r="57" spans="1:8" ht="13.2" customHeight="1" x14ac:dyDescent="0.25">
      <c r="A57" s="23" t="s">
        <v>1480</v>
      </c>
      <c r="B57" s="23" t="s">
        <v>1368</v>
      </c>
      <c r="C57" s="51" t="s">
        <v>89</v>
      </c>
      <c r="D57" s="159">
        <v>0.69</v>
      </c>
      <c r="E57" s="159">
        <v>0.06</v>
      </c>
      <c r="F57" s="157">
        <f>(grains_table[[#This Row],[Extract %]]*46.214)/1000+1</f>
        <v>1.03188766</v>
      </c>
      <c r="G57" s="49">
        <v>39.549999999999997</v>
      </c>
      <c r="H57" s="133" t="s">
        <v>1387</v>
      </c>
    </row>
    <row r="58" spans="1:8" ht="13.2" customHeight="1" x14ac:dyDescent="0.25">
      <c r="A58" s="23" t="s">
        <v>1481</v>
      </c>
      <c r="B58" s="23" t="s">
        <v>1368</v>
      </c>
      <c r="C58" s="51" t="s">
        <v>89</v>
      </c>
      <c r="D58" s="159">
        <v>0.69</v>
      </c>
      <c r="E58" s="159">
        <v>0.05</v>
      </c>
      <c r="F58" s="157">
        <f>(grains_table[[#This Row],[Extract %]]*46.214)/1000+1</f>
        <v>1.03188766</v>
      </c>
      <c r="G58" s="49">
        <v>67.5</v>
      </c>
      <c r="H58" s="134" t="s">
        <v>1389</v>
      </c>
    </row>
    <row r="59" spans="1:8" ht="13.2" customHeight="1" x14ac:dyDescent="0.25">
      <c r="A59" s="23" t="s">
        <v>1482</v>
      </c>
      <c r="B59" s="23" t="s">
        <v>1368</v>
      </c>
      <c r="C59" s="51" t="s">
        <v>89</v>
      </c>
      <c r="D59" s="159">
        <v>0.69</v>
      </c>
      <c r="E59" s="159">
        <v>0.05</v>
      </c>
      <c r="F59" s="157">
        <f>(grains_table[[#This Row],[Extract %]]*46.214)/1000+1</f>
        <v>1.03188766</v>
      </c>
      <c r="G59" s="49">
        <v>50.5</v>
      </c>
      <c r="H59" s="134" t="s">
        <v>1388</v>
      </c>
    </row>
    <row r="60" spans="1:8" ht="13.2" customHeight="1" x14ac:dyDescent="0.25">
      <c r="A60" s="23" t="s">
        <v>1483</v>
      </c>
      <c r="B60" s="23" t="s">
        <v>1368</v>
      </c>
      <c r="C60" s="51" t="s">
        <v>89</v>
      </c>
      <c r="D60" s="159">
        <v>0.69</v>
      </c>
      <c r="E60" s="159">
        <v>0.05</v>
      </c>
      <c r="F60" s="157">
        <f>(grains_table[[#This Row],[Extract %]]*46.214)/1000+1</f>
        <v>1.03188766</v>
      </c>
      <c r="G60" s="131">
        <v>67.5</v>
      </c>
      <c r="H60" s="133" t="s">
        <v>1393</v>
      </c>
    </row>
    <row r="61" spans="1:8" ht="13.2" customHeight="1" x14ac:dyDescent="0.25">
      <c r="A61" s="23" t="s">
        <v>1484</v>
      </c>
      <c r="B61" s="23" t="s">
        <v>1368</v>
      </c>
      <c r="C61" s="51" t="s">
        <v>89</v>
      </c>
      <c r="D61" s="159">
        <v>0.71</v>
      </c>
      <c r="E61" s="159">
        <v>3.5000000000000003E-2</v>
      </c>
      <c r="F61" s="157">
        <f>(grains_table[[#This Row],[Extract %]]*46.214)/1000+1</f>
        <v>1.03281194</v>
      </c>
      <c r="G61" s="49">
        <v>23.05</v>
      </c>
      <c r="H61" s="133" t="s">
        <v>1386</v>
      </c>
    </row>
    <row r="62" spans="1:8" ht="13.2" customHeight="1" x14ac:dyDescent="0.25">
      <c r="A62" s="23" t="s">
        <v>1556</v>
      </c>
      <c r="B62" s="23" t="s">
        <v>1368</v>
      </c>
      <c r="C62" s="51" t="s">
        <v>89</v>
      </c>
      <c r="D62" s="159">
        <v>0.65</v>
      </c>
      <c r="E62" s="159">
        <v>0.02</v>
      </c>
      <c r="F62" s="157">
        <f>(grains_table[[#This Row],[Extract %]]*46.214)/1000+1</f>
        <v>1.0300391</v>
      </c>
      <c r="G62" s="131">
        <v>103.1</v>
      </c>
      <c r="H62" s="133" t="s">
        <v>1402</v>
      </c>
    </row>
    <row r="63" spans="1:8" ht="13.2" customHeight="1" x14ac:dyDescent="0.25">
      <c r="A63" s="23" t="s">
        <v>1485</v>
      </c>
      <c r="B63" s="23" t="s">
        <v>1368</v>
      </c>
      <c r="C63" s="51" t="s">
        <v>89</v>
      </c>
      <c r="D63" s="159">
        <v>0.69</v>
      </c>
      <c r="E63" s="159">
        <v>0.05</v>
      </c>
      <c r="F63" s="157">
        <f>(grains_table[[#This Row],[Extract %]]*46.214)/1000+1</f>
        <v>1.03188766</v>
      </c>
      <c r="G63" s="49">
        <v>113.1</v>
      </c>
      <c r="H63" s="133" t="s">
        <v>1392</v>
      </c>
    </row>
    <row r="64" spans="1:8" ht="13.2" customHeight="1" x14ac:dyDescent="0.25">
      <c r="A64" s="23" t="s">
        <v>1486</v>
      </c>
      <c r="B64" s="23" t="s">
        <v>1370</v>
      </c>
      <c r="C64" s="51" t="s">
        <v>89</v>
      </c>
      <c r="D64" s="159">
        <v>0.72</v>
      </c>
      <c r="E64" s="159">
        <v>0.05</v>
      </c>
      <c r="F64" s="157">
        <f>(grains_table[[#This Row],[Extract %]]*46.214)/1000+1</f>
        <v>1.03327408</v>
      </c>
      <c r="G64" s="49">
        <v>125</v>
      </c>
      <c r="H64" s="133" t="s">
        <v>1406</v>
      </c>
    </row>
    <row r="65" spans="1:8" ht="13.2" customHeight="1" x14ac:dyDescent="0.25">
      <c r="A65" s="23" t="s">
        <v>1574</v>
      </c>
      <c r="B65" s="23" t="s">
        <v>1412</v>
      </c>
      <c r="C65" s="51" t="s">
        <v>89</v>
      </c>
      <c r="D65" s="159">
        <v>0.5</v>
      </c>
      <c r="E65" s="159">
        <v>4.9000000000000002E-2</v>
      </c>
      <c r="F65" s="157">
        <f>(grains_table[[#This Row],[Extract %]]*46.214)/1000+1</f>
        <v>1.023107</v>
      </c>
      <c r="G65" s="49">
        <v>1.4</v>
      </c>
      <c r="H65" s="134" t="s">
        <v>1446</v>
      </c>
    </row>
    <row r="66" spans="1:8" ht="13.2" customHeight="1" x14ac:dyDescent="0.25">
      <c r="A66" s="23" t="s">
        <v>1661</v>
      </c>
      <c r="B66" s="23" t="s">
        <v>1370</v>
      </c>
      <c r="C66" s="51" t="s">
        <v>89</v>
      </c>
      <c r="D66" s="159">
        <v>0.7</v>
      </c>
      <c r="E66" s="159">
        <v>4.4999999999999998E-2</v>
      </c>
      <c r="F66" s="157">
        <f>(grains_table[[#This Row],[Extract %]]*46.214)/1000+1</f>
        <v>1.0323498</v>
      </c>
      <c r="G66" s="49">
        <v>340</v>
      </c>
      <c r="H66" s="134" t="s">
        <v>1407</v>
      </c>
    </row>
    <row r="67" spans="1:8" ht="13.2" customHeight="1" x14ac:dyDescent="0.25">
      <c r="A67" s="23" t="s">
        <v>1487</v>
      </c>
      <c r="B67" s="23" t="s">
        <v>1369</v>
      </c>
      <c r="C67" s="51" t="s">
        <v>89</v>
      </c>
      <c r="D67" s="159">
        <v>0.75</v>
      </c>
      <c r="E67" s="159">
        <v>6.5000000000000002E-2</v>
      </c>
      <c r="F67" s="157">
        <f>(grains_table[[#This Row],[Extract %]]*46.214)/1000+1</f>
        <v>1.0346605</v>
      </c>
      <c r="G67" s="49">
        <v>1.5</v>
      </c>
      <c r="H67" s="133" t="s">
        <v>1413</v>
      </c>
    </row>
    <row r="68" spans="1:8" ht="13.2" customHeight="1" x14ac:dyDescent="0.25">
      <c r="A68" s="23" t="s">
        <v>1488</v>
      </c>
      <c r="B68" s="23" t="s">
        <v>1369</v>
      </c>
      <c r="C68" s="51" t="s">
        <v>89</v>
      </c>
      <c r="D68" s="159">
        <v>0.75</v>
      </c>
      <c r="E68" s="159">
        <v>5.5E-2</v>
      </c>
      <c r="F68" s="157">
        <f>(grains_table[[#This Row],[Extract %]]*46.214)/1000+1</f>
        <v>1.0346605</v>
      </c>
      <c r="G68" s="49">
        <v>30</v>
      </c>
      <c r="H68" s="133" t="s">
        <v>1413</v>
      </c>
    </row>
    <row r="69" spans="1:8" ht="13.2" customHeight="1" x14ac:dyDescent="0.25">
      <c r="A69" s="23" t="s">
        <v>1489</v>
      </c>
      <c r="B69" s="23" t="s">
        <v>1368</v>
      </c>
      <c r="C69" s="51" t="s">
        <v>89</v>
      </c>
      <c r="D69" s="159">
        <v>0.67500000000000004</v>
      </c>
      <c r="E69" s="159">
        <v>7.0000000000000007E-2</v>
      </c>
      <c r="F69" s="157">
        <f>(grains_table[[#This Row],[Extract %]]*46.214)/1000+1</f>
        <v>1.0311944500000001</v>
      </c>
      <c r="G69" s="49">
        <v>1.1000000000000001</v>
      </c>
      <c r="H69" s="133" t="s">
        <v>1404</v>
      </c>
    </row>
    <row r="70" spans="1:8" ht="13.2" customHeight="1" x14ac:dyDescent="0.25">
      <c r="A70" s="23" t="s">
        <v>1663</v>
      </c>
      <c r="B70" s="23" t="s">
        <v>1369</v>
      </c>
      <c r="C70" s="51" t="s">
        <v>776</v>
      </c>
      <c r="D70" s="156"/>
      <c r="E70" s="156"/>
      <c r="F70" s="157">
        <v>1.0449999999999999</v>
      </c>
      <c r="G70" s="49">
        <v>6</v>
      </c>
      <c r="H70" s="133" t="s">
        <v>1611</v>
      </c>
    </row>
    <row r="71" spans="1:8" x14ac:dyDescent="0.25">
      <c r="A71" s="23" t="s">
        <v>1664</v>
      </c>
      <c r="B71" s="23" t="s">
        <v>1369</v>
      </c>
      <c r="C71" s="51" t="s">
        <v>776</v>
      </c>
      <c r="D71" s="156"/>
      <c r="E71" s="156"/>
      <c r="F71" s="157">
        <v>1.0449999999999999</v>
      </c>
      <c r="G71" s="131">
        <v>2</v>
      </c>
      <c r="H71" s="133" t="s">
        <v>1611</v>
      </c>
    </row>
    <row r="72" spans="1:8" ht="13.2" customHeight="1" x14ac:dyDescent="0.25">
      <c r="A72" s="23" t="s">
        <v>1595</v>
      </c>
      <c r="B72" s="23" t="s">
        <v>587</v>
      </c>
      <c r="C72" s="51" t="s">
        <v>776</v>
      </c>
      <c r="D72" s="159"/>
      <c r="E72" s="159"/>
      <c r="F72" s="157">
        <v>1.0383439999999999</v>
      </c>
      <c r="G72" s="49">
        <v>6.7</v>
      </c>
      <c r="H72" s="133" t="s">
        <v>1587</v>
      </c>
    </row>
    <row r="73" spans="1:8" ht="13.2" customHeight="1" x14ac:dyDescent="0.25">
      <c r="A73" s="23" t="s">
        <v>1596</v>
      </c>
      <c r="B73" s="23" t="s">
        <v>587</v>
      </c>
      <c r="C73" s="51" t="s">
        <v>776</v>
      </c>
      <c r="D73" s="159"/>
      <c r="E73" s="159"/>
      <c r="F73" s="157">
        <v>1.0377449999999999</v>
      </c>
      <c r="G73" s="49">
        <v>22</v>
      </c>
      <c r="H73" s="133" t="s">
        <v>1587</v>
      </c>
    </row>
    <row r="74" spans="1:8" ht="13.2" customHeight="1" x14ac:dyDescent="0.25">
      <c r="A74" s="23" t="s">
        <v>1597</v>
      </c>
      <c r="B74" s="23" t="s">
        <v>587</v>
      </c>
      <c r="C74" s="51" t="s">
        <v>776</v>
      </c>
      <c r="D74" s="159"/>
      <c r="E74" s="159"/>
      <c r="F74" s="157">
        <v>1.0377449999999999</v>
      </c>
      <c r="G74" s="49">
        <v>36</v>
      </c>
      <c r="H74" s="133" t="s">
        <v>1587</v>
      </c>
    </row>
    <row r="75" spans="1:8" ht="13.2" customHeight="1" x14ac:dyDescent="0.25">
      <c r="A75" s="23" t="s">
        <v>1598</v>
      </c>
      <c r="B75" s="23" t="s">
        <v>587</v>
      </c>
      <c r="C75" s="51" t="s">
        <v>776</v>
      </c>
      <c r="D75" s="159"/>
      <c r="E75" s="159"/>
      <c r="F75" s="157">
        <v>1.0383439999999999</v>
      </c>
      <c r="G75" s="135">
        <v>5.0999999999999996</v>
      </c>
      <c r="H75" s="133" t="s">
        <v>1587</v>
      </c>
    </row>
    <row r="76" spans="1:8" ht="13.2" customHeight="1" x14ac:dyDescent="0.25">
      <c r="A76" s="23" t="s">
        <v>1599</v>
      </c>
      <c r="B76" s="23" t="s">
        <v>587</v>
      </c>
      <c r="C76" s="51" t="s">
        <v>776</v>
      </c>
      <c r="D76" s="159"/>
      <c r="E76" s="159"/>
      <c r="F76" s="157">
        <v>1.0383439999999999</v>
      </c>
      <c r="G76" s="135">
        <v>3.8</v>
      </c>
      <c r="H76" s="133" t="s">
        <v>1587</v>
      </c>
    </row>
    <row r="77" spans="1:8" ht="13.2" customHeight="1" x14ac:dyDescent="0.25">
      <c r="A77" s="23" t="s">
        <v>1600</v>
      </c>
      <c r="B77" s="23" t="s">
        <v>587</v>
      </c>
      <c r="C77" s="51" t="s">
        <v>776</v>
      </c>
      <c r="D77" s="159"/>
      <c r="E77" s="159"/>
      <c r="F77" s="157">
        <v>1.0377449999999999</v>
      </c>
      <c r="G77" s="135">
        <v>12.75</v>
      </c>
      <c r="H77" s="133" t="s">
        <v>1587</v>
      </c>
    </row>
    <row r="78" spans="1:8" ht="13.2" customHeight="1" x14ac:dyDescent="0.25">
      <c r="A78" s="23" t="s">
        <v>1601</v>
      </c>
      <c r="B78" s="23" t="s">
        <v>587</v>
      </c>
      <c r="C78" s="51" t="s">
        <v>776</v>
      </c>
      <c r="D78" s="159"/>
      <c r="E78" s="159"/>
      <c r="F78" s="157">
        <v>1.0377449999999999</v>
      </c>
      <c r="G78" s="135">
        <v>533.5</v>
      </c>
      <c r="H78" s="133" t="s">
        <v>1587</v>
      </c>
    </row>
    <row r="79" spans="1:8" ht="13.2" customHeight="1" x14ac:dyDescent="0.25">
      <c r="A79" s="23" t="s">
        <v>1358</v>
      </c>
      <c r="B79" s="23" t="s">
        <v>1369</v>
      </c>
      <c r="C79" s="51" t="s">
        <v>89</v>
      </c>
      <c r="D79" s="159">
        <v>0.7</v>
      </c>
      <c r="E79" s="159">
        <v>0.09</v>
      </c>
      <c r="F79" s="157">
        <f>(grains_table[[#This Row],[Extract %]]*46.214)/1000+1</f>
        <v>1.0323498</v>
      </c>
      <c r="G79" s="135">
        <v>1.4</v>
      </c>
      <c r="H79" s="133" t="s">
        <v>1610</v>
      </c>
    </row>
    <row r="80" spans="1:8" ht="13.2" customHeight="1" x14ac:dyDescent="0.25">
      <c r="A80" s="23" t="s">
        <v>1361</v>
      </c>
      <c r="B80" s="23" t="s">
        <v>1369</v>
      </c>
      <c r="C80" s="51" t="s">
        <v>89</v>
      </c>
      <c r="D80" s="159">
        <v>0.6</v>
      </c>
      <c r="E80" s="159">
        <v>7.0000000000000007E-2</v>
      </c>
      <c r="F80" s="157">
        <f>(grains_table[[#This Row],[Extract %]]*46.214)/1000+1</f>
        <v>1.0277284</v>
      </c>
      <c r="G80" s="135">
        <v>1</v>
      </c>
      <c r="H80" s="133" t="s">
        <v>1610</v>
      </c>
    </row>
    <row r="81" spans="1:8" ht="13.2" customHeight="1" x14ac:dyDescent="0.25">
      <c r="A81" s="23" t="s">
        <v>1360</v>
      </c>
      <c r="B81" s="23" t="s">
        <v>1369</v>
      </c>
      <c r="C81" s="51" t="s">
        <v>89</v>
      </c>
      <c r="D81" s="159">
        <v>0.7</v>
      </c>
      <c r="E81" s="159">
        <v>7.4999999999999997E-2</v>
      </c>
      <c r="F81" s="157">
        <f>(grains_table[[#This Row],[Extract %]]*46.214)/1000+1</f>
        <v>1.0323498</v>
      </c>
      <c r="G81" s="149">
        <v>2.5</v>
      </c>
      <c r="H81" s="133" t="s">
        <v>1610</v>
      </c>
    </row>
    <row r="82" spans="1:8" ht="13.2" customHeight="1" x14ac:dyDescent="0.25">
      <c r="A82" s="23" t="s">
        <v>1362</v>
      </c>
      <c r="B82" s="23" t="s">
        <v>1369</v>
      </c>
      <c r="C82" s="51" t="s">
        <v>89</v>
      </c>
      <c r="D82" s="159">
        <v>0.7</v>
      </c>
      <c r="E82" s="159">
        <v>7.0000000000000007E-2</v>
      </c>
      <c r="F82" s="157">
        <f>(grains_table[[#This Row],[Extract %]]*46.214)/1000+1</f>
        <v>1.0323498</v>
      </c>
      <c r="G82" s="149">
        <v>2</v>
      </c>
      <c r="H82" s="133" t="s">
        <v>1610</v>
      </c>
    </row>
    <row r="83" spans="1:8" ht="13.2" customHeight="1" x14ac:dyDescent="0.25">
      <c r="A83" s="23" t="s">
        <v>1363</v>
      </c>
      <c r="B83" s="23" t="s">
        <v>1369</v>
      </c>
      <c r="C83" s="51" t="s">
        <v>89</v>
      </c>
      <c r="D83" s="159">
        <v>0.71</v>
      </c>
      <c r="E83" s="159">
        <v>0.09</v>
      </c>
      <c r="F83" s="157">
        <f>(grains_table[[#This Row],[Extract %]]*46.214)/1000+1</f>
        <v>1.03281194</v>
      </c>
      <c r="G83" s="149">
        <v>3</v>
      </c>
      <c r="H83" s="133" t="s">
        <v>1610</v>
      </c>
    </row>
    <row r="84" spans="1:8" ht="13.2" customHeight="1" x14ac:dyDescent="0.25">
      <c r="A84" s="23" t="s">
        <v>1364</v>
      </c>
      <c r="B84" s="23" t="s">
        <v>1369</v>
      </c>
      <c r="C84" s="51" t="s">
        <v>89</v>
      </c>
      <c r="D84" s="159">
        <v>0.71</v>
      </c>
      <c r="E84" s="159">
        <v>7.0000000000000007E-2</v>
      </c>
      <c r="F84" s="157">
        <f>(grains_table[[#This Row],[Extract %]]*46.214)/1000+1</f>
        <v>1.03281194</v>
      </c>
      <c r="G84" s="135">
        <v>2.5</v>
      </c>
      <c r="H84" s="133" t="s">
        <v>1610</v>
      </c>
    </row>
    <row r="85" spans="1:8" ht="13.2" customHeight="1" x14ac:dyDescent="0.25">
      <c r="A85" s="23" t="s">
        <v>1359</v>
      </c>
      <c r="B85" s="23" t="s">
        <v>1369</v>
      </c>
      <c r="C85" s="51" t="s">
        <v>89</v>
      </c>
      <c r="D85" s="159">
        <v>0.75</v>
      </c>
      <c r="E85" s="159">
        <v>0.08</v>
      </c>
      <c r="F85" s="157">
        <f>(grains_table[[#This Row],[Extract %]]*46.214)/1000+1</f>
        <v>1.0346605</v>
      </c>
      <c r="G85" s="135">
        <v>0.8</v>
      </c>
      <c r="H85" s="133" t="s">
        <v>1610</v>
      </c>
    </row>
    <row r="86" spans="1:8" ht="13.2" customHeight="1" x14ac:dyDescent="0.25">
      <c r="A86" s="23" t="s">
        <v>1656</v>
      </c>
      <c r="B86" s="23" t="s">
        <v>1367</v>
      </c>
      <c r="C86" s="51" t="s">
        <v>89</v>
      </c>
      <c r="D86" s="159">
        <v>0.78</v>
      </c>
      <c r="E86" s="159">
        <v>4.4999999999999998E-2</v>
      </c>
      <c r="F86" s="157">
        <f>(grains_table[[#This Row],[Extract %]]*46.214)/1000+1</f>
        <v>1.03604692</v>
      </c>
      <c r="G86" s="135">
        <v>6.6</v>
      </c>
      <c r="H86" s="133" t="s">
        <v>1408</v>
      </c>
    </row>
    <row r="87" spans="1:8" ht="13.2" customHeight="1" x14ac:dyDescent="0.25">
      <c r="A87" s="23" t="s">
        <v>1666</v>
      </c>
      <c r="B87" s="23" t="s">
        <v>1369</v>
      </c>
      <c r="C87" s="51" t="s">
        <v>776</v>
      </c>
      <c r="D87" s="156"/>
      <c r="E87" s="156"/>
      <c r="F87" s="157">
        <v>1.036</v>
      </c>
      <c r="G87" s="135">
        <v>6</v>
      </c>
      <c r="H87" s="133" t="s">
        <v>1611</v>
      </c>
    </row>
    <row r="88" spans="1:8" ht="13.2" customHeight="1" x14ac:dyDescent="0.25">
      <c r="A88" s="23" t="s">
        <v>1665</v>
      </c>
      <c r="B88" s="23" t="s">
        <v>1369</v>
      </c>
      <c r="C88" s="51" t="s">
        <v>776</v>
      </c>
      <c r="D88" s="159"/>
      <c r="E88" s="159"/>
      <c r="F88" s="157">
        <v>1.036</v>
      </c>
      <c r="G88" s="135">
        <v>2</v>
      </c>
      <c r="H88" s="133" t="s">
        <v>1611</v>
      </c>
    </row>
    <row r="89" spans="1:8" ht="13.2" customHeight="1" x14ac:dyDescent="0.25">
      <c r="A89" s="23" t="s">
        <v>1602</v>
      </c>
      <c r="B89" s="23" t="s">
        <v>587</v>
      </c>
      <c r="C89" s="51" t="s">
        <v>776</v>
      </c>
      <c r="D89" s="159"/>
      <c r="E89" s="159"/>
      <c r="F89" s="157">
        <v>1.036</v>
      </c>
      <c r="G89" s="135">
        <v>7.2</v>
      </c>
      <c r="H89" s="133" t="s">
        <v>1587</v>
      </c>
    </row>
    <row r="90" spans="1:8" ht="13.2" customHeight="1" x14ac:dyDescent="0.25">
      <c r="A90" s="23" t="s">
        <v>1603</v>
      </c>
      <c r="B90" s="23" t="s">
        <v>587</v>
      </c>
      <c r="C90" s="51" t="s">
        <v>776</v>
      </c>
      <c r="D90" s="159"/>
      <c r="E90" s="159"/>
      <c r="F90" s="157">
        <v>1.036</v>
      </c>
      <c r="G90" s="135">
        <v>3.8</v>
      </c>
      <c r="H90" s="133" t="s">
        <v>1587</v>
      </c>
    </row>
    <row r="91" spans="1:8" ht="13.2" customHeight="1" x14ac:dyDescent="0.25">
      <c r="A91" s="23" t="s">
        <v>1604</v>
      </c>
      <c r="B91" s="23" t="s">
        <v>587</v>
      </c>
      <c r="C91" s="51" t="s">
        <v>776</v>
      </c>
      <c r="D91" s="159"/>
      <c r="E91" s="159"/>
      <c r="F91" s="157">
        <v>1.036</v>
      </c>
      <c r="G91" s="49">
        <v>10.25</v>
      </c>
      <c r="H91" s="133" t="s">
        <v>1587</v>
      </c>
    </row>
    <row r="92" spans="1:8" ht="13.2" customHeight="1" x14ac:dyDescent="0.25">
      <c r="A92" s="23" t="s">
        <v>1605</v>
      </c>
      <c r="B92" s="23" t="s">
        <v>587</v>
      </c>
      <c r="C92" s="51" t="s">
        <v>776</v>
      </c>
      <c r="D92" s="159"/>
      <c r="E92" s="159"/>
      <c r="F92" s="157">
        <v>1.036</v>
      </c>
      <c r="G92" s="49">
        <v>5.3</v>
      </c>
      <c r="H92" s="133" t="s">
        <v>1587</v>
      </c>
    </row>
    <row r="93" spans="1:8" ht="13.2" customHeight="1" x14ac:dyDescent="0.25">
      <c r="A93" s="23" t="s">
        <v>1508</v>
      </c>
      <c r="B93" s="23" t="s">
        <v>1412</v>
      </c>
      <c r="C93" s="51" t="s">
        <v>89</v>
      </c>
      <c r="D93" s="159">
        <v>0.75</v>
      </c>
      <c r="E93" s="159">
        <v>4.9000000000000002E-2</v>
      </c>
      <c r="F93" s="157">
        <f>(grains_table[[#This Row],[Extract %]]*46.214)/1000+1</f>
        <v>1.0346605</v>
      </c>
      <c r="G93" s="131">
        <v>28</v>
      </c>
      <c r="H93" s="133" t="s">
        <v>1428</v>
      </c>
    </row>
    <row r="94" spans="1:8" ht="13.2" customHeight="1" x14ac:dyDescent="0.25">
      <c r="A94" s="23" t="s">
        <v>1509</v>
      </c>
      <c r="B94" s="23" t="s">
        <v>1412</v>
      </c>
      <c r="C94" s="51" t="s">
        <v>89</v>
      </c>
      <c r="D94" s="159">
        <v>0.75</v>
      </c>
      <c r="E94" s="159">
        <v>4.9000000000000002E-2</v>
      </c>
      <c r="F94" s="157">
        <f>(grains_table[[#This Row],[Extract %]]*46.214)/1000+1</f>
        <v>1.0346605</v>
      </c>
      <c r="G94" s="49">
        <v>19.5</v>
      </c>
      <c r="H94" s="133" t="s">
        <v>1429</v>
      </c>
    </row>
    <row r="95" spans="1:8" ht="13.2" customHeight="1" x14ac:dyDescent="0.25">
      <c r="A95" s="23" t="s">
        <v>1510</v>
      </c>
      <c r="B95" s="23" t="s">
        <v>1367</v>
      </c>
      <c r="C95" s="51" t="s">
        <v>89</v>
      </c>
      <c r="D95" s="159">
        <v>0.75</v>
      </c>
      <c r="E95" s="159">
        <v>4.4999999999999998E-2</v>
      </c>
      <c r="F95" s="157">
        <f>(grains_table[[#This Row],[Extract %]]*46.214)/1000+1</f>
        <v>1.0346605</v>
      </c>
      <c r="G95" s="49">
        <v>27</v>
      </c>
      <c r="H95" s="133" t="s">
        <v>1408</v>
      </c>
    </row>
    <row r="96" spans="1:8" ht="13.2" customHeight="1" x14ac:dyDescent="0.25">
      <c r="A96" s="23" t="s">
        <v>1502</v>
      </c>
      <c r="B96" s="23" t="s">
        <v>1369</v>
      </c>
      <c r="C96" s="51" t="s">
        <v>89</v>
      </c>
      <c r="D96" s="159">
        <v>0.77</v>
      </c>
      <c r="E96" s="159">
        <v>2.5000000000000001E-2</v>
      </c>
      <c r="F96" s="157">
        <f>(grains_table[[#This Row],[Extract %]]*46.214)/1000+1</f>
        <v>1.03558478</v>
      </c>
      <c r="G96" s="131">
        <v>20</v>
      </c>
      <c r="H96" s="133" t="s">
        <v>1409</v>
      </c>
    </row>
    <row r="97" spans="1:8" ht="13.2" customHeight="1" x14ac:dyDescent="0.25">
      <c r="A97" s="23" t="s">
        <v>1503</v>
      </c>
      <c r="B97" s="23" t="s">
        <v>1412</v>
      </c>
      <c r="C97" s="51" t="s">
        <v>89</v>
      </c>
      <c r="D97" s="159">
        <v>0.80500000000000005</v>
      </c>
      <c r="E97" s="159">
        <v>4.9000000000000002E-2</v>
      </c>
      <c r="F97" s="157">
        <f>(grains_table[[#This Row],[Extract %]]*46.214)/1000+1</f>
        <v>1.0372022700000001</v>
      </c>
      <c r="G97" s="49">
        <v>6.3</v>
      </c>
      <c r="H97" s="133" t="s">
        <v>1430</v>
      </c>
    </row>
    <row r="98" spans="1:8" ht="13.2" customHeight="1" x14ac:dyDescent="0.25">
      <c r="A98" s="23" t="s">
        <v>1504</v>
      </c>
      <c r="B98" s="23" t="s">
        <v>1412</v>
      </c>
      <c r="C98" s="51" t="s">
        <v>89</v>
      </c>
      <c r="D98" s="159">
        <v>0.8</v>
      </c>
      <c r="E98" s="159">
        <v>4.9000000000000002E-2</v>
      </c>
      <c r="F98" s="157">
        <f>(grains_table[[#This Row],[Extract %]]*46.214)/1000+1</f>
        <v>1.0369712</v>
      </c>
      <c r="G98" s="132">
        <v>11.05</v>
      </c>
      <c r="H98" s="133" t="s">
        <v>1427</v>
      </c>
    </row>
    <row r="99" spans="1:8" ht="13.2" customHeight="1" x14ac:dyDescent="0.25">
      <c r="A99" s="23" t="s">
        <v>1505</v>
      </c>
      <c r="B99" s="23" t="s">
        <v>1369</v>
      </c>
      <c r="C99" s="51" t="s">
        <v>89</v>
      </c>
      <c r="D99" s="159">
        <v>0.78</v>
      </c>
      <c r="E99" s="159">
        <v>3.3000000000000002E-2</v>
      </c>
      <c r="F99" s="157">
        <f>(grains_table[[#This Row],[Extract %]]*46.214)/1000+1</f>
        <v>1.03604692</v>
      </c>
      <c r="G99" s="49">
        <v>10</v>
      </c>
      <c r="H99" s="133" t="s">
        <v>1418</v>
      </c>
    </row>
    <row r="100" spans="1:8" ht="13.2" customHeight="1" x14ac:dyDescent="0.25">
      <c r="A100" s="23" t="s">
        <v>1507</v>
      </c>
      <c r="B100" s="23" t="s">
        <v>1368</v>
      </c>
      <c r="C100" s="51" t="s">
        <v>89</v>
      </c>
      <c r="D100" s="159">
        <v>0.8</v>
      </c>
      <c r="E100" s="159">
        <v>0.04</v>
      </c>
      <c r="F100" s="157">
        <f>(grains_table[[#This Row],[Extract %]]*46.214)/1000+1</f>
        <v>1.0369712</v>
      </c>
      <c r="G100" s="132">
        <v>8.6</v>
      </c>
      <c r="H100" s="133" t="s">
        <v>1381</v>
      </c>
    </row>
    <row r="101" spans="1:8" ht="13.2" customHeight="1" x14ac:dyDescent="0.25">
      <c r="A101" s="23" t="s">
        <v>1506</v>
      </c>
      <c r="B101" s="23" t="s">
        <v>1370</v>
      </c>
      <c r="C101" s="51" t="s">
        <v>89</v>
      </c>
      <c r="D101" s="159">
        <v>0.79500000000000004</v>
      </c>
      <c r="E101" s="159">
        <v>4.4999999999999998E-2</v>
      </c>
      <c r="F101" s="157">
        <f>(grains_table[[#This Row],[Extract %]]*46.214)/1000+1</f>
        <v>1.0367401300000001</v>
      </c>
      <c r="G101" s="131">
        <v>6</v>
      </c>
      <c r="H101" s="133" t="s">
        <v>1405</v>
      </c>
    </row>
    <row r="102" spans="1:8" ht="13.2" customHeight="1" x14ac:dyDescent="0.25">
      <c r="A102" s="23" t="s">
        <v>1577</v>
      </c>
      <c r="B102" s="23" t="s">
        <v>1368</v>
      </c>
      <c r="C102" s="51" t="s">
        <v>89</v>
      </c>
      <c r="D102" s="159">
        <v>0.69</v>
      </c>
      <c r="E102" s="159">
        <v>7.0000000000000007E-2</v>
      </c>
      <c r="F102" s="157">
        <f>(grains_table[[#This Row],[Extract %]]*46.214)/1000+1</f>
        <v>1.03188766</v>
      </c>
      <c r="G102" s="49">
        <v>7.35</v>
      </c>
      <c r="H102" s="133" t="s">
        <v>1401</v>
      </c>
    </row>
    <row r="103" spans="1:8" ht="13.2" customHeight="1" x14ac:dyDescent="0.25">
      <c r="A103" s="23" t="s">
        <v>1575</v>
      </c>
      <c r="B103" s="23" t="s">
        <v>1368</v>
      </c>
      <c r="C103" s="51" t="s">
        <v>89</v>
      </c>
      <c r="D103" s="159">
        <v>0.74</v>
      </c>
      <c r="E103" s="159">
        <v>7.0000000000000007E-2</v>
      </c>
      <c r="F103" s="157">
        <f>(grains_table[[#This Row],[Extract %]]*46.214)/1000+1</f>
        <v>1.03419836</v>
      </c>
      <c r="G103" s="49">
        <v>1.7</v>
      </c>
      <c r="H103" s="133" t="s">
        <v>1399</v>
      </c>
    </row>
    <row r="104" spans="1:8" ht="13.2" customHeight="1" x14ac:dyDescent="0.25">
      <c r="A104" s="23" t="s">
        <v>1573</v>
      </c>
      <c r="B104" s="23" t="s">
        <v>1412</v>
      </c>
      <c r="C104" s="97" t="s">
        <v>89</v>
      </c>
      <c r="D104" s="159">
        <v>0.79</v>
      </c>
      <c r="E104" s="159">
        <v>4.9000000000000002E-2</v>
      </c>
      <c r="F104" s="157">
        <f>(grains_table[[#This Row],[Extract %]]*46.214)/1000+1</f>
        <v>1.03650906</v>
      </c>
      <c r="G104" s="49">
        <v>12</v>
      </c>
      <c r="H104" s="133" t="s">
        <v>1435</v>
      </c>
    </row>
    <row r="105" spans="1:8" ht="13.2" customHeight="1" x14ac:dyDescent="0.25">
      <c r="A105" s="23" t="s">
        <v>1571</v>
      </c>
      <c r="B105" s="23" t="s">
        <v>1412</v>
      </c>
      <c r="C105" s="51" t="s">
        <v>89</v>
      </c>
      <c r="D105" s="159">
        <v>0.75</v>
      </c>
      <c r="E105" s="159">
        <v>4.4999999999999998E-2</v>
      </c>
      <c r="F105" s="157">
        <f>(grains_table[[#This Row],[Extract %]]*46.214)/1000+1</f>
        <v>1.0346605</v>
      </c>
      <c r="G105" s="49">
        <v>132.5</v>
      </c>
      <c r="H105" s="133" t="s">
        <v>1436</v>
      </c>
    </row>
    <row r="106" spans="1:8" ht="13.2" customHeight="1" x14ac:dyDescent="0.25">
      <c r="A106" s="23" t="s">
        <v>1637</v>
      </c>
      <c r="B106" s="23" t="s">
        <v>1367</v>
      </c>
      <c r="C106" s="51" t="s">
        <v>89</v>
      </c>
      <c r="D106" s="159">
        <v>0.75</v>
      </c>
      <c r="E106" s="159">
        <v>4.4999999999999998E-2</v>
      </c>
      <c r="F106" s="157">
        <f>(grains_table[[#This Row],[Extract %]]*46.214)/1000+1</f>
        <v>1.0346605</v>
      </c>
      <c r="G106" s="131">
        <v>17.5</v>
      </c>
      <c r="H106" s="133" t="s">
        <v>1408</v>
      </c>
    </row>
    <row r="107" spans="1:8" ht="13.2" customHeight="1" x14ac:dyDescent="0.25">
      <c r="A107" s="23" t="s">
        <v>1492</v>
      </c>
      <c r="B107" s="23" t="s">
        <v>1412</v>
      </c>
      <c r="C107" s="51" t="s">
        <v>89</v>
      </c>
      <c r="D107" s="159">
        <v>0.80500000000000005</v>
      </c>
      <c r="E107" s="159">
        <v>4.9000000000000002E-2</v>
      </c>
      <c r="F107" s="157">
        <f>(grains_table[[#This Row],[Extract %]]*46.214)/1000+1</f>
        <v>1.0372022700000001</v>
      </c>
      <c r="G107" s="49">
        <v>2.7</v>
      </c>
      <c r="H107" s="133" t="s">
        <v>1425</v>
      </c>
    </row>
    <row r="108" spans="1:8" ht="13.2" customHeight="1" x14ac:dyDescent="0.25">
      <c r="A108" s="23" t="s">
        <v>1493</v>
      </c>
      <c r="B108" s="23" t="s">
        <v>1368</v>
      </c>
      <c r="C108" s="51" t="s">
        <v>89</v>
      </c>
      <c r="D108" s="159">
        <v>0.80500000000000005</v>
      </c>
      <c r="E108" s="159">
        <v>3.6999999999999998E-2</v>
      </c>
      <c r="F108" s="157">
        <f>(grains_table[[#This Row],[Extract %]]*46.214)/1000+1</f>
        <v>1.0372022700000001</v>
      </c>
      <c r="G108" s="131">
        <v>2.6</v>
      </c>
      <c r="H108" s="133" t="s">
        <v>1377</v>
      </c>
    </row>
    <row r="109" spans="1:8" ht="13.2" customHeight="1" x14ac:dyDescent="0.25">
      <c r="A109" s="23" t="s">
        <v>1490</v>
      </c>
      <c r="B109" s="23" t="s">
        <v>1368</v>
      </c>
      <c r="C109" s="51" t="s">
        <v>89</v>
      </c>
      <c r="D109" s="159">
        <v>0.8</v>
      </c>
      <c r="E109" s="159">
        <v>0.04</v>
      </c>
      <c r="F109" s="157">
        <f>(grains_table[[#This Row],[Extract %]]*46.214)/1000+1</f>
        <v>1.0369712</v>
      </c>
      <c r="G109" s="49">
        <v>8.6</v>
      </c>
      <c r="H109" s="133" t="s">
        <v>1384</v>
      </c>
    </row>
    <row r="110" spans="1:8" ht="13.2" customHeight="1" x14ac:dyDescent="0.25">
      <c r="A110" s="23" t="s">
        <v>1494</v>
      </c>
      <c r="B110" s="23" t="s">
        <v>1368</v>
      </c>
      <c r="C110" s="51" t="s">
        <v>89</v>
      </c>
      <c r="D110" s="159">
        <v>0.80500000000000005</v>
      </c>
      <c r="E110" s="159">
        <v>3.6999999999999998E-2</v>
      </c>
      <c r="F110" s="157">
        <f>(grains_table[[#This Row],[Extract %]]*46.214)/1000+1</f>
        <v>1.0372022700000001</v>
      </c>
      <c r="G110" s="131">
        <v>1.85</v>
      </c>
      <c r="H110" s="133" t="s">
        <v>1378</v>
      </c>
    </row>
    <row r="111" spans="1:8" ht="13.2" customHeight="1" x14ac:dyDescent="0.25">
      <c r="A111" s="23" t="s">
        <v>1606</v>
      </c>
      <c r="B111" s="23" t="s">
        <v>1368</v>
      </c>
      <c r="C111" s="51" t="s">
        <v>89</v>
      </c>
      <c r="D111" s="159">
        <v>0.81</v>
      </c>
      <c r="E111" s="159">
        <v>3.6999999999999998E-2</v>
      </c>
      <c r="F111" s="157">
        <f>(grains_table[[#This Row],[Extract %]]*46.214)/1000+1</f>
        <v>1.03743334</v>
      </c>
      <c r="G111" s="131">
        <v>2.6</v>
      </c>
      <c r="H111" s="133" t="s">
        <v>1374</v>
      </c>
    </row>
    <row r="112" spans="1:8" ht="13.2" customHeight="1" x14ac:dyDescent="0.25">
      <c r="A112" s="23" t="s">
        <v>1607</v>
      </c>
      <c r="B112" s="23" t="s">
        <v>1368</v>
      </c>
      <c r="C112" s="51" t="s">
        <v>89</v>
      </c>
      <c r="D112" s="159">
        <v>0.81</v>
      </c>
      <c r="E112" s="159">
        <v>3.6999999999999998E-2</v>
      </c>
      <c r="F112" s="157">
        <f>(grains_table[[#This Row],[Extract %]]*46.214)/1000+1</f>
        <v>1.03743334</v>
      </c>
      <c r="G112" s="49">
        <v>2.6</v>
      </c>
      <c r="H112" s="133" t="s">
        <v>1375</v>
      </c>
    </row>
    <row r="113" spans="1:8" ht="13.2" customHeight="1" x14ac:dyDescent="0.25">
      <c r="A113" s="23" t="s">
        <v>1552</v>
      </c>
      <c r="B113" s="23" t="s">
        <v>1553</v>
      </c>
      <c r="C113" s="51" t="s">
        <v>89</v>
      </c>
      <c r="D113" s="159">
        <v>0.8</v>
      </c>
      <c r="E113" s="159">
        <v>0.04</v>
      </c>
      <c r="F113" s="157">
        <f>(grains_table[[#This Row],[Extract %]]*46.214)/1000+1</f>
        <v>1.0369712</v>
      </c>
      <c r="G113" s="49">
        <v>2.65</v>
      </c>
      <c r="H113" s="133" t="s">
        <v>1613</v>
      </c>
    </row>
    <row r="114" spans="1:8" ht="13.2" customHeight="1" x14ac:dyDescent="0.25">
      <c r="A114" s="23" t="s">
        <v>1491</v>
      </c>
      <c r="B114" s="23" t="s">
        <v>1368</v>
      </c>
      <c r="C114" s="51" t="s">
        <v>89</v>
      </c>
      <c r="D114" s="159">
        <v>0.75</v>
      </c>
      <c r="E114" s="159">
        <v>3.5000000000000003E-2</v>
      </c>
      <c r="F114" s="157">
        <f>(grains_table[[#This Row],[Extract %]]*46.214)/1000+1</f>
        <v>1.0346605</v>
      </c>
      <c r="G114" s="131">
        <v>17.45</v>
      </c>
      <c r="H114" s="133" t="s">
        <v>1382</v>
      </c>
    </row>
    <row r="115" spans="1:8" ht="13.2" customHeight="1" x14ac:dyDescent="0.25">
      <c r="A115" s="23" t="s">
        <v>1495</v>
      </c>
      <c r="B115" s="23" t="s">
        <v>1369</v>
      </c>
      <c r="C115" s="51" t="s">
        <v>89</v>
      </c>
      <c r="D115" s="159">
        <v>0.78500000000000003</v>
      </c>
      <c r="E115" s="159">
        <v>1.4999999999999999E-2</v>
      </c>
      <c r="F115" s="157">
        <f>(grains_table[[#This Row],[Extract %]]*46.214)/1000+1</f>
        <v>1.0362779900000001</v>
      </c>
      <c r="G115" s="49">
        <v>3.5</v>
      </c>
      <c r="H115" s="133" t="s">
        <v>1646</v>
      </c>
    </row>
    <row r="116" spans="1:8" ht="13.2" customHeight="1" x14ac:dyDescent="0.25">
      <c r="A116" s="23" t="s">
        <v>1840</v>
      </c>
      <c r="B116" s="23" t="s">
        <v>1677</v>
      </c>
      <c r="C116" s="51" t="s">
        <v>89</v>
      </c>
      <c r="D116" s="159">
        <v>0.79</v>
      </c>
      <c r="E116" s="159">
        <v>4.4999999999999998E-2</v>
      </c>
      <c r="F116" s="157">
        <f>(grains_table[[#This Row],[Extract %]]*46.214)/1000+1</f>
        <v>1.03650906</v>
      </c>
      <c r="G116" s="248">
        <v>3.5</v>
      </c>
      <c r="H116" s="133" t="s">
        <v>1841</v>
      </c>
    </row>
    <row r="117" spans="1:8" ht="13.2" customHeight="1" x14ac:dyDescent="0.25">
      <c r="A117" s="23" t="s">
        <v>1497</v>
      </c>
      <c r="B117" s="23" t="s">
        <v>1367</v>
      </c>
      <c r="C117" s="51" t="s">
        <v>89</v>
      </c>
      <c r="D117" s="159">
        <v>0.79</v>
      </c>
      <c r="E117" s="159">
        <v>4.4999999999999998E-2</v>
      </c>
      <c r="F117" s="157">
        <f>(grains_table[[#This Row],[Extract %]]*46.214)/1000+1</f>
        <v>1.03650906</v>
      </c>
      <c r="G117" s="131">
        <v>3</v>
      </c>
      <c r="H117" s="133" t="s">
        <v>1408</v>
      </c>
    </row>
    <row r="118" spans="1:8" ht="13.2" customHeight="1" x14ac:dyDescent="0.25">
      <c r="A118" s="23" t="s">
        <v>1496</v>
      </c>
      <c r="B118" s="23" t="s">
        <v>1370</v>
      </c>
      <c r="C118" s="51" t="s">
        <v>89</v>
      </c>
      <c r="D118" s="159">
        <v>0.8</v>
      </c>
      <c r="E118" s="159">
        <v>4.4999999999999998E-2</v>
      </c>
      <c r="F118" s="157">
        <f>(grains_table[[#This Row],[Extract %]]*46.214)/1000+1</f>
        <v>1.0369712</v>
      </c>
      <c r="G118" s="131">
        <v>3.8</v>
      </c>
      <c r="H118" s="133" t="s">
        <v>1405</v>
      </c>
    </row>
    <row r="119" spans="1:8" ht="13.2" customHeight="1" x14ac:dyDescent="0.25">
      <c r="A119" s="23" t="s">
        <v>1498</v>
      </c>
      <c r="B119" s="23" t="s">
        <v>1369</v>
      </c>
      <c r="C119" s="51" t="s">
        <v>89</v>
      </c>
      <c r="D119" s="159">
        <v>0.79</v>
      </c>
      <c r="E119" s="159">
        <v>3.5000000000000003E-2</v>
      </c>
      <c r="F119" s="157">
        <f>(grains_table[[#This Row],[Extract %]]*46.214)/1000+1</f>
        <v>1.03650906</v>
      </c>
      <c r="G119" s="131">
        <v>5.3</v>
      </c>
      <c r="H119" s="133" t="s">
        <v>1646</v>
      </c>
    </row>
    <row r="120" spans="1:8" ht="13.2" customHeight="1" x14ac:dyDescent="0.25">
      <c r="A120" s="23" t="s">
        <v>1499</v>
      </c>
      <c r="B120" s="23" t="s">
        <v>1369</v>
      </c>
      <c r="C120" s="51" t="s">
        <v>89</v>
      </c>
      <c r="D120" s="159">
        <v>0.81</v>
      </c>
      <c r="E120" s="159">
        <v>4.2000000000000003E-2</v>
      </c>
      <c r="F120" s="157">
        <f>(grains_table[[#This Row],[Extract %]]*46.214)/1000+1</f>
        <v>1.03743334</v>
      </c>
      <c r="G120" s="49">
        <v>1.8</v>
      </c>
      <c r="H120" s="133" t="s">
        <v>1646</v>
      </c>
    </row>
    <row r="121" spans="1:8" ht="13.2" customHeight="1" x14ac:dyDescent="0.25">
      <c r="A121" s="23" t="s">
        <v>1676</v>
      </c>
      <c r="B121" s="23" t="s">
        <v>1677</v>
      </c>
      <c r="C121" s="97" t="s">
        <v>89</v>
      </c>
      <c r="D121" s="156">
        <v>0.8</v>
      </c>
      <c r="E121" s="156">
        <v>0.04</v>
      </c>
      <c r="F121" s="157">
        <v>1.0369999999999999</v>
      </c>
      <c r="G121" s="163">
        <v>1.8</v>
      </c>
      <c r="H121" s="133" t="s">
        <v>1678</v>
      </c>
    </row>
    <row r="122" spans="1:8" ht="13.2" customHeight="1" x14ac:dyDescent="0.25">
      <c r="A122" s="23" t="s">
        <v>1751</v>
      </c>
      <c r="B122" s="23" t="s">
        <v>1677</v>
      </c>
      <c r="C122" s="51" t="s">
        <v>89</v>
      </c>
      <c r="D122" s="159">
        <v>0.79</v>
      </c>
      <c r="E122" s="159">
        <v>4.2000000000000003E-2</v>
      </c>
      <c r="F122" s="157">
        <f>(grains_table[[#This Row],[Extract %]]*46.214)/1000+1</f>
        <v>1.03650906</v>
      </c>
      <c r="G122" s="163">
        <v>2.2999999999999998</v>
      </c>
      <c r="H122" s="133" t="s">
        <v>1752</v>
      </c>
    </row>
    <row r="123" spans="1:8" ht="13.2" customHeight="1" x14ac:dyDescent="0.25">
      <c r="A123" s="23" t="s">
        <v>1500</v>
      </c>
      <c r="B123" s="23" t="s">
        <v>1369</v>
      </c>
      <c r="C123" s="51" t="s">
        <v>89</v>
      </c>
      <c r="D123" s="159">
        <v>0.8</v>
      </c>
      <c r="E123" s="159">
        <v>4.5999999999999999E-2</v>
      </c>
      <c r="F123" s="157">
        <f>(grains_table[[#This Row],[Extract %]]*46.214)/1000+1</f>
        <v>1.0369712</v>
      </c>
      <c r="G123" s="131">
        <v>1.7</v>
      </c>
      <c r="H123" s="133" t="s">
        <v>1419</v>
      </c>
    </row>
    <row r="124" spans="1:8" ht="13.2" customHeight="1" x14ac:dyDescent="0.25">
      <c r="A124" s="23" t="s">
        <v>1501</v>
      </c>
      <c r="B124" s="23" t="s">
        <v>1368</v>
      </c>
      <c r="C124" s="51" t="s">
        <v>89</v>
      </c>
      <c r="D124" s="159">
        <v>0.80500000000000005</v>
      </c>
      <c r="E124" s="159">
        <v>3.6999999999999998E-2</v>
      </c>
      <c r="F124" s="157">
        <f>(grains_table[[#This Row],[Extract %]]*46.214)/1000+1</f>
        <v>1.0372022700000001</v>
      </c>
      <c r="G124" s="131">
        <v>1.7</v>
      </c>
      <c r="H124" s="133" t="s">
        <v>1376</v>
      </c>
    </row>
    <row r="125" spans="1:8" ht="13.2" customHeight="1" x14ac:dyDescent="0.25">
      <c r="A125" s="23" t="s">
        <v>1451</v>
      </c>
      <c r="B125" s="23" t="s">
        <v>1412</v>
      </c>
      <c r="C125" s="51" t="s">
        <v>89</v>
      </c>
      <c r="D125" s="159">
        <v>0.80500000000000005</v>
      </c>
      <c r="E125" s="159">
        <v>4.9000000000000002E-2</v>
      </c>
      <c r="F125" s="157">
        <f>(grains_table[[#This Row],[Extract %]]*46.214)/1000+1</f>
        <v>1.0372022700000001</v>
      </c>
      <c r="G125" s="131">
        <v>1.5</v>
      </c>
      <c r="H125" s="133" t="s">
        <v>1423</v>
      </c>
    </row>
    <row r="126" spans="1:8" ht="13.2" customHeight="1" x14ac:dyDescent="0.25">
      <c r="A126" s="23" t="s">
        <v>1452</v>
      </c>
      <c r="B126" s="23" t="s">
        <v>1412</v>
      </c>
      <c r="C126" s="51" t="s">
        <v>89</v>
      </c>
      <c r="D126" s="159">
        <v>0.80500000000000005</v>
      </c>
      <c r="E126" s="159">
        <v>4.9000000000000002E-2</v>
      </c>
      <c r="F126" s="157">
        <f>(grains_table[[#This Row],[Extract %]]*46.214)/1000+1</f>
        <v>1.0372022700000001</v>
      </c>
      <c r="G126" s="131">
        <v>1.95</v>
      </c>
      <c r="H126" s="133" t="s">
        <v>1424</v>
      </c>
    </row>
    <row r="127" spans="1:8" ht="13.2" customHeight="1" x14ac:dyDescent="0.25">
      <c r="A127" s="23" t="s">
        <v>1453</v>
      </c>
      <c r="B127" s="23" t="s">
        <v>1367</v>
      </c>
      <c r="C127" s="51" t="s">
        <v>89</v>
      </c>
      <c r="D127" s="159">
        <v>0.8</v>
      </c>
      <c r="E127" s="159">
        <v>0.05</v>
      </c>
      <c r="F127" s="157">
        <f>(grains_table[[#This Row],[Extract %]]*46.214)/1000+1</f>
        <v>1.0369712</v>
      </c>
      <c r="G127" s="49">
        <v>2.0499999999999998</v>
      </c>
      <c r="H127" s="133" t="s">
        <v>1408</v>
      </c>
    </row>
    <row r="128" spans="1:8" ht="13.2" customHeight="1" x14ac:dyDescent="0.25">
      <c r="A128" s="23" t="s">
        <v>1608</v>
      </c>
      <c r="B128" s="23" t="s">
        <v>1367</v>
      </c>
      <c r="C128" s="51" t="s">
        <v>89</v>
      </c>
      <c r="D128" s="159">
        <v>0.80500000000000005</v>
      </c>
      <c r="E128" s="159">
        <v>4.4999999999999998E-2</v>
      </c>
      <c r="F128" s="157">
        <f>(grains_table[[#This Row],[Extract %]]*46.214)/1000+1</f>
        <v>1.0372022700000001</v>
      </c>
      <c r="G128" s="49">
        <v>1.3</v>
      </c>
      <c r="H128" s="133" t="s">
        <v>1408</v>
      </c>
    </row>
    <row r="129" spans="1:8" ht="13.2" customHeight="1" x14ac:dyDescent="0.25">
      <c r="A129" s="23" t="s">
        <v>1454</v>
      </c>
      <c r="B129" s="23" t="s">
        <v>1368</v>
      </c>
      <c r="C129" s="51" t="s">
        <v>89</v>
      </c>
      <c r="D129" s="159">
        <v>0.81</v>
      </c>
      <c r="E129" s="159">
        <v>4.4999999999999998E-2</v>
      </c>
      <c r="F129" s="157">
        <f>(grains_table[[#This Row],[Extract %]]*46.214)/1000+1</f>
        <v>1.03743334</v>
      </c>
      <c r="G129" s="49">
        <v>1.7</v>
      </c>
      <c r="H129" s="133" t="s">
        <v>1379</v>
      </c>
    </row>
    <row r="130" spans="1:8" ht="13.2" customHeight="1" x14ac:dyDescent="0.25">
      <c r="A130" s="23" t="s">
        <v>1657</v>
      </c>
      <c r="B130" s="23" t="s">
        <v>1367</v>
      </c>
      <c r="C130" s="51" t="s">
        <v>89</v>
      </c>
      <c r="D130" s="159">
        <v>0.79</v>
      </c>
      <c r="E130" s="159">
        <v>5.5E-2</v>
      </c>
      <c r="F130" s="157">
        <f>(grains_table[[#This Row],[Extract %]]*46.214)/1000+1</f>
        <v>1.03650906</v>
      </c>
      <c r="G130" s="131">
        <v>1.95</v>
      </c>
      <c r="H130" s="133" t="s">
        <v>1408</v>
      </c>
    </row>
    <row r="131" spans="1:8" ht="13.2" customHeight="1" x14ac:dyDescent="0.25">
      <c r="A131" s="23" t="s">
        <v>1551</v>
      </c>
      <c r="B131" s="23" t="s">
        <v>1553</v>
      </c>
      <c r="C131" s="51" t="s">
        <v>89</v>
      </c>
      <c r="D131" s="159">
        <v>0.8</v>
      </c>
      <c r="E131" s="159">
        <v>0.04</v>
      </c>
      <c r="F131" s="157">
        <f>(grains_table[[#This Row],[Extract %]]*46.214)/1000+1</f>
        <v>1.0369712</v>
      </c>
      <c r="G131" s="49">
        <v>1.6</v>
      </c>
      <c r="H131" s="133" t="s">
        <v>1613</v>
      </c>
    </row>
    <row r="132" spans="1:8" ht="13.2" customHeight="1" x14ac:dyDescent="0.25">
      <c r="A132" s="23" t="s">
        <v>1455</v>
      </c>
      <c r="B132" s="23" t="s">
        <v>1369</v>
      </c>
      <c r="C132" s="51" t="s">
        <v>89</v>
      </c>
      <c r="D132" s="159">
        <v>0.80500000000000005</v>
      </c>
      <c r="E132" s="159">
        <v>4.4999999999999998E-2</v>
      </c>
      <c r="F132" s="157">
        <f>(grains_table[[#This Row],[Extract %]]*46.214)/1000+1</f>
        <v>1.0372022700000001</v>
      </c>
      <c r="G132" s="49">
        <v>1.2</v>
      </c>
      <c r="H132" s="133" t="s">
        <v>1419</v>
      </c>
    </row>
    <row r="133" spans="1:8" ht="13.2" customHeight="1" x14ac:dyDescent="0.25">
      <c r="A133" s="23" t="s">
        <v>1758</v>
      </c>
      <c r="B133" s="172" t="s">
        <v>1757</v>
      </c>
      <c r="C133" s="97" t="s">
        <v>89</v>
      </c>
      <c r="D133" s="159">
        <v>0.81</v>
      </c>
      <c r="E133" s="159">
        <v>4.4999999999999998E-2</v>
      </c>
      <c r="F133" s="157">
        <f>(grains_table[[#This Row],[Extract %]]*46.214)/1000+1</f>
        <v>1.03743334</v>
      </c>
      <c r="G133" s="176">
        <v>2</v>
      </c>
      <c r="H133" s="133" t="s">
        <v>1756</v>
      </c>
    </row>
    <row r="134" spans="1:8" ht="13.2" customHeight="1" x14ac:dyDescent="0.25">
      <c r="A134" s="23" t="s">
        <v>1456</v>
      </c>
      <c r="B134" s="23" t="s">
        <v>1370</v>
      </c>
      <c r="C134" s="51" t="s">
        <v>89</v>
      </c>
      <c r="D134" s="159">
        <v>0.8</v>
      </c>
      <c r="E134" s="159">
        <v>4.4999999999999998E-2</v>
      </c>
      <c r="F134" s="157">
        <f>(grains_table[[#This Row],[Extract %]]*46.214)/1000+1</f>
        <v>1.0369712</v>
      </c>
      <c r="G134" s="49">
        <v>1.6</v>
      </c>
      <c r="H134" s="133" t="s">
        <v>1405</v>
      </c>
    </row>
    <row r="135" spans="1:8" ht="13.2" customHeight="1" x14ac:dyDescent="0.25">
      <c r="A135" s="23" t="s">
        <v>1457</v>
      </c>
      <c r="B135" s="23" t="s">
        <v>1367</v>
      </c>
      <c r="C135" s="51" t="s">
        <v>89</v>
      </c>
      <c r="D135" s="159">
        <v>0.80500000000000005</v>
      </c>
      <c r="E135" s="159">
        <v>0.05</v>
      </c>
      <c r="F135" s="157">
        <f>(grains_table[[#This Row],[Extract %]]*46.214)/1000+1</f>
        <v>1.0372022700000001</v>
      </c>
      <c r="G135" s="49">
        <v>1.85</v>
      </c>
      <c r="H135" s="133" t="s">
        <v>1408</v>
      </c>
    </row>
    <row r="136" spans="1:8" ht="13.2" customHeight="1" x14ac:dyDescent="0.25">
      <c r="A136" s="23" t="s">
        <v>1458</v>
      </c>
      <c r="B136" s="23" t="s">
        <v>1369</v>
      </c>
      <c r="C136" s="51" t="s">
        <v>89</v>
      </c>
      <c r="D136" s="159">
        <v>0.83299999999999996</v>
      </c>
      <c r="E136" s="159">
        <v>4.3999999999999997E-2</v>
      </c>
      <c r="F136" s="157">
        <f>(grains_table[[#This Row],[Extract %]]*46.214)/1000+1</f>
        <v>1.038496262</v>
      </c>
      <c r="G136" s="49">
        <v>1.8</v>
      </c>
      <c r="H136" s="133" t="s">
        <v>1419</v>
      </c>
    </row>
    <row r="137" spans="1:8" ht="13.2" customHeight="1" x14ac:dyDescent="0.25">
      <c r="A137" s="23" t="s">
        <v>1753</v>
      </c>
      <c r="B137" s="172"/>
      <c r="C137" s="97" t="s">
        <v>89</v>
      </c>
      <c r="D137" s="156">
        <v>0</v>
      </c>
      <c r="E137" s="156">
        <v>0</v>
      </c>
      <c r="F137" s="157">
        <v>1</v>
      </c>
      <c r="G137" s="164">
        <v>0</v>
      </c>
      <c r="H137" s="133"/>
    </row>
    <row r="138" spans="1:8" ht="13.2" customHeight="1" x14ac:dyDescent="0.25">
      <c r="A138" s="23" t="s">
        <v>1355</v>
      </c>
      <c r="B138" s="23" t="s">
        <v>1369</v>
      </c>
      <c r="C138" s="51" t="s">
        <v>89</v>
      </c>
      <c r="D138" s="159"/>
      <c r="E138" s="159">
        <v>0.05</v>
      </c>
      <c r="F138" s="157">
        <v>1.0249999999999999</v>
      </c>
      <c r="G138" s="49">
        <v>300</v>
      </c>
      <c r="H138" s="133" t="s">
        <v>1675</v>
      </c>
    </row>
    <row r="139" spans="1:8" ht="13.2" customHeight="1" x14ac:dyDescent="0.25">
      <c r="A139" s="23" t="s">
        <v>1371</v>
      </c>
      <c r="B139" s="23" t="s">
        <v>1368</v>
      </c>
      <c r="C139" s="51" t="s">
        <v>89</v>
      </c>
      <c r="D139" s="159">
        <v>0.62</v>
      </c>
      <c r="E139" s="159">
        <v>0.03</v>
      </c>
      <c r="F139" s="157">
        <f>(grains_table[[#This Row],[Extract %]]*46.214)/1000+1</f>
        <v>1.02865268</v>
      </c>
      <c r="G139" s="131">
        <v>600.6</v>
      </c>
      <c r="H139" s="133" t="s">
        <v>1398</v>
      </c>
    </row>
    <row r="140" spans="1:8" ht="13.2" customHeight="1" x14ac:dyDescent="0.25">
      <c r="A140" s="23" t="s">
        <v>1372</v>
      </c>
      <c r="B140" s="23" t="s">
        <v>1367</v>
      </c>
      <c r="C140" s="51" t="s">
        <v>89</v>
      </c>
      <c r="D140" s="159">
        <v>0.65</v>
      </c>
      <c r="E140" s="159">
        <v>3.7999999999999999E-2</v>
      </c>
      <c r="F140" s="157">
        <f>(grains_table[[#This Row],[Extract %]]*46.214)/1000+1</f>
        <v>1.0300391</v>
      </c>
      <c r="G140" s="49">
        <v>431.5</v>
      </c>
      <c r="H140" s="133" t="s">
        <v>1408</v>
      </c>
    </row>
    <row r="141" spans="1:8" ht="13.2" customHeight="1" x14ac:dyDescent="0.25">
      <c r="A141" s="23" t="s">
        <v>1570</v>
      </c>
      <c r="B141" s="23" t="s">
        <v>1412</v>
      </c>
      <c r="C141" s="51" t="s">
        <v>89</v>
      </c>
      <c r="D141" s="159"/>
      <c r="E141" s="159">
        <v>5.5E-2</v>
      </c>
      <c r="F141" s="157">
        <f>(grains_table[[#This Row],[Extract %]]*46.214)/1000+1</f>
        <v>1</v>
      </c>
      <c r="G141" s="132">
        <v>490</v>
      </c>
      <c r="H141" s="134" t="s">
        <v>1450</v>
      </c>
    </row>
    <row r="142" spans="1:8" ht="13.2" customHeight="1" x14ac:dyDescent="0.25">
      <c r="A142" s="23" t="s">
        <v>1579</v>
      </c>
      <c r="B142" s="23" t="s">
        <v>1369</v>
      </c>
      <c r="C142" s="51" t="s">
        <v>89</v>
      </c>
      <c r="D142" s="159"/>
      <c r="E142" s="159">
        <v>0.06</v>
      </c>
      <c r="F142" s="157">
        <f>(grains_table[[#This Row],[Extract %]]*46.214)/1000+1</f>
        <v>1</v>
      </c>
      <c r="G142" s="131">
        <v>500</v>
      </c>
      <c r="H142" s="133" t="s">
        <v>1614</v>
      </c>
    </row>
    <row r="143" spans="1:8" ht="13.2" customHeight="1" x14ac:dyDescent="0.25">
      <c r="A143" s="23" t="s">
        <v>1555</v>
      </c>
      <c r="B143" s="23" t="s">
        <v>1370</v>
      </c>
      <c r="C143" s="51" t="s">
        <v>89</v>
      </c>
      <c r="D143" s="159">
        <v>0.7</v>
      </c>
      <c r="E143" s="159">
        <v>4.4999999999999998E-2</v>
      </c>
      <c r="F143" s="157">
        <f>(grains_table[[#This Row],[Extract %]]*46.214)/1000+1</f>
        <v>1.0323498</v>
      </c>
      <c r="G143" s="49">
        <v>453</v>
      </c>
      <c r="H143" s="134" t="s">
        <v>1407</v>
      </c>
    </row>
    <row r="144" spans="1:8" ht="13.2" customHeight="1" x14ac:dyDescent="0.25">
      <c r="A144" s="23" t="s">
        <v>1511</v>
      </c>
      <c r="B144" s="23" t="s">
        <v>1368</v>
      </c>
      <c r="C144" s="51" t="s">
        <v>89</v>
      </c>
      <c r="D144" s="159">
        <v>0.69</v>
      </c>
      <c r="E144" s="159">
        <v>0.05</v>
      </c>
      <c r="F144" s="157">
        <f>(grains_table[[#This Row],[Extract %]]*46.214)/1000+1</f>
        <v>1.03188766</v>
      </c>
      <c r="G144" s="49">
        <v>24</v>
      </c>
      <c r="H144" s="133" t="s">
        <v>1394</v>
      </c>
    </row>
    <row r="145" spans="1:8" ht="13.2" customHeight="1" x14ac:dyDescent="0.25">
      <c r="A145" s="23" t="s">
        <v>1512</v>
      </c>
      <c r="B145" s="23" t="s">
        <v>1412</v>
      </c>
      <c r="C145" s="51" t="s">
        <v>89</v>
      </c>
      <c r="D145" s="159">
        <v>0.65</v>
      </c>
      <c r="E145" s="159">
        <v>4.4999999999999998E-2</v>
      </c>
      <c r="F145" s="157">
        <f>(grains_table[[#This Row],[Extract %]]*46.214)/1000+1</f>
        <v>1.0300391</v>
      </c>
      <c r="G145" s="131">
        <v>432.5</v>
      </c>
      <c r="H145" s="134" t="s">
        <v>1444</v>
      </c>
    </row>
    <row r="146" spans="1:8" ht="13.2" customHeight="1" x14ac:dyDescent="0.25">
      <c r="A146" s="23" t="s">
        <v>1513</v>
      </c>
      <c r="B146" s="23" t="s">
        <v>1412</v>
      </c>
      <c r="C146" s="51" t="s">
        <v>89</v>
      </c>
      <c r="D146" s="159">
        <v>0.65</v>
      </c>
      <c r="E146" s="159">
        <v>4.4999999999999998E-2</v>
      </c>
      <c r="F146" s="157">
        <f>(grains_table[[#This Row],[Extract %]]*46.214)/1000+1</f>
        <v>1.0300391</v>
      </c>
      <c r="G146" s="132">
        <v>509.5</v>
      </c>
      <c r="H146" s="134" t="s">
        <v>1445</v>
      </c>
    </row>
    <row r="147" spans="1:8" ht="13.2" customHeight="1" x14ac:dyDescent="0.25">
      <c r="A147" s="23" t="s">
        <v>1514</v>
      </c>
      <c r="B147" s="23" t="s">
        <v>1412</v>
      </c>
      <c r="C147" s="51" t="s">
        <v>89</v>
      </c>
      <c r="D147" s="159">
        <v>0.75</v>
      </c>
      <c r="E147" s="159">
        <v>4.4999999999999998E-2</v>
      </c>
      <c r="F147" s="157">
        <f>(grains_table[[#This Row],[Extract %]]*46.214)/1000+1</f>
        <v>1.0346605</v>
      </c>
      <c r="G147" s="131">
        <v>340</v>
      </c>
      <c r="H147" s="133" t="s">
        <v>1627</v>
      </c>
    </row>
    <row r="148" spans="1:8" ht="13.2" customHeight="1" x14ac:dyDescent="0.25">
      <c r="A148" s="23" t="s">
        <v>1515</v>
      </c>
      <c r="B148" s="23" t="s">
        <v>1369</v>
      </c>
      <c r="C148" s="51" t="s">
        <v>89</v>
      </c>
      <c r="D148" s="159"/>
      <c r="E148" s="159">
        <v>0.06</v>
      </c>
      <c r="F148" s="157">
        <f>(grains_table[[#This Row],[Extract %]]*46.214)/1000+1</f>
        <v>1</v>
      </c>
      <c r="G148" s="49">
        <v>500</v>
      </c>
      <c r="H148" s="133" t="s">
        <v>1626</v>
      </c>
    </row>
    <row r="149" spans="1:8" ht="13.2" customHeight="1" x14ac:dyDescent="0.25">
      <c r="A149" s="23" t="s">
        <v>1516</v>
      </c>
      <c r="B149" s="23" t="s">
        <v>1368</v>
      </c>
      <c r="C149" s="51" t="s">
        <v>89</v>
      </c>
      <c r="D149" s="159">
        <v>0.69</v>
      </c>
      <c r="E149" s="159">
        <v>0.03</v>
      </c>
      <c r="F149" s="157">
        <f>(grains_table[[#This Row],[Extract %]]*46.214)/1000+1</f>
        <v>1.03188766</v>
      </c>
      <c r="G149" s="49">
        <v>625.54999999999995</v>
      </c>
      <c r="H149" s="133" t="s">
        <v>1397</v>
      </c>
    </row>
    <row r="150" spans="1:8" ht="13.2" customHeight="1" x14ac:dyDescent="0.25">
      <c r="A150" s="23" t="s">
        <v>1517</v>
      </c>
      <c r="B150" s="23" t="s">
        <v>1369</v>
      </c>
      <c r="C150" s="51" t="s">
        <v>89</v>
      </c>
      <c r="D150" s="159"/>
      <c r="E150" s="159">
        <v>0.06</v>
      </c>
      <c r="F150" s="157">
        <f>(grains_table[[#This Row],[Extract %]]*46.214)/1000+1</f>
        <v>1</v>
      </c>
      <c r="G150" s="49">
        <v>500</v>
      </c>
      <c r="H150" s="133" t="s">
        <v>1626</v>
      </c>
    </row>
    <row r="151" spans="1:8" ht="13.2" customHeight="1" x14ac:dyDescent="0.25">
      <c r="A151" s="23" t="s">
        <v>1518</v>
      </c>
      <c r="B151" s="23" t="s">
        <v>1369</v>
      </c>
      <c r="C151" s="51" t="s">
        <v>89</v>
      </c>
      <c r="D151" s="159"/>
      <c r="E151" s="159">
        <v>0.06</v>
      </c>
      <c r="F151" s="157">
        <f>(grains_table[[#This Row],[Extract %]]*46.214)/1000+1</f>
        <v>1</v>
      </c>
      <c r="G151" s="131">
        <v>500</v>
      </c>
      <c r="H151" s="133" t="s">
        <v>1626</v>
      </c>
    </row>
    <row r="152" spans="1:8" ht="13.2" customHeight="1" x14ac:dyDescent="0.25">
      <c r="A152" s="23" t="s">
        <v>1519</v>
      </c>
      <c r="B152" s="23" t="s">
        <v>1368</v>
      </c>
      <c r="C152" s="51" t="s">
        <v>89</v>
      </c>
      <c r="D152" s="159">
        <v>0.68700000000000006</v>
      </c>
      <c r="E152" s="159">
        <v>0.04</v>
      </c>
      <c r="F152" s="157">
        <f>(grains_table[[#This Row],[Extract %]]*46.214)/1000+1</f>
        <v>1.031749018</v>
      </c>
      <c r="G152" s="132">
        <v>193.7</v>
      </c>
      <c r="H152" s="133" t="s">
        <v>1395</v>
      </c>
    </row>
    <row r="153" spans="1:8" ht="13.2" customHeight="1" x14ac:dyDescent="0.25">
      <c r="A153" s="23" t="s">
        <v>1520</v>
      </c>
      <c r="B153" s="23" t="s">
        <v>1369</v>
      </c>
      <c r="C153" s="51" t="s">
        <v>89</v>
      </c>
      <c r="D153" s="159">
        <v>0.79</v>
      </c>
      <c r="E153" s="159">
        <v>2.1999999999999999E-2</v>
      </c>
      <c r="F153" s="157">
        <f>(grains_table[[#This Row],[Extract %]]*46.214)/1000+1</f>
        <v>1.03650906</v>
      </c>
      <c r="G153" s="49">
        <v>55</v>
      </c>
      <c r="H153" s="133" t="s">
        <v>1410</v>
      </c>
    </row>
    <row r="154" spans="1:8" ht="13.2" customHeight="1" x14ac:dyDescent="0.25">
      <c r="A154" s="23" t="s">
        <v>1521</v>
      </c>
      <c r="B154" s="23" t="s">
        <v>1369</v>
      </c>
      <c r="C154" s="51" t="s">
        <v>89</v>
      </c>
      <c r="D154" s="159">
        <v>0.6</v>
      </c>
      <c r="E154" s="159">
        <v>0</v>
      </c>
      <c r="F154" s="157">
        <f>(grains_table[[#This Row],[Extract %]]*46.214)/1000+1</f>
        <v>1.0277284</v>
      </c>
      <c r="G154" s="131">
        <v>350</v>
      </c>
      <c r="H154" s="133" t="s">
        <v>1414</v>
      </c>
    </row>
    <row r="155" spans="1:8" ht="13.2" customHeight="1" x14ac:dyDescent="0.25">
      <c r="A155" s="23" t="s">
        <v>1522</v>
      </c>
      <c r="B155" s="23" t="s">
        <v>1368</v>
      </c>
      <c r="C155" s="51" t="s">
        <v>89</v>
      </c>
      <c r="D155" s="159">
        <v>0.69</v>
      </c>
      <c r="E155" s="159">
        <v>0.03</v>
      </c>
      <c r="F155" s="157">
        <f>(grains_table[[#This Row],[Extract %]]*46.214)/1000+1</f>
        <v>1.03188766</v>
      </c>
      <c r="G155" s="49">
        <v>444.4</v>
      </c>
      <c r="H155" s="133" t="s">
        <v>1396</v>
      </c>
    </row>
    <row r="156" spans="1:8" ht="13.2" customHeight="1" x14ac:dyDescent="0.25">
      <c r="A156" s="23" t="s">
        <v>1548</v>
      </c>
      <c r="B156" s="23" t="s">
        <v>1367</v>
      </c>
      <c r="C156" s="51" t="s">
        <v>89</v>
      </c>
      <c r="D156" s="159">
        <v>0.65</v>
      </c>
      <c r="E156" s="159">
        <v>0.04</v>
      </c>
      <c r="F156" s="157">
        <f>(grains_table[[#This Row],[Extract %]]*46.214)/1000+1</f>
        <v>1.0300391</v>
      </c>
      <c r="G156" s="131">
        <v>244</v>
      </c>
      <c r="H156" s="133" t="s">
        <v>1408</v>
      </c>
    </row>
    <row r="157" spans="1:8" ht="13.2" customHeight="1" x14ac:dyDescent="0.25">
      <c r="A157" s="23" t="s">
        <v>1549</v>
      </c>
      <c r="B157" s="23" t="s">
        <v>1367</v>
      </c>
      <c r="C157" s="51" t="s">
        <v>89</v>
      </c>
      <c r="D157" s="159">
        <v>0.65</v>
      </c>
      <c r="E157" s="159">
        <v>0.04</v>
      </c>
      <c r="F157" s="157">
        <f>(grains_table[[#This Row],[Extract %]]*46.214)/1000+1</f>
        <v>1.0300391</v>
      </c>
      <c r="G157" s="49">
        <v>273</v>
      </c>
      <c r="H157" s="133" t="s">
        <v>1408</v>
      </c>
    </row>
    <row r="158" spans="1:8" ht="13.2" customHeight="1" x14ac:dyDescent="0.25">
      <c r="A158" s="23" t="s">
        <v>1550</v>
      </c>
      <c r="B158" s="23" t="s">
        <v>1367</v>
      </c>
      <c r="C158" s="51" t="s">
        <v>89</v>
      </c>
      <c r="D158" s="159">
        <v>0.65</v>
      </c>
      <c r="E158" s="159">
        <v>0.04</v>
      </c>
      <c r="F158" s="157">
        <f>(grains_table[[#This Row],[Extract %]]*46.214)/1000+1</f>
        <v>1.0300391</v>
      </c>
      <c r="G158" s="131">
        <v>394.5</v>
      </c>
      <c r="H158" s="133" t="s">
        <v>1408</v>
      </c>
    </row>
    <row r="159" spans="1:8" ht="13.2" customHeight="1" x14ac:dyDescent="0.25">
      <c r="A159" s="23" t="s">
        <v>1523</v>
      </c>
      <c r="B159" s="23" t="s">
        <v>1369</v>
      </c>
      <c r="C159" s="51" t="s">
        <v>89</v>
      </c>
      <c r="D159" s="159"/>
      <c r="E159" s="159">
        <v>5.5E-2</v>
      </c>
      <c r="F159" s="157">
        <f>(grains_table[[#This Row],[Extract %]]*46.214)/1000+1</f>
        <v>1</v>
      </c>
      <c r="G159" s="49">
        <v>420</v>
      </c>
      <c r="H159" s="133" t="s">
        <v>1615</v>
      </c>
    </row>
    <row r="160" spans="1:8" ht="13.2" customHeight="1" x14ac:dyDescent="0.25">
      <c r="A160" s="23" t="s">
        <v>1524</v>
      </c>
      <c r="B160" s="23" t="s">
        <v>1369</v>
      </c>
      <c r="C160" s="51" t="s">
        <v>89</v>
      </c>
      <c r="D160" s="159">
        <v>0.72</v>
      </c>
      <c r="E160" s="159">
        <v>2.5000000000000001E-2</v>
      </c>
      <c r="F160" s="157">
        <f>(grains_table[[#This Row],[Extract %]]*46.214)/1000+1</f>
        <v>1.03327408</v>
      </c>
      <c r="G160" s="131">
        <v>130</v>
      </c>
      <c r="H160" s="133" t="s">
        <v>1415</v>
      </c>
    </row>
    <row r="161" spans="1:8" ht="13.2" customHeight="1" x14ac:dyDescent="0.25">
      <c r="A161" s="23" t="s">
        <v>1525</v>
      </c>
      <c r="B161" s="23" t="s">
        <v>1369</v>
      </c>
      <c r="C161" s="51" t="s">
        <v>89</v>
      </c>
      <c r="D161" s="159"/>
      <c r="E161" s="159">
        <v>6.5000000000000002E-2</v>
      </c>
      <c r="F161" s="157">
        <f>(grains_table[[#This Row],[Extract %]]*46.214)/1000+1</f>
        <v>1</v>
      </c>
      <c r="G161" s="49">
        <v>550</v>
      </c>
      <c r="H161" s="134" t="s">
        <v>1615</v>
      </c>
    </row>
    <row r="162" spans="1:8" ht="13.2" customHeight="1" x14ac:dyDescent="0.25">
      <c r="A162" s="23" t="s">
        <v>1557</v>
      </c>
      <c r="B162" s="23" t="s">
        <v>1367</v>
      </c>
      <c r="C162" s="51" t="s">
        <v>89</v>
      </c>
      <c r="D162" s="159">
        <v>0.65</v>
      </c>
      <c r="E162" s="159">
        <v>0.04</v>
      </c>
      <c r="F162" s="157">
        <f>(grains_table[[#This Row],[Extract %]]*46.214)/1000+1</f>
        <v>1.0300391</v>
      </c>
      <c r="G162" s="135">
        <v>244</v>
      </c>
      <c r="H162" s="133" t="s">
        <v>1408</v>
      </c>
    </row>
    <row r="163" spans="1:8" ht="13.2" customHeight="1" x14ac:dyDescent="0.25">
      <c r="A163" s="23" t="s">
        <v>1526</v>
      </c>
      <c r="B163" s="23" t="s">
        <v>1370</v>
      </c>
      <c r="C163" s="51" t="s">
        <v>89</v>
      </c>
      <c r="D163" s="159">
        <v>0.83</v>
      </c>
      <c r="E163" s="159">
        <v>6.5000000000000002E-2</v>
      </c>
      <c r="F163" s="157">
        <f>(grains_table[[#This Row],[Extract %]]*46.214)/1000+1</f>
        <v>1.03835762</v>
      </c>
      <c r="G163" s="135">
        <v>12</v>
      </c>
      <c r="H163" s="133" t="s">
        <v>1407</v>
      </c>
    </row>
    <row r="164" spans="1:8" ht="13.2" customHeight="1" x14ac:dyDescent="0.25">
      <c r="A164" s="23" t="s">
        <v>1576</v>
      </c>
      <c r="B164" s="23" t="s">
        <v>1368</v>
      </c>
      <c r="C164" s="51" t="s">
        <v>89</v>
      </c>
      <c r="D164" s="159">
        <v>0.78</v>
      </c>
      <c r="E164" s="159">
        <v>7.0000000000000007E-2</v>
      </c>
      <c r="F164" s="157">
        <f>(grains_table[[#This Row],[Extract %]]*46.214)/1000+1</f>
        <v>1.03604692</v>
      </c>
      <c r="G164" s="49">
        <v>2.0499999999999998</v>
      </c>
      <c r="H164" s="133" t="s">
        <v>1403</v>
      </c>
    </row>
    <row r="165" spans="1:8" ht="13.2" customHeight="1" x14ac:dyDescent="0.25">
      <c r="A165" s="23" t="s">
        <v>1554</v>
      </c>
      <c r="B165" s="23" t="s">
        <v>1367</v>
      </c>
      <c r="C165" s="51" t="s">
        <v>89</v>
      </c>
      <c r="D165" s="159">
        <v>0.81</v>
      </c>
      <c r="E165" s="159">
        <v>0.06</v>
      </c>
      <c r="F165" s="157">
        <f>(grains_table[[#This Row],[Extract %]]*46.214)/1000+1</f>
        <v>1.03743334</v>
      </c>
      <c r="G165" s="49">
        <v>3.15</v>
      </c>
      <c r="H165" s="133" t="s">
        <v>1408</v>
      </c>
    </row>
    <row r="166" spans="1:8" ht="13.2" customHeight="1" x14ac:dyDescent="0.25">
      <c r="A166" s="23" t="s">
        <v>1578</v>
      </c>
      <c r="B166" s="23" t="s">
        <v>1369</v>
      </c>
      <c r="C166" s="51" t="s">
        <v>89</v>
      </c>
      <c r="D166" s="159">
        <v>0.8</v>
      </c>
      <c r="E166" s="159">
        <v>4.4999999999999998E-2</v>
      </c>
      <c r="F166" s="157">
        <f>(grains_table[[#This Row],[Extract %]]*46.214)/1000+1</f>
        <v>1.0369712</v>
      </c>
      <c r="G166" s="131">
        <v>3.7</v>
      </c>
      <c r="H166" s="133" t="s">
        <v>1617</v>
      </c>
    </row>
    <row r="167" spans="1:8" ht="13.2" customHeight="1" x14ac:dyDescent="0.25">
      <c r="A167" s="23" t="s">
        <v>1531</v>
      </c>
      <c r="B167" s="23" t="s">
        <v>1369</v>
      </c>
      <c r="C167" s="51" t="s">
        <v>89</v>
      </c>
      <c r="D167" s="159">
        <v>0.80500000000000005</v>
      </c>
      <c r="E167" s="159">
        <v>0.06</v>
      </c>
      <c r="F167" s="157">
        <f>(grains_table[[#This Row],[Extract %]]*46.214)/1000+1</f>
        <v>1.0372022700000001</v>
      </c>
      <c r="G167" s="131">
        <v>6</v>
      </c>
      <c r="H167" s="133" t="s">
        <v>1617</v>
      </c>
    </row>
    <row r="168" spans="1:8" ht="13.2" customHeight="1" x14ac:dyDescent="0.25">
      <c r="A168" s="23" t="s">
        <v>1532</v>
      </c>
      <c r="B168" s="23" t="s">
        <v>1367</v>
      </c>
      <c r="C168" s="51" t="s">
        <v>89</v>
      </c>
      <c r="D168" s="159">
        <v>0.77</v>
      </c>
      <c r="E168" s="159">
        <v>0.05</v>
      </c>
      <c r="F168" s="157">
        <f>(grains_table[[#This Row],[Extract %]]*46.214)/1000+1</f>
        <v>1.03558478</v>
      </c>
      <c r="G168" s="135">
        <v>2.85</v>
      </c>
      <c r="H168" s="133" t="s">
        <v>1408</v>
      </c>
    </row>
    <row r="169" spans="1:8" ht="13.2" customHeight="1" x14ac:dyDescent="0.25">
      <c r="A169" s="23" t="s">
        <v>1533</v>
      </c>
      <c r="B169" s="23" t="s">
        <v>1412</v>
      </c>
      <c r="C169" s="51" t="s">
        <v>89</v>
      </c>
      <c r="D169" s="159">
        <v>0.78</v>
      </c>
      <c r="E169" s="159">
        <v>5.5E-2</v>
      </c>
      <c r="F169" s="157">
        <f>(grains_table[[#This Row],[Extract %]]*46.214)/1000+1</f>
        <v>1.03604692</v>
      </c>
      <c r="G169" s="135">
        <v>5.85</v>
      </c>
      <c r="H169" s="134" t="s">
        <v>1449</v>
      </c>
    </row>
    <row r="170" spans="1:8" ht="13.2" customHeight="1" x14ac:dyDescent="0.25">
      <c r="A170" s="23" t="s">
        <v>1534</v>
      </c>
      <c r="B170" s="23" t="s">
        <v>1412</v>
      </c>
      <c r="C170" s="51" t="s">
        <v>89</v>
      </c>
      <c r="D170" s="159">
        <v>0.77</v>
      </c>
      <c r="E170" s="159">
        <v>5.5E-2</v>
      </c>
      <c r="F170" s="157">
        <f>(grains_table[[#This Row],[Extract %]]*46.214)/1000+1</f>
        <v>1.03558478</v>
      </c>
      <c r="G170" s="135">
        <v>5.85</v>
      </c>
      <c r="H170" s="134" t="s">
        <v>1448</v>
      </c>
    </row>
    <row r="171" spans="1:8" ht="13.2" customHeight="1" x14ac:dyDescent="0.25">
      <c r="A171" s="23" t="s">
        <v>1535</v>
      </c>
      <c r="B171" s="23" t="s">
        <v>1369</v>
      </c>
      <c r="C171" s="51" t="s">
        <v>89</v>
      </c>
      <c r="D171" s="159">
        <v>0.80500000000000005</v>
      </c>
      <c r="E171" s="159">
        <v>0.06</v>
      </c>
      <c r="F171" s="157">
        <f>(grains_table[[#This Row],[Extract %]]*46.214)/1000+1</f>
        <v>1.0372022700000001</v>
      </c>
      <c r="G171" s="135">
        <v>5</v>
      </c>
      <c r="H171" s="133" t="s">
        <v>1617</v>
      </c>
    </row>
    <row r="172" spans="1:8" ht="13.2" customHeight="1" x14ac:dyDescent="0.25">
      <c r="A172" s="23" t="s">
        <v>1536</v>
      </c>
      <c r="B172" s="23" t="s">
        <v>1369</v>
      </c>
      <c r="C172" s="51" t="s">
        <v>89</v>
      </c>
      <c r="D172" s="159">
        <v>0.80500000000000005</v>
      </c>
      <c r="E172" s="159">
        <v>0.06</v>
      </c>
      <c r="F172" s="157">
        <f>(grains_table[[#This Row],[Extract %]]*46.214)/1000+1</f>
        <v>1.0372022700000001</v>
      </c>
      <c r="G172" s="135">
        <v>5</v>
      </c>
      <c r="H172" s="133" t="s">
        <v>1617</v>
      </c>
    </row>
    <row r="173" spans="1:8" ht="13.2" customHeight="1" x14ac:dyDescent="0.25">
      <c r="A173" s="23" t="s">
        <v>1537</v>
      </c>
      <c r="B173" s="23" t="s">
        <v>1367</v>
      </c>
      <c r="C173" s="51" t="s">
        <v>89</v>
      </c>
      <c r="D173" s="159">
        <v>0.82</v>
      </c>
      <c r="E173" s="159">
        <v>5.5E-2</v>
      </c>
      <c r="F173" s="157">
        <f>(grains_table[[#This Row],[Extract %]]*46.214)/1000+1</f>
        <v>1.03789548</v>
      </c>
      <c r="G173" s="135">
        <v>2.4500000000000002</v>
      </c>
      <c r="H173" s="133" t="s">
        <v>1408</v>
      </c>
    </row>
    <row r="174" spans="1:8" ht="13.2" customHeight="1" x14ac:dyDescent="0.25">
      <c r="A174" s="23" t="s">
        <v>1373</v>
      </c>
      <c r="B174" s="23" t="s">
        <v>1367</v>
      </c>
      <c r="C174" s="51" t="s">
        <v>89</v>
      </c>
      <c r="D174" s="159">
        <v>0.8</v>
      </c>
      <c r="E174" s="159">
        <v>0.06</v>
      </c>
      <c r="F174" s="157">
        <f>(grains_table[[#This Row],[Extract %]]*46.214)/1000+1</f>
        <v>1.0369712</v>
      </c>
      <c r="G174" s="132">
        <v>2.4500000000000002</v>
      </c>
      <c r="H174" s="133" t="s">
        <v>1408</v>
      </c>
    </row>
    <row r="175" spans="1:8" ht="13.2" customHeight="1" x14ac:dyDescent="0.25">
      <c r="A175" s="23" t="s">
        <v>1572</v>
      </c>
      <c r="B175" s="23" t="s">
        <v>1412</v>
      </c>
      <c r="C175" s="51" t="s">
        <v>89</v>
      </c>
      <c r="D175" s="159">
        <v>0.82</v>
      </c>
      <c r="E175" s="159">
        <v>5.5E-2</v>
      </c>
      <c r="F175" s="157">
        <f>(grains_table[[#This Row],[Extract %]]*46.214)/1000+1</f>
        <v>1.03789548</v>
      </c>
      <c r="G175" s="132">
        <v>2.25</v>
      </c>
      <c r="H175" s="134" t="s">
        <v>1433</v>
      </c>
    </row>
    <row r="176" spans="1:8" ht="13.2" customHeight="1" x14ac:dyDescent="0.25">
      <c r="A176" s="23" t="s">
        <v>1623</v>
      </c>
      <c r="B176" s="23"/>
      <c r="C176" s="51" t="s">
        <v>776</v>
      </c>
      <c r="D176" s="159"/>
      <c r="E176" s="159"/>
      <c r="F176" s="157">
        <v>1.046</v>
      </c>
      <c r="G176" s="99">
        <v>50</v>
      </c>
      <c r="H176" s="133" t="s">
        <v>1621</v>
      </c>
    </row>
    <row r="177" spans="1:8" ht="13.2" customHeight="1" x14ac:dyDescent="0.25">
      <c r="A177" s="23" t="s">
        <v>1622</v>
      </c>
      <c r="B177" s="23"/>
      <c r="C177" s="51" t="s">
        <v>776</v>
      </c>
      <c r="D177" s="159"/>
      <c r="E177" s="159"/>
      <c r="F177" s="157">
        <v>1.046</v>
      </c>
      <c r="G177" s="131">
        <v>8</v>
      </c>
      <c r="H177" s="133" t="s">
        <v>1621</v>
      </c>
    </row>
    <row r="178" spans="1:8" ht="13.2" customHeight="1" x14ac:dyDescent="0.25">
      <c r="A178" s="23" t="s">
        <v>1619</v>
      </c>
      <c r="B178" s="23"/>
      <c r="C178" s="51" t="s">
        <v>776</v>
      </c>
      <c r="D178" s="159"/>
      <c r="E178" s="159"/>
      <c r="F178" s="157">
        <v>1.036</v>
      </c>
      <c r="G178" s="132">
        <v>75</v>
      </c>
      <c r="H178" s="133" t="s">
        <v>1621</v>
      </c>
    </row>
    <row r="179" spans="1:8" ht="13.2" customHeight="1" x14ac:dyDescent="0.25">
      <c r="A179" s="23" t="s">
        <v>1618</v>
      </c>
      <c r="B179" s="23"/>
      <c r="C179" s="51" t="s">
        <v>776</v>
      </c>
      <c r="D179" s="159"/>
      <c r="E179" s="159"/>
      <c r="F179" s="157">
        <v>1.036</v>
      </c>
      <c r="G179" s="137">
        <v>1</v>
      </c>
      <c r="H179" s="133" t="s">
        <v>1621</v>
      </c>
    </row>
    <row r="180" spans="1:8" ht="13.2" customHeight="1" x14ac:dyDescent="0.25">
      <c r="A180" s="23" t="s">
        <v>1620</v>
      </c>
      <c r="B180" s="23"/>
      <c r="C180" s="51" t="s">
        <v>776</v>
      </c>
      <c r="D180" s="159"/>
      <c r="E180" s="159"/>
      <c r="F180" s="157">
        <v>1.036</v>
      </c>
      <c r="G180" s="49">
        <v>275</v>
      </c>
      <c r="H180" s="133" t="s">
        <v>1621</v>
      </c>
    </row>
    <row r="181" spans="1:8" ht="13.2" customHeight="1" x14ac:dyDescent="0.25">
      <c r="A181" s="23" t="s">
        <v>1624</v>
      </c>
      <c r="B181" s="23"/>
      <c r="C181" s="51" t="s">
        <v>776</v>
      </c>
      <c r="D181" s="159"/>
      <c r="E181" s="159"/>
      <c r="F181" s="157">
        <v>1.046</v>
      </c>
      <c r="G181" s="49">
        <v>0</v>
      </c>
      <c r="H181" s="133" t="s">
        <v>1621</v>
      </c>
    </row>
    <row r="182" spans="1:8" ht="13.2" customHeight="1" x14ac:dyDescent="0.25">
      <c r="A182" s="23" t="s">
        <v>1569</v>
      </c>
      <c r="B182" s="23"/>
      <c r="C182" s="51" t="s">
        <v>776</v>
      </c>
      <c r="D182" s="159"/>
      <c r="E182" s="159"/>
      <c r="F182" s="157">
        <v>1.046</v>
      </c>
      <c r="G182" s="131">
        <v>2</v>
      </c>
      <c r="H182" s="133" t="s">
        <v>1621</v>
      </c>
    </row>
    <row r="183" spans="1:8" ht="13.2" customHeight="1" x14ac:dyDescent="0.25">
      <c r="A183" s="23" t="s">
        <v>1563</v>
      </c>
      <c r="B183" s="23"/>
      <c r="C183" s="51" t="s">
        <v>776</v>
      </c>
      <c r="D183" s="159"/>
      <c r="E183" s="159"/>
      <c r="F183" s="157">
        <v>1.0349999999999999</v>
      </c>
      <c r="G183" s="131">
        <v>1</v>
      </c>
      <c r="H183" s="133" t="s">
        <v>1621</v>
      </c>
    </row>
    <row r="184" spans="1:8" ht="13.2" customHeight="1" x14ac:dyDescent="0.25">
      <c r="A184" s="23" t="s">
        <v>1564</v>
      </c>
      <c r="B184" s="23"/>
      <c r="C184" s="51" t="s">
        <v>776</v>
      </c>
      <c r="D184" s="159"/>
      <c r="E184" s="159"/>
      <c r="F184" s="157">
        <v>1.046</v>
      </c>
      <c r="G184" s="49">
        <v>0</v>
      </c>
      <c r="H184" s="133" t="s">
        <v>1621</v>
      </c>
    </row>
    <row r="185" spans="1:8" ht="13.2" customHeight="1" x14ac:dyDescent="0.25">
      <c r="A185" s="23" t="s">
        <v>1565</v>
      </c>
      <c r="B185" s="23"/>
      <c r="C185" s="51" t="s">
        <v>776</v>
      </c>
      <c r="D185" s="159"/>
      <c r="E185" s="159"/>
      <c r="F185" s="157">
        <v>1.0349999999999999</v>
      </c>
      <c r="G185" s="49">
        <v>0</v>
      </c>
      <c r="H185" s="133" t="s">
        <v>1621</v>
      </c>
    </row>
    <row r="186" spans="1:8" ht="13.2" customHeight="1" x14ac:dyDescent="0.25">
      <c r="A186" s="23" t="s">
        <v>1566</v>
      </c>
      <c r="B186" s="23"/>
      <c r="C186" s="51" t="s">
        <v>776</v>
      </c>
      <c r="D186" s="159"/>
      <c r="E186" s="159"/>
      <c r="F186" s="157">
        <v>1.03</v>
      </c>
      <c r="G186" s="49">
        <v>35</v>
      </c>
      <c r="H186" s="133" t="s">
        <v>1621</v>
      </c>
    </row>
    <row r="187" spans="1:8" ht="13.2" customHeight="1" x14ac:dyDescent="0.25">
      <c r="A187" s="23" t="s">
        <v>1567</v>
      </c>
      <c r="B187" s="23"/>
      <c r="C187" s="51" t="s">
        <v>776</v>
      </c>
      <c r="D187" s="159"/>
      <c r="E187" s="159"/>
      <c r="F187" s="157">
        <v>1.036</v>
      </c>
      <c r="G187" s="131">
        <v>80</v>
      </c>
      <c r="H187" s="133" t="s">
        <v>1621</v>
      </c>
    </row>
    <row r="188" spans="1:8" ht="13.2" customHeight="1" x14ac:dyDescent="0.25">
      <c r="A188" s="23" t="s">
        <v>1568</v>
      </c>
      <c r="B188" s="23"/>
      <c r="C188" s="51" t="s">
        <v>776</v>
      </c>
      <c r="D188" s="159"/>
      <c r="E188" s="159"/>
      <c r="F188" s="157">
        <v>1.046</v>
      </c>
      <c r="G188" s="49">
        <v>1</v>
      </c>
      <c r="H188" s="133" t="s">
        <v>1621</v>
      </c>
    </row>
    <row r="189" spans="1:8" ht="13.2" customHeight="1" x14ac:dyDescent="0.25">
      <c r="A189" s="23" t="s">
        <v>1356</v>
      </c>
      <c r="B189" s="23" t="s">
        <v>1369</v>
      </c>
      <c r="C189" s="51" t="s">
        <v>89</v>
      </c>
      <c r="D189" s="159">
        <v>0.76</v>
      </c>
      <c r="E189" s="159">
        <v>8.5000000000000006E-2</v>
      </c>
      <c r="F189" s="157">
        <f>(grains_table[[#This Row],[Extract %]]*46.214)/1000+1</f>
        <v>1.03512264</v>
      </c>
      <c r="G189" s="49">
        <v>1.5</v>
      </c>
      <c r="H189" s="133" t="s">
        <v>1625</v>
      </c>
    </row>
    <row r="190" spans="1:8" ht="13.2" customHeight="1" x14ac:dyDescent="0.25">
      <c r="A190" s="23" t="s">
        <v>1527</v>
      </c>
      <c r="B190" s="23" t="s">
        <v>1412</v>
      </c>
      <c r="C190" s="51" t="s">
        <v>89</v>
      </c>
      <c r="D190" s="159">
        <v>0.80500000000000005</v>
      </c>
      <c r="E190" s="159">
        <v>4.9000000000000002E-2</v>
      </c>
      <c r="F190" s="157">
        <f>(grains_table[[#This Row],[Extract %]]*46.214)/1000+1</f>
        <v>1.0372022700000001</v>
      </c>
      <c r="G190" s="135">
        <v>3.85</v>
      </c>
      <c r="H190" s="133" t="s">
        <v>1426</v>
      </c>
    </row>
    <row r="191" spans="1:8" ht="13.2" customHeight="1" x14ac:dyDescent="0.25">
      <c r="A191" s="23" t="s">
        <v>1528</v>
      </c>
      <c r="B191" s="23" t="s">
        <v>1369</v>
      </c>
      <c r="C191" s="51" t="s">
        <v>89</v>
      </c>
      <c r="D191" s="159">
        <v>0.8</v>
      </c>
      <c r="E191" s="159">
        <v>3.5000000000000003E-2</v>
      </c>
      <c r="F191" s="157">
        <f>(grains_table[[#This Row],[Extract %]]*46.214)/1000+1</f>
        <v>1.0369712</v>
      </c>
      <c r="G191" s="132">
        <v>3.5</v>
      </c>
      <c r="H191" s="133" t="s">
        <v>1420</v>
      </c>
    </row>
    <row r="192" spans="1:8" ht="13.2" customHeight="1" x14ac:dyDescent="0.25">
      <c r="A192" s="23" t="s">
        <v>1529</v>
      </c>
      <c r="B192" s="23" t="s">
        <v>1368</v>
      </c>
      <c r="C192" s="51" t="s">
        <v>89</v>
      </c>
      <c r="D192" s="159">
        <v>0.75</v>
      </c>
      <c r="E192" s="159">
        <v>3.5000000000000003E-2</v>
      </c>
      <c r="F192" s="157">
        <f>(grains_table[[#This Row],[Extract %]]*46.214)/1000+1</f>
        <v>1.0346605</v>
      </c>
      <c r="G192" s="51">
        <v>3.35</v>
      </c>
      <c r="H192" s="133" t="s">
        <v>1380</v>
      </c>
    </row>
    <row r="193" spans="1:8" ht="13.2" customHeight="1" x14ac:dyDescent="0.25">
      <c r="A193" s="23" t="s">
        <v>1530</v>
      </c>
      <c r="B193" s="23" t="s">
        <v>1367</v>
      </c>
      <c r="C193" s="51" t="s">
        <v>89</v>
      </c>
      <c r="D193" s="159">
        <v>0.79</v>
      </c>
      <c r="E193" s="159">
        <v>5.5E-2</v>
      </c>
      <c r="F193" s="157">
        <f>(grains_table[[#This Row],[Extract %]]*46.214)/1000+1</f>
        <v>1.03650906</v>
      </c>
      <c r="G193" s="140">
        <v>3.35</v>
      </c>
      <c r="H193" s="133" t="s">
        <v>1408</v>
      </c>
    </row>
    <row r="194" spans="1:8" ht="13.2" customHeight="1" x14ac:dyDescent="0.25">
      <c r="A194" s="23" t="s">
        <v>1538</v>
      </c>
      <c r="B194" s="23" t="s">
        <v>1412</v>
      </c>
      <c r="C194" s="51" t="s">
        <v>89</v>
      </c>
      <c r="D194" s="159">
        <v>0.82</v>
      </c>
      <c r="E194" s="159">
        <v>5.5E-2</v>
      </c>
      <c r="F194" s="157">
        <f>(grains_table[[#This Row],[Extract %]]*46.214)/1000+1</f>
        <v>1.03789548</v>
      </c>
      <c r="G194" s="135">
        <v>1.6</v>
      </c>
      <c r="H194" s="134" t="s">
        <v>1434</v>
      </c>
    </row>
    <row r="195" spans="1:8" ht="13.2" customHeight="1" x14ac:dyDescent="0.25">
      <c r="A195" s="23" t="s">
        <v>1539</v>
      </c>
      <c r="B195" s="23" t="s">
        <v>1412</v>
      </c>
      <c r="C195" s="51" t="s">
        <v>89</v>
      </c>
      <c r="D195" s="159">
        <v>0.82</v>
      </c>
      <c r="E195" s="159">
        <v>5.5E-2</v>
      </c>
      <c r="F195" s="157">
        <f>(grains_table[[#This Row],[Extract %]]*46.214)/1000+1</f>
        <v>1.03789548</v>
      </c>
      <c r="G195" s="135">
        <v>2.25</v>
      </c>
      <c r="H195" s="134" t="s">
        <v>1431</v>
      </c>
    </row>
    <row r="196" spans="1:8" ht="13.2" customHeight="1" x14ac:dyDescent="0.25">
      <c r="A196" s="23" t="s">
        <v>1540</v>
      </c>
      <c r="B196" s="23" t="s">
        <v>1412</v>
      </c>
      <c r="C196" s="51" t="s">
        <v>89</v>
      </c>
      <c r="D196" s="159">
        <v>0.82</v>
      </c>
      <c r="E196" s="159">
        <v>5.5E-2</v>
      </c>
      <c r="F196" s="157">
        <f>(grains_table[[#This Row],[Extract %]]*46.214)/1000+1</f>
        <v>1.03789548</v>
      </c>
      <c r="G196" s="135">
        <v>7.25</v>
      </c>
      <c r="H196" s="134" t="s">
        <v>1432</v>
      </c>
    </row>
    <row r="197" spans="1:8" ht="13.2" customHeight="1" x14ac:dyDescent="0.25">
      <c r="A197" s="23" t="s">
        <v>1541</v>
      </c>
      <c r="B197" s="23" t="s">
        <v>1367</v>
      </c>
      <c r="C197" s="51" t="s">
        <v>89</v>
      </c>
      <c r="D197" s="159">
        <v>0.81</v>
      </c>
      <c r="E197" s="159">
        <v>7.0000000000000007E-2</v>
      </c>
      <c r="F197" s="157">
        <f>(grains_table[[#This Row],[Extract %]]*46.214)/1000+1</f>
        <v>1.03743334</v>
      </c>
      <c r="G197" s="135">
        <v>2.0499999999999998</v>
      </c>
      <c r="H197" s="133" t="s">
        <v>1408</v>
      </c>
    </row>
    <row r="198" spans="1:8" ht="13.2" customHeight="1" x14ac:dyDescent="0.25">
      <c r="A198" s="23" t="s">
        <v>1542</v>
      </c>
      <c r="B198" s="23" t="s">
        <v>1367</v>
      </c>
      <c r="C198" s="51" t="s">
        <v>89</v>
      </c>
      <c r="D198" s="159">
        <v>0.82</v>
      </c>
      <c r="E198" s="159">
        <v>5.5E-2</v>
      </c>
      <c r="F198" s="157">
        <f>(grains_table[[#This Row],[Extract %]]*46.214)/1000+1</f>
        <v>1.03789548</v>
      </c>
      <c r="G198" s="135">
        <v>2.0499999999999998</v>
      </c>
      <c r="H198" s="133" t="s">
        <v>1408</v>
      </c>
    </row>
    <row r="199" spans="1:8" ht="13.2" customHeight="1" x14ac:dyDescent="0.25">
      <c r="A199" s="23" t="s">
        <v>1543</v>
      </c>
      <c r="B199" s="23" t="s">
        <v>1368</v>
      </c>
      <c r="C199" s="51" t="s">
        <v>89</v>
      </c>
      <c r="D199" s="159">
        <v>0.82899999999999996</v>
      </c>
      <c r="E199" s="159">
        <v>0.04</v>
      </c>
      <c r="F199" s="157">
        <f>(grains_table[[#This Row],[Extract %]]*46.214)/1000+1</f>
        <v>1.038311406</v>
      </c>
      <c r="G199" s="135">
        <v>2.0499999999999998</v>
      </c>
      <c r="H199" s="134" t="s">
        <v>1400</v>
      </c>
    </row>
    <row r="200" spans="1:8" ht="13.2" customHeight="1" x14ac:dyDescent="0.25">
      <c r="A200" s="23" t="s">
        <v>1544</v>
      </c>
      <c r="B200" s="23" t="s">
        <v>1370</v>
      </c>
      <c r="C200" s="51" t="s">
        <v>89</v>
      </c>
      <c r="D200" s="159">
        <v>0.83</v>
      </c>
      <c r="E200" s="159">
        <v>6.5000000000000002E-2</v>
      </c>
      <c r="F200" s="157">
        <f>(grains_table[[#This Row],[Extract %]]*46.214)/1000+1</f>
        <v>1.03835762</v>
      </c>
      <c r="G200" s="135">
        <v>1.6</v>
      </c>
      <c r="H200" s="133" t="s">
        <v>1405</v>
      </c>
    </row>
    <row r="201" spans="1:8" ht="13.2" customHeight="1" x14ac:dyDescent="0.25">
      <c r="A201" s="23" t="s">
        <v>1545</v>
      </c>
      <c r="B201" s="23" t="s">
        <v>1367</v>
      </c>
      <c r="C201" s="51" t="s">
        <v>89</v>
      </c>
      <c r="D201" s="159"/>
      <c r="E201" s="159"/>
      <c r="F201" s="157">
        <f>(grains_table[[#This Row],[Extract %]]*46.214)/1000+1</f>
        <v>1</v>
      </c>
      <c r="G201" s="135">
        <v>7.15</v>
      </c>
      <c r="H201" s="133" t="s">
        <v>1408</v>
      </c>
    </row>
    <row r="202" spans="1:8" ht="13.2" customHeight="1" x14ac:dyDescent="0.25">
      <c r="A202" s="23" t="s">
        <v>1546</v>
      </c>
      <c r="B202" s="23" t="s">
        <v>1369</v>
      </c>
      <c r="C202" s="51" t="s">
        <v>89</v>
      </c>
      <c r="D202" s="159">
        <v>0.81</v>
      </c>
      <c r="E202" s="159">
        <v>0.04</v>
      </c>
      <c r="F202" s="157">
        <f>(grains_table[[#This Row],[Extract %]]*46.214)/1000+1</f>
        <v>1.03743334</v>
      </c>
      <c r="G202" s="131">
        <v>2.2999999999999998</v>
      </c>
      <c r="H202" s="134" t="s">
        <v>1421</v>
      </c>
    </row>
    <row r="203" spans="1:8" ht="13.2" customHeight="1" x14ac:dyDescent="0.25">
      <c r="A203" s="23" t="s">
        <v>1547</v>
      </c>
      <c r="B203" s="23" t="s">
        <v>1369</v>
      </c>
      <c r="C203" s="51" t="s">
        <v>89</v>
      </c>
      <c r="D203" s="159">
        <v>0.85</v>
      </c>
      <c r="E203" s="159">
        <v>0.04</v>
      </c>
      <c r="F203" s="157">
        <f>(grains_table[[#This Row],[Extract %]]*46.214)/1000+1</f>
        <v>1.0392819</v>
      </c>
      <c r="G203" s="131">
        <v>2.5</v>
      </c>
      <c r="H203" s="134" t="s">
        <v>1421</v>
      </c>
    </row>
    <row r="204" spans="1:8" ht="13.2" customHeight="1" x14ac:dyDescent="0.25">
      <c r="A204" s="103"/>
      <c r="B204" s="138"/>
      <c r="C204" s="51"/>
      <c r="D204" s="159"/>
      <c r="E204" s="159"/>
      <c r="F204" s="48"/>
      <c r="G204" s="48"/>
      <c r="H204" s="103"/>
    </row>
    <row r="208" spans="1:8" x14ac:dyDescent="0.25">
      <c r="B208" s="23"/>
      <c r="C208" s="23"/>
      <c r="D208" s="23"/>
      <c r="E208" s="23"/>
    </row>
    <row r="209" spans="2:5" x14ac:dyDescent="0.25">
      <c r="B209" s="23"/>
      <c r="C209" s="23"/>
      <c r="D209" s="23"/>
      <c r="E209" s="23"/>
    </row>
    <row r="210" spans="2:5" x14ac:dyDescent="0.25">
      <c r="B210" s="23"/>
      <c r="C210" s="23"/>
      <c r="D210" s="23"/>
      <c r="E210" s="23"/>
    </row>
  </sheetData>
  <sheetProtection sheet="1" formatCells="0" formatColumns="0" formatRows="0" insertRows="0" sort="0" autoFilter="0"/>
  <sortState ref="A1:AC112">
    <sortCondition ref="A1:A112"/>
  </sortState>
  <dataValidations count="2">
    <dataValidation type="list" showInputMessage="1" showErrorMessage="1" sqref="C2:C204" xr:uid="{00000000-0002-0000-0600-000000000000}">
      <formula1>"Grain,Sugar"</formula1>
    </dataValidation>
    <dataValidation showInputMessage="1" showErrorMessage="1" sqref="D2:E204" xr:uid="{00000000-0002-0000-0600-000001000000}"/>
  </dataValidations>
  <hyperlinks>
    <hyperlink ref="H111" r:id="rId1" xr:uid="{00000000-0004-0000-0600-000000000000}"/>
    <hyperlink ref="H112" r:id="rId2" xr:uid="{00000000-0004-0000-0600-000001000000}"/>
    <hyperlink ref="H124" r:id="rId3" xr:uid="{00000000-0004-0000-0600-000002000000}"/>
    <hyperlink ref="H113" r:id="rId4" xr:uid="{00000000-0004-0000-0600-000003000000}"/>
    <hyperlink ref="H110" r:id="rId5" xr:uid="{00000000-0004-0000-0600-000004000000}"/>
    <hyperlink ref="H129" r:id="rId6" xr:uid="{00000000-0004-0000-0600-000005000000}"/>
    <hyperlink ref="H192" r:id="rId7" xr:uid="{00000000-0004-0000-0600-000006000000}"/>
    <hyperlink ref="H100" r:id="rId8" xr:uid="{00000000-0004-0000-0600-000007000000}"/>
    <hyperlink ref="H114" r:id="rId9" xr:uid="{00000000-0004-0000-0600-000008000000}"/>
    <hyperlink ref="H6" r:id="rId10" xr:uid="{00000000-0004-0000-0600-000009000000}"/>
    <hyperlink ref="H109" r:id="rId11" xr:uid="{00000000-0004-0000-0600-00000A000000}"/>
    <hyperlink ref="H35" r:id="rId12" xr:uid="{00000000-0004-0000-0600-00000B000000}"/>
    <hyperlink ref="H61" r:id="rId13" xr:uid="{00000000-0004-0000-0600-00000C000000}"/>
    <hyperlink ref="H57" r:id="rId14" xr:uid="{00000000-0004-0000-0600-00000D000000}"/>
    <hyperlink ref="H59" r:id="rId15" xr:uid="{00000000-0004-0000-0600-00000E000000}"/>
    <hyperlink ref="H58" r:id="rId16" xr:uid="{00000000-0004-0000-0600-00000F000000}"/>
    <hyperlink ref="H56" r:id="rId17" xr:uid="{00000000-0004-0000-0600-000010000000}"/>
    <hyperlink ref="H63" r:id="rId18" xr:uid="{00000000-0004-0000-0600-000011000000}"/>
    <hyperlink ref="H60" r:id="rId19" xr:uid="{00000000-0004-0000-0600-000012000000}"/>
    <hyperlink ref="H144" r:id="rId20" xr:uid="{00000000-0004-0000-0600-000013000000}"/>
    <hyperlink ref="H152" r:id="rId21" xr:uid="{00000000-0004-0000-0600-000014000000}"/>
    <hyperlink ref="H155" r:id="rId22" xr:uid="{00000000-0004-0000-0600-000015000000}"/>
    <hyperlink ref="H149" r:id="rId23" xr:uid="{00000000-0004-0000-0600-000016000000}"/>
    <hyperlink ref="H139" r:id="rId24" xr:uid="{00000000-0004-0000-0600-000017000000}"/>
    <hyperlink ref="H103" r:id="rId25" xr:uid="{00000000-0004-0000-0600-000018000000}"/>
    <hyperlink ref="H199" r:id="rId26" xr:uid="{00000000-0004-0000-0600-000019000000}"/>
    <hyperlink ref="H102" r:id="rId27" xr:uid="{00000000-0004-0000-0600-00001A000000}"/>
    <hyperlink ref="H62" r:id="rId28" xr:uid="{00000000-0004-0000-0600-00001B000000}"/>
    <hyperlink ref="H164" r:id="rId29" xr:uid="{00000000-0004-0000-0600-00001C000000}"/>
    <hyperlink ref="H69" r:id="rId30" xr:uid="{00000000-0004-0000-0600-00001D000000}"/>
    <hyperlink ref="H134" r:id="rId31" xr:uid="{00000000-0004-0000-0600-00001E000000}"/>
    <hyperlink ref="H200" r:id="rId32" xr:uid="{00000000-0004-0000-0600-00001F000000}"/>
    <hyperlink ref="H118" r:id="rId33" xr:uid="{00000000-0004-0000-0600-000020000000}"/>
    <hyperlink ref="H101" r:id="rId34" xr:uid="{00000000-0004-0000-0600-000021000000}"/>
    <hyperlink ref="H7" r:id="rId35" xr:uid="{00000000-0004-0000-0600-000022000000}"/>
    <hyperlink ref="H8" r:id="rId36" xr:uid="{00000000-0004-0000-0600-000023000000}"/>
    <hyperlink ref="H22" r:id="rId37" xr:uid="{00000000-0004-0000-0600-000024000000}"/>
    <hyperlink ref="H23" r:id="rId38" xr:uid="{00000000-0004-0000-0600-000025000000}"/>
    <hyperlink ref="H21" r:id="rId39" xr:uid="{00000000-0004-0000-0600-000026000000}"/>
    <hyperlink ref="H64" r:id="rId40" xr:uid="{00000000-0004-0000-0600-000027000000}"/>
    <hyperlink ref="H10" r:id="rId41" xr:uid="{00000000-0004-0000-0600-000028000000}"/>
    <hyperlink ref="H66" r:id="rId42" xr:uid="{00000000-0004-0000-0600-000029000000}"/>
    <hyperlink ref="H13" r:id="rId43" xr:uid="{00000000-0004-0000-0600-00002A000000}"/>
    <hyperlink ref="H143" r:id="rId44" xr:uid="{00000000-0004-0000-0600-00002B000000}"/>
    <hyperlink ref="H163" r:id="rId45" xr:uid="{00000000-0004-0000-0600-00002C000000}"/>
    <hyperlink ref="H5" r:id="rId46" xr:uid="{00000000-0004-0000-0600-00002D000000}"/>
    <hyperlink ref="H106" r:id="rId47" xr:uid="{00000000-0004-0000-0600-00002E000000}"/>
    <hyperlink ref="H3" r:id="rId48" xr:uid="{00000000-0004-0000-0600-00002F000000}"/>
    <hyperlink ref="H168" r:id="rId49" xr:uid="{00000000-0004-0000-0600-000030000000}"/>
    <hyperlink ref="H22:H24" r:id="rId50" display="https://www.weyermann.de/usa/gelbe_seiten_usa.asp?go=brewery&amp;umenue=yes&amp;idmenue=269&amp;sprache=10" xr:uid="{00000000-0004-0000-0600-000031000000}"/>
    <hyperlink ref="H37:H38" r:id="rId51" display="https://www.weyermann.de/usa/gelbe_seiten_usa.asp?go=brewery&amp;umenue=yes&amp;idmenue=269&amp;sprache=10" xr:uid="{00000000-0004-0000-0600-000032000000}"/>
    <hyperlink ref="H44:H51" r:id="rId52" display="https://www.weyermann.de/usa/gelbe_seiten_usa.asp?go=brewery&amp;umenue=yes&amp;idmenue=269&amp;sprache=10" xr:uid="{00000000-0004-0000-0600-000033000000}"/>
    <hyperlink ref="H36" r:id="rId53" xr:uid="{00000000-0004-0000-0600-000034000000}"/>
    <hyperlink ref="H64:H66" r:id="rId54" display="https://www.weyermann.de/usa/gelbe_seiten_usa.asp?go=brewery&amp;umenue=yes&amp;idmenue=269&amp;sprache=10" xr:uid="{00000000-0004-0000-0600-000035000000}"/>
    <hyperlink ref="H51" r:id="rId55" xr:uid="{00000000-0004-0000-0600-000036000000}"/>
    <hyperlink ref="H86" r:id="rId56" xr:uid="{00000000-0004-0000-0600-000037000000}"/>
    <hyperlink ref="H128" r:id="rId57" xr:uid="{00000000-0004-0000-0600-000038000000}"/>
    <hyperlink ref="H95" r:id="rId58" xr:uid="{00000000-0004-0000-0600-000039000000}"/>
    <hyperlink ref="H173" r:id="rId59" xr:uid="{00000000-0004-0000-0600-00003A000000}"/>
    <hyperlink ref="H117" r:id="rId60" xr:uid="{00000000-0004-0000-0600-00003B000000}"/>
    <hyperlink ref="H136" r:id="rId61" location="Brewers" xr:uid="{00000000-0004-0000-0600-00003C000000}"/>
    <hyperlink ref="H135" r:id="rId62" xr:uid="{00000000-0004-0000-0600-00003D000000}"/>
    <hyperlink ref="H140" r:id="rId63" xr:uid="{00000000-0004-0000-0600-00003E000000}"/>
    <hyperlink ref="H162" r:id="rId64" xr:uid="{00000000-0004-0000-0600-00003F000000}"/>
    <hyperlink ref="H174" r:id="rId65" xr:uid="{00000000-0004-0000-0600-000040000000}"/>
    <hyperlink ref="H193" r:id="rId66" xr:uid="{00000000-0004-0000-0600-000041000000}"/>
    <hyperlink ref="H201" r:id="rId67" xr:uid="{00000000-0004-0000-0600-000042000000}"/>
    <hyperlink ref="H96" r:id="rId68" location="Aromatic" xr:uid="{00000000-0004-0000-0600-000043000000}"/>
    <hyperlink ref="H153" r:id="rId69" location="Carabrown" xr:uid="{00000000-0004-0000-0600-000044000000}"/>
    <hyperlink ref="H26" r:id="rId70" xr:uid="{00000000-0004-0000-0600-000045000000}"/>
    <hyperlink ref="H37" r:id="rId71" xr:uid="{00000000-0004-0000-0600-000046000000}"/>
    <hyperlink ref="H38" r:id="rId72" xr:uid="{00000000-0004-0000-0600-000047000000}"/>
    <hyperlink ref="H39" r:id="rId73" xr:uid="{00000000-0004-0000-0600-000048000000}"/>
    <hyperlink ref="H40" r:id="rId74" xr:uid="{00000000-0004-0000-0600-000049000000}"/>
    <hyperlink ref="H41" r:id="rId75" xr:uid="{00000000-0004-0000-0600-00004A000000}"/>
    <hyperlink ref="H42" r:id="rId76" xr:uid="{00000000-0004-0000-0600-00004B000000}"/>
    <hyperlink ref="H43" r:id="rId77" xr:uid="{00000000-0004-0000-0600-00004C000000}"/>
    <hyperlink ref="H44" r:id="rId78" xr:uid="{00000000-0004-0000-0600-00004D000000}"/>
    <hyperlink ref="H45" r:id="rId79" xr:uid="{00000000-0004-0000-0600-00004E000000}"/>
    <hyperlink ref="H46" r:id="rId80" xr:uid="{00000000-0004-0000-0600-00004F000000}"/>
    <hyperlink ref="H47" r:id="rId81" xr:uid="{00000000-0004-0000-0600-000050000000}"/>
    <hyperlink ref="H67" r:id="rId82" xr:uid="{00000000-0004-0000-0600-000051000000}"/>
    <hyperlink ref="H68" r:id="rId83" xr:uid="{00000000-0004-0000-0600-000052000000}"/>
    <hyperlink ref="H154" r:id="rId84" location="2RowChocolate" xr:uid="{00000000-0004-0000-0600-000053000000}"/>
    <hyperlink ref="H160" r:id="rId85" location="ExtraSpecial" xr:uid="{00000000-0004-0000-0600-000054000000}"/>
    <hyperlink ref="H99" r:id="rId86" location="Bonlander" xr:uid="{00000000-0004-0000-0600-000055000000}"/>
    <hyperlink ref="H132" r:id="rId87" location="Brewers" xr:uid="{00000000-0004-0000-0600-000056000000}"/>
    <hyperlink ref="H123" r:id="rId88" location="Brewers" xr:uid="{00000000-0004-0000-0600-000057000000}"/>
    <hyperlink ref="H115" r:id="rId89" xr:uid="{00000000-0004-0000-0600-000058000000}"/>
    <hyperlink ref="H191" r:id="rId90" location="Goldpils" xr:uid="{00000000-0004-0000-0600-000059000000}"/>
    <hyperlink ref="H119" r:id="rId91" xr:uid="{00000000-0004-0000-0600-00005A000000}"/>
    <hyperlink ref="H202" r:id="rId92" xr:uid="{00000000-0004-0000-0600-00005B000000}"/>
    <hyperlink ref="H203" r:id="rId93" xr:uid="{00000000-0004-0000-0600-00005C000000}"/>
    <hyperlink ref="H12" r:id="rId94" xr:uid="{00000000-0004-0000-0600-00005D000000}"/>
    <hyperlink ref="H125" r:id="rId95" xr:uid="{00000000-0004-0000-0600-00005E000000}"/>
    <hyperlink ref="H126" r:id="rId96" xr:uid="{00000000-0004-0000-0600-00005F000000}"/>
    <hyperlink ref="H107" r:id="rId97" xr:uid="{00000000-0004-0000-0600-000060000000}"/>
    <hyperlink ref="H190" r:id="rId98" xr:uid="{00000000-0004-0000-0600-000061000000}"/>
    <hyperlink ref="H98" r:id="rId99" xr:uid="{00000000-0004-0000-0600-000062000000}"/>
    <hyperlink ref="H93" r:id="rId100" xr:uid="{00000000-0004-0000-0600-000063000000}"/>
    <hyperlink ref="H94" r:id="rId101" xr:uid="{00000000-0004-0000-0600-000064000000}"/>
    <hyperlink ref="H97" r:id="rId102" xr:uid="{00000000-0004-0000-0600-000065000000}"/>
    <hyperlink ref="H108" r:id="rId103" xr:uid="{00000000-0004-0000-0600-000066000000}"/>
    <hyperlink ref="H55" r:id="rId104" xr:uid="{00000000-0004-0000-0600-000067000000}"/>
    <hyperlink ref="H195" r:id="rId105" xr:uid="{00000000-0004-0000-0600-000068000000}"/>
    <hyperlink ref="H196" r:id="rId106" xr:uid="{00000000-0004-0000-0600-000069000000}"/>
    <hyperlink ref="H175" r:id="rId107" xr:uid="{00000000-0004-0000-0600-00006A000000}"/>
    <hyperlink ref="H194" r:id="rId108" xr:uid="{00000000-0004-0000-0600-00006B000000}"/>
    <hyperlink ref="H104" r:id="rId109" xr:uid="{00000000-0004-0000-0600-00006C000000}"/>
    <hyperlink ref="H105" r:id="rId110" xr:uid="{00000000-0004-0000-0600-00006D000000}"/>
    <hyperlink ref="H16" r:id="rId111" xr:uid="{00000000-0004-0000-0600-00006E000000}"/>
    <hyperlink ref="H15" r:id="rId112" xr:uid="{00000000-0004-0000-0600-00006F000000}"/>
    <hyperlink ref="H14" r:id="rId113" xr:uid="{00000000-0004-0000-0600-000070000000}"/>
    <hyperlink ref="H20" r:id="rId114" xr:uid="{00000000-0004-0000-0600-000071000000}"/>
    <hyperlink ref="H17" r:id="rId115" xr:uid="{00000000-0004-0000-0600-000072000000}"/>
    <hyperlink ref="H18" r:id="rId116" xr:uid="{00000000-0004-0000-0600-000073000000}"/>
    <hyperlink ref="H19" r:id="rId117" xr:uid="{00000000-0004-0000-0600-000074000000}"/>
    <hyperlink ref="H145" r:id="rId118" xr:uid="{00000000-0004-0000-0600-000075000000}"/>
    <hyperlink ref="H146" r:id="rId119" xr:uid="{00000000-0004-0000-0600-000076000000}"/>
    <hyperlink ref="H65" r:id="rId120" xr:uid="{00000000-0004-0000-0600-000077000000}"/>
    <hyperlink ref="H4" r:id="rId121" xr:uid="{00000000-0004-0000-0600-000078000000}"/>
    <hyperlink ref="H170" r:id="rId122" xr:uid="{00000000-0004-0000-0600-000079000000}"/>
    <hyperlink ref="H169" r:id="rId123" xr:uid="{00000000-0004-0000-0600-00007A000000}"/>
    <hyperlink ref="H141" r:id="rId124" xr:uid="{00000000-0004-0000-0600-00007B000000}"/>
    <hyperlink ref="H75" r:id="rId125" xr:uid="{00000000-0004-0000-0600-00007C000000}"/>
    <hyperlink ref="H72" r:id="rId126" xr:uid="{00000000-0004-0000-0600-00007D000000}"/>
    <hyperlink ref="H73" r:id="rId127" xr:uid="{00000000-0004-0000-0600-00007E000000}"/>
    <hyperlink ref="H74" r:id="rId128" xr:uid="{00000000-0004-0000-0600-00007F000000}"/>
    <hyperlink ref="H76" r:id="rId129" xr:uid="{00000000-0004-0000-0600-000080000000}"/>
    <hyperlink ref="H77" r:id="rId130" xr:uid="{00000000-0004-0000-0600-000081000000}"/>
    <hyperlink ref="H78" r:id="rId131" xr:uid="{00000000-0004-0000-0600-000082000000}"/>
    <hyperlink ref="H89" r:id="rId132" xr:uid="{00000000-0004-0000-0600-000083000000}"/>
    <hyperlink ref="H90" r:id="rId133" xr:uid="{00000000-0004-0000-0600-000084000000}"/>
    <hyperlink ref="H91" r:id="rId134" xr:uid="{00000000-0004-0000-0600-000085000000}"/>
    <hyperlink ref="H92" r:id="rId135" xr:uid="{00000000-0004-0000-0600-000086000000}"/>
    <hyperlink ref="H88" r:id="rId136" xr:uid="{00000000-0004-0000-0600-000087000000}"/>
    <hyperlink ref="H81" r:id="rId137" xr:uid="{00000000-0004-0000-0600-000088000000}"/>
    <hyperlink ref="H79" r:id="rId138" xr:uid="{00000000-0004-0000-0600-000089000000}"/>
    <hyperlink ref="H131" r:id="rId139" xr:uid="{00000000-0004-0000-0600-00008A000000}"/>
    <hyperlink ref="H138" r:id="rId140" display="http://brewingwithbriess.com/Products/Roasted_Barley.htm" xr:uid="{00000000-0004-0000-0600-00008B000000}"/>
    <hyperlink ref="H142" r:id="rId141" xr:uid="{00000000-0004-0000-0600-00008C000000}"/>
    <hyperlink ref="H159" r:id="rId142" xr:uid="{00000000-0004-0000-0600-00008D000000}"/>
    <hyperlink ref="H161" r:id="rId143" xr:uid="{00000000-0004-0000-0600-00008E000000}"/>
    <hyperlink ref="H11" r:id="rId144" xr:uid="{00000000-0004-0000-0600-00008F000000}"/>
    <hyperlink ref="H166" r:id="rId145" xr:uid="{00000000-0004-0000-0600-000090000000}"/>
    <hyperlink ref="H167" r:id="rId146" xr:uid="{00000000-0004-0000-0600-000091000000}"/>
    <hyperlink ref="H171" r:id="rId147" xr:uid="{00000000-0004-0000-0600-000092000000}"/>
    <hyperlink ref="H172" r:id="rId148" xr:uid="{00000000-0004-0000-0600-000093000000}"/>
    <hyperlink ref="H179" r:id="rId149" xr:uid="{00000000-0004-0000-0600-000094000000}"/>
    <hyperlink ref="H178" r:id="rId150" xr:uid="{00000000-0004-0000-0600-000095000000}"/>
    <hyperlink ref="H180" r:id="rId151" xr:uid="{00000000-0004-0000-0600-000096000000}"/>
    <hyperlink ref="H177" r:id="rId152" xr:uid="{00000000-0004-0000-0600-000097000000}"/>
    <hyperlink ref="H176" r:id="rId153" xr:uid="{00000000-0004-0000-0600-000098000000}"/>
    <hyperlink ref="H181" r:id="rId154" xr:uid="{00000000-0004-0000-0600-000099000000}"/>
    <hyperlink ref="H183" r:id="rId155" xr:uid="{00000000-0004-0000-0600-00009A000000}"/>
    <hyperlink ref="H182" r:id="rId156" xr:uid="{00000000-0004-0000-0600-00009B000000}"/>
    <hyperlink ref="H184" r:id="rId157" xr:uid="{00000000-0004-0000-0600-00009C000000}"/>
    <hyperlink ref="H185" r:id="rId158" xr:uid="{00000000-0004-0000-0600-00009D000000}"/>
    <hyperlink ref="H186" r:id="rId159" xr:uid="{00000000-0004-0000-0600-00009E000000}"/>
    <hyperlink ref="H187" r:id="rId160" xr:uid="{00000000-0004-0000-0600-00009F000000}"/>
    <hyperlink ref="H188" r:id="rId161" xr:uid="{00000000-0004-0000-0600-0000A0000000}"/>
    <hyperlink ref="H189" r:id="rId162" location="TorrifiedWheat" xr:uid="{00000000-0004-0000-0600-0000A1000000}"/>
    <hyperlink ref="H150" r:id="rId163" xr:uid="{00000000-0004-0000-0600-0000A2000000}"/>
    <hyperlink ref="H151" r:id="rId164" xr:uid="{00000000-0004-0000-0600-0000A3000000}"/>
    <hyperlink ref="H148" r:id="rId165" xr:uid="{00000000-0004-0000-0600-0000A4000000}"/>
    <hyperlink ref="H147" r:id="rId166" xr:uid="{00000000-0004-0000-0600-0000A5000000}"/>
    <hyperlink ref="H120" r:id="rId167" xr:uid="{00000000-0004-0000-0600-0000A6000000}"/>
    <hyperlink ref="H33" r:id="rId168" xr:uid="{00000000-0004-0000-0600-0000A7000000}"/>
    <hyperlink ref="H71" r:id="rId169" xr:uid="{00000000-0004-0000-0600-0000A8000000}"/>
    <hyperlink ref="H70" r:id="rId170" xr:uid="{00000000-0004-0000-0600-0000A9000000}"/>
    <hyperlink ref="H87" r:id="rId171" xr:uid="{00000000-0004-0000-0600-0000AA000000}"/>
    <hyperlink ref="H121" r:id="rId172" xr:uid="{00000000-0004-0000-0600-0000AB000000}"/>
    <hyperlink ref="H122" r:id="rId173" xr:uid="{00000000-0004-0000-0600-0000AC000000}"/>
    <hyperlink ref="H133" r:id="rId174" xr:uid="{13711CBD-0205-45C4-B7F3-ACC02CED9BE4}"/>
    <hyperlink ref="H116" r:id="rId175" location="{%22issue_id%22:453924,%22page%22:50}" xr:uid="{8C439332-78DE-437D-A3C5-08B1B6A74DE3}"/>
  </hyperlinks>
  <pageMargins left="0.7" right="0.7" top="0.75" bottom="0.75" header="0.3" footer="0.3"/>
  <pageSetup orientation="portrait" r:id="rId176"/>
  <tableParts count="1">
    <tablePart r:id="rId17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141"/>
  <sheetViews>
    <sheetView workbookViewId="0">
      <selection activeCell="D22" sqref="D22"/>
    </sheetView>
  </sheetViews>
  <sheetFormatPr defaultRowHeight="13.2" x14ac:dyDescent="0.25"/>
  <cols>
    <col min="1" max="1" width="34.77734375" customWidth="1"/>
    <col min="2" max="2" width="12" bestFit="1" customWidth="1"/>
    <col min="3" max="3" width="48.33203125" bestFit="1" customWidth="1"/>
    <col min="4" max="4" width="218.109375" bestFit="1" customWidth="1"/>
  </cols>
  <sheetData>
    <row r="1" spans="1:4" x14ac:dyDescent="0.25">
      <c r="A1" s="54" t="s">
        <v>132</v>
      </c>
      <c r="B1" s="54" t="s">
        <v>778</v>
      </c>
      <c r="C1" s="54" t="s">
        <v>779</v>
      </c>
      <c r="D1" s="54" t="s">
        <v>151</v>
      </c>
    </row>
    <row r="2" spans="1:4" x14ac:dyDescent="0.25">
      <c r="A2" t="s">
        <v>152</v>
      </c>
      <c r="B2" t="s">
        <v>153</v>
      </c>
      <c r="C2" t="s">
        <v>154</v>
      </c>
      <c r="D2" t="s">
        <v>155</v>
      </c>
    </row>
    <row r="3" spans="1:4" x14ac:dyDescent="0.25">
      <c r="A3" t="s">
        <v>780</v>
      </c>
      <c r="B3" t="s">
        <v>156</v>
      </c>
      <c r="C3" t="s">
        <v>157</v>
      </c>
      <c r="D3" t="s">
        <v>158</v>
      </c>
    </row>
    <row r="4" spans="1:4" x14ac:dyDescent="0.25">
      <c r="A4" t="s">
        <v>781</v>
      </c>
      <c r="B4" t="s">
        <v>160</v>
      </c>
      <c r="C4" t="s">
        <v>161</v>
      </c>
      <c r="D4" t="s">
        <v>162</v>
      </c>
    </row>
    <row r="5" spans="1:4" x14ac:dyDescent="0.25">
      <c r="A5" t="s">
        <v>163</v>
      </c>
      <c r="B5" t="s">
        <v>164</v>
      </c>
      <c r="C5" t="s">
        <v>165</v>
      </c>
      <c r="D5" t="s">
        <v>166</v>
      </c>
    </row>
    <row r="6" spans="1:4" x14ac:dyDescent="0.25">
      <c r="A6" t="s">
        <v>917</v>
      </c>
      <c r="B6" t="s">
        <v>191</v>
      </c>
      <c r="C6" t="s">
        <v>280</v>
      </c>
    </row>
    <row r="7" spans="1:4" x14ac:dyDescent="0.25">
      <c r="A7" t="s">
        <v>782</v>
      </c>
      <c r="B7" t="s">
        <v>783</v>
      </c>
      <c r="D7" t="s">
        <v>784</v>
      </c>
    </row>
    <row r="8" spans="1:4" x14ac:dyDescent="0.25">
      <c r="A8" t="s">
        <v>884</v>
      </c>
      <c r="B8" s="56">
        <v>0.121</v>
      </c>
      <c r="D8" t="s">
        <v>885</v>
      </c>
    </row>
    <row r="9" spans="1:4" x14ac:dyDescent="0.25">
      <c r="A9" t="s">
        <v>785</v>
      </c>
      <c r="B9" t="s">
        <v>160</v>
      </c>
      <c r="D9" t="s">
        <v>786</v>
      </c>
    </row>
    <row r="10" spans="1:4" x14ac:dyDescent="0.25">
      <c r="A10" t="s">
        <v>893</v>
      </c>
      <c r="B10" t="s">
        <v>894</v>
      </c>
      <c r="C10" t="s">
        <v>837</v>
      </c>
    </row>
    <row r="11" spans="1:4" x14ac:dyDescent="0.25">
      <c r="A11" t="s">
        <v>167</v>
      </c>
      <c r="B11" t="s">
        <v>168</v>
      </c>
      <c r="C11" t="s">
        <v>169</v>
      </c>
      <c r="D11" t="s">
        <v>170</v>
      </c>
    </row>
    <row r="12" spans="1:4" x14ac:dyDescent="0.25">
      <c r="A12" t="s">
        <v>171</v>
      </c>
      <c r="B12" t="s">
        <v>172</v>
      </c>
      <c r="C12" t="s">
        <v>173</v>
      </c>
    </row>
    <row r="13" spans="1:4" x14ac:dyDescent="0.25">
      <c r="A13" t="s">
        <v>174</v>
      </c>
      <c r="B13" t="s">
        <v>175</v>
      </c>
      <c r="C13" t="s">
        <v>176</v>
      </c>
      <c r="D13" t="s">
        <v>177</v>
      </c>
    </row>
    <row r="14" spans="1:4" x14ac:dyDescent="0.25">
      <c r="A14" t="s">
        <v>178</v>
      </c>
      <c r="B14" t="s">
        <v>179</v>
      </c>
      <c r="C14" t="s">
        <v>180</v>
      </c>
      <c r="D14" t="s">
        <v>181</v>
      </c>
    </row>
    <row r="15" spans="1:4" x14ac:dyDescent="0.25">
      <c r="A15" t="s">
        <v>182</v>
      </c>
      <c r="B15" t="s">
        <v>183</v>
      </c>
      <c r="C15" t="s">
        <v>184</v>
      </c>
      <c r="D15" t="s">
        <v>185</v>
      </c>
    </row>
    <row r="16" spans="1:4" x14ac:dyDescent="0.25">
      <c r="A16" t="s">
        <v>886</v>
      </c>
      <c r="B16" t="s">
        <v>287</v>
      </c>
      <c r="D16" t="s">
        <v>887</v>
      </c>
    </row>
    <row r="17" spans="1:4" x14ac:dyDescent="0.25">
      <c r="A17" t="s">
        <v>186</v>
      </c>
      <c r="B17" t="s">
        <v>187</v>
      </c>
      <c r="C17" t="s">
        <v>188</v>
      </c>
      <c r="D17" t="s">
        <v>189</v>
      </c>
    </row>
    <row r="18" spans="1:4" x14ac:dyDescent="0.25">
      <c r="A18" t="s">
        <v>190</v>
      </c>
      <c r="B18" t="s">
        <v>191</v>
      </c>
      <c r="C18" t="s">
        <v>192</v>
      </c>
      <c r="D18" t="s">
        <v>193</v>
      </c>
    </row>
    <row r="19" spans="1:4" x14ac:dyDescent="0.25">
      <c r="A19" t="s">
        <v>194</v>
      </c>
      <c r="B19" t="s">
        <v>195</v>
      </c>
      <c r="C19" t="s">
        <v>196</v>
      </c>
      <c r="D19" t="s">
        <v>197</v>
      </c>
    </row>
    <row r="20" spans="1:4" x14ac:dyDescent="0.25">
      <c r="A20" t="s">
        <v>787</v>
      </c>
      <c r="B20" t="s">
        <v>788</v>
      </c>
      <c r="D20" t="s">
        <v>789</v>
      </c>
    </row>
    <row r="21" spans="1:4" x14ac:dyDescent="0.25">
      <c r="A21" t="s">
        <v>862</v>
      </c>
      <c r="B21" t="s">
        <v>275</v>
      </c>
      <c r="C21" t="s">
        <v>821</v>
      </c>
      <c r="D21" t="s">
        <v>863</v>
      </c>
    </row>
    <row r="22" spans="1:4" x14ac:dyDescent="0.25">
      <c r="A22" t="s">
        <v>198</v>
      </c>
      <c r="B22" t="s">
        <v>199</v>
      </c>
      <c r="C22" t="s">
        <v>200</v>
      </c>
      <c r="D22" t="s">
        <v>201</v>
      </c>
    </row>
    <row r="23" spans="1:4" x14ac:dyDescent="0.25">
      <c r="A23" t="s">
        <v>202</v>
      </c>
      <c r="B23" t="s">
        <v>203</v>
      </c>
      <c r="C23" t="s">
        <v>204</v>
      </c>
      <c r="D23" t="s">
        <v>205</v>
      </c>
    </row>
    <row r="24" spans="1:4" x14ac:dyDescent="0.25">
      <c r="A24" t="s">
        <v>206</v>
      </c>
      <c r="B24" t="s">
        <v>207</v>
      </c>
      <c r="C24" t="s">
        <v>208</v>
      </c>
      <c r="D24" t="s">
        <v>209</v>
      </c>
    </row>
    <row r="25" spans="1:4" x14ac:dyDescent="0.25">
      <c r="A25" t="s">
        <v>790</v>
      </c>
      <c r="B25" t="s">
        <v>265</v>
      </c>
      <c r="D25" t="s">
        <v>791</v>
      </c>
    </row>
    <row r="26" spans="1:4" x14ac:dyDescent="0.25">
      <c r="A26" t="s">
        <v>210</v>
      </c>
      <c r="B26" t="s">
        <v>211</v>
      </c>
      <c r="C26" t="s">
        <v>212</v>
      </c>
      <c r="D26" t="s">
        <v>213</v>
      </c>
    </row>
    <row r="27" spans="1:4" x14ac:dyDescent="0.25">
      <c r="A27" t="s">
        <v>214</v>
      </c>
      <c r="B27" t="s">
        <v>215</v>
      </c>
      <c r="C27" t="s">
        <v>216</v>
      </c>
      <c r="D27" t="s">
        <v>217</v>
      </c>
    </row>
    <row r="28" spans="1:4" x14ac:dyDescent="0.25">
      <c r="A28" t="s">
        <v>792</v>
      </c>
      <c r="B28" t="s">
        <v>793</v>
      </c>
      <c r="D28" t="s">
        <v>794</v>
      </c>
    </row>
    <row r="29" spans="1:4" x14ac:dyDescent="0.25">
      <c r="A29" t="s">
        <v>864</v>
      </c>
      <c r="B29" t="s">
        <v>865</v>
      </c>
      <c r="C29" t="s">
        <v>866</v>
      </c>
      <c r="D29" t="s">
        <v>867</v>
      </c>
    </row>
    <row r="30" spans="1:4" x14ac:dyDescent="0.25">
      <c r="A30" t="s">
        <v>2037</v>
      </c>
      <c r="B30" t="s">
        <v>2038</v>
      </c>
      <c r="D30" t="s">
        <v>2039</v>
      </c>
    </row>
    <row r="31" spans="1:4" x14ac:dyDescent="0.25">
      <c r="A31" t="s">
        <v>795</v>
      </c>
      <c r="B31" t="s">
        <v>783</v>
      </c>
      <c r="D31" t="s">
        <v>796</v>
      </c>
    </row>
    <row r="32" spans="1:4" x14ac:dyDescent="0.25">
      <c r="A32" t="s">
        <v>868</v>
      </c>
      <c r="B32" t="s">
        <v>869</v>
      </c>
      <c r="D32" t="s">
        <v>870</v>
      </c>
    </row>
    <row r="33" spans="1:4" x14ac:dyDescent="0.25">
      <c r="A33" t="s">
        <v>218</v>
      </c>
      <c r="B33" t="s">
        <v>219</v>
      </c>
      <c r="C33" t="s">
        <v>220</v>
      </c>
      <c r="D33" t="s">
        <v>221</v>
      </c>
    </row>
    <row r="34" spans="1:4" x14ac:dyDescent="0.25">
      <c r="A34" t="s">
        <v>797</v>
      </c>
      <c r="B34" t="s">
        <v>798</v>
      </c>
      <c r="C34" t="s">
        <v>362</v>
      </c>
      <c r="D34" t="s">
        <v>799</v>
      </c>
    </row>
    <row r="35" spans="1:4" x14ac:dyDescent="0.25">
      <c r="A35" t="s">
        <v>222</v>
      </c>
      <c r="B35" t="s">
        <v>203</v>
      </c>
      <c r="C35" t="s">
        <v>223</v>
      </c>
      <c r="D35" t="s">
        <v>224</v>
      </c>
    </row>
    <row r="36" spans="1:4" x14ac:dyDescent="0.25">
      <c r="A36" t="s">
        <v>225</v>
      </c>
      <c r="B36" t="s">
        <v>226</v>
      </c>
      <c r="C36" t="s">
        <v>227</v>
      </c>
      <c r="D36" t="s">
        <v>228</v>
      </c>
    </row>
    <row r="37" spans="1:4" x14ac:dyDescent="0.25">
      <c r="A37" t="s">
        <v>229</v>
      </c>
      <c r="B37" t="s">
        <v>226</v>
      </c>
      <c r="C37" t="s">
        <v>230</v>
      </c>
      <c r="D37" t="s">
        <v>231</v>
      </c>
    </row>
    <row r="38" spans="1:4" x14ac:dyDescent="0.25">
      <c r="A38" t="s">
        <v>800</v>
      </c>
      <c r="B38" t="s">
        <v>215</v>
      </c>
      <c r="D38" t="s">
        <v>801</v>
      </c>
    </row>
    <row r="39" spans="1:4" x14ac:dyDescent="0.25">
      <c r="A39" t="s">
        <v>212</v>
      </c>
      <c r="B39" t="s">
        <v>207</v>
      </c>
      <c r="C39" t="s">
        <v>232</v>
      </c>
      <c r="D39" t="s">
        <v>233</v>
      </c>
    </row>
    <row r="40" spans="1:4" x14ac:dyDescent="0.25">
      <c r="A40" t="s">
        <v>234</v>
      </c>
      <c r="B40" t="s">
        <v>235</v>
      </c>
      <c r="C40" t="s">
        <v>236</v>
      </c>
      <c r="D40" t="s">
        <v>237</v>
      </c>
    </row>
    <row r="41" spans="1:4" x14ac:dyDescent="0.25">
      <c r="A41" t="s">
        <v>238</v>
      </c>
      <c r="B41" t="s">
        <v>239</v>
      </c>
      <c r="C41" t="s">
        <v>240</v>
      </c>
      <c r="D41" t="s">
        <v>241</v>
      </c>
    </row>
    <row r="42" spans="1:4" x14ac:dyDescent="0.25">
      <c r="A42" t="s">
        <v>242</v>
      </c>
      <c r="B42" t="s">
        <v>243</v>
      </c>
      <c r="C42" t="s">
        <v>244</v>
      </c>
      <c r="D42" t="s">
        <v>245</v>
      </c>
    </row>
    <row r="43" spans="1:4" x14ac:dyDescent="0.25">
      <c r="A43" t="s">
        <v>246</v>
      </c>
      <c r="B43" t="s">
        <v>203</v>
      </c>
      <c r="C43" t="s">
        <v>247</v>
      </c>
      <c r="D43" t="s">
        <v>248</v>
      </c>
    </row>
    <row r="44" spans="1:4" x14ac:dyDescent="0.25">
      <c r="A44" t="s">
        <v>888</v>
      </c>
      <c r="B44" t="s">
        <v>219</v>
      </c>
      <c r="D44" t="s">
        <v>889</v>
      </c>
    </row>
    <row r="45" spans="1:4" x14ac:dyDescent="0.25">
      <c r="A45" t="s">
        <v>249</v>
      </c>
      <c r="B45" t="s">
        <v>250</v>
      </c>
      <c r="C45" t="s">
        <v>251</v>
      </c>
      <c r="D45" t="s">
        <v>252</v>
      </c>
    </row>
    <row r="46" spans="1:4" x14ac:dyDescent="0.25">
      <c r="A46" t="s">
        <v>253</v>
      </c>
      <c r="B46" t="s">
        <v>254</v>
      </c>
      <c r="C46" t="s">
        <v>255</v>
      </c>
      <c r="D46" t="s">
        <v>256</v>
      </c>
    </row>
    <row r="47" spans="1:4" x14ac:dyDescent="0.25">
      <c r="A47" t="s">
        <v>257</v>
      </c>
      <c r="B47" t="s">
        <v>258</v>
      </c>
      <c r="C47" t="s">
        <v>259</v>
      </c>
      <c r="D47" t="s">
        <v>260</v>
      </c>
    </row>
    <row r="48" spans="1:4" x14ac:dyDescent="0.25">
      <c r="A48" t="s">
        <v>261</v>
      </c>
      <c r="B48" t="s">
        <v>250</v>
      </c>
      <c r="C48" t="s">
        <v>262</v>
      </c>
      <c r="D48" t="s">
        <v>263</v>
      </c>
    </row>
    <row r="49" spans="1:4" x14ac:dyDescent="0.25">
      <c r="A49" t="s">
        <v>264</v>
      </c>
      <c r="B49" t="s">
        <v>265</v>
      </c>
      <c r="D49" t="s">
        <v>266</v>
      </c>
    </row>
    <row r="50" spans="1:4" x14ac:dyDescent="0.25">
      <c r="A50" t="s">
        <v>871</v>
      </c>
      <c r="B50" t="s">
        <v>872</v>
      </c>
      <c r="D50" t="s">
        <v>873</v>
      </c>
    </row>
    <row r="51" spans="1:4" x14ac:dyDescent="0.25">
      <c r="A51" t="s">
        <v>267</v>
      </c>
      <c r="B51" t="s">
        <v>258</v>
      </c>
      <c r="C51" t="s">
        <v>268</v>
      </c>
      <c r="D51" t="s">
        <v>269</v>
      </c>
    </row>
    <row r="52" spans="1:4" x14ac:dyDescent="0.25">
      <c r="A52" t="s">
        <v>270</v>
      </c>
      <c r="B52" t="s">
        <v>243</v>
      </c>
      <c r="C52" t="s">
        <v>278</v>
      </c>
      <c r="D52" t="s">
        <v>802</v>
      </c>
    </row>
    <row r="53" spans="1:4" x14ac:dyDescent="0.25">
      <c r="A53" t="s">
        <v>898</v>
      </c>
      <c r="B53" t="s">
        <v>899</v>
      </c>
      <c r="D53" t="s">
        <v>900</v>
      </c>
    </row>
    <row r="54" spans="1:4" x14ac:dyDescent="0.25">
      <c r="A54" t="s">
        <v>803</v>
      </c>
      <c r="B54" t="s">
        <v>804</v>
      </c>
      <c r="D54" t="s">
        <v>805</v>
      </c>
    </row>
    <row r="55" spans="1:4" x14ac:dyDescent="0.25">
      <c r="A55" t="s">
        <v>806</v>
      </c>
      <c r="B55" t="s">
        <v>414</v>
      </c>
      <c r="D55" t="s">
        <v>807</v>
      </c>
    </row>
    <row r="56" spans="1:4" x14ac:dyDescent="0.25">
      <c r="A56" t="s">
        <v>271</v>
      </c>
      <c r="B56" t="s">
        <v>226</v>
      </c>
      <c r="C56" t="s">
        <v>272</v>
      </c>
      <c r="D56" t="s">
        <v>273</v>
      </c>
    </row>
    <row r="57" spans="1:4" x14ac:dyDescent="0.25">
      <c r="A57" t="s">
        <v>808</v>
      </c>
      <c r="B57" s="55">
        <v>0.03</v>
      </c>
      <c r="D57" t="s">
        <v>809</v>
      </c>
    </row>
    <row r="58" spans="1:4" x14ac:dyDescent="0.25">
      <c r="A58" t="s">
        <v>810</v>
      </c>
      <c r="B58" t="s">
        <v>149</v>
      </c>
      <c r="D58" t="s">
        <v>811</v>
      </c>
    </row>
    <row r="59" spans="1:4" x14ac:dyDescent="0.25">
      <c r="A59" t="s">
        <v>812</v>
      </c>
      <c r="B59" t="s">
        <v>168</v>
      </c>
      <c r="C59" t="s">
        <v>159</v>
      </c>
      <c r="D59" t="s">
        <v>813</v>
      </c>
    </row>
    <row r="60" spans="1:4" x14ac:dyDescent="0.25">
      <c r="A60" t="s">
        <v>274</v>
      </c>
      <c r="B60" t="s">
        <v>275</v>
      </c>
      <c r="C60" t="s">
        <v>276</v>
      </c>
      <c r="D60" t="s">
        <v>277</v>
      </c>
    </row>
    <row r="61" spans="1:4" x14ac:dyDescent="0.25">
      <c r="A61" t="s">
        <v>920</v>
      </c>
      <c r="B61" t="s">
        <v>346</v>
      </c>
      <c r="C61" t="s">
        <v>365</v>
      </c>
      <c r="D61" t="s">
        <v>921</v>
      </c>
    </row>
    <row r="62" spans="1:4" x14ac:dyDescent="0.25">
      <c r="A62" t="s">
        <v>814</v>
      </c>
      <c r="B62" t="s">
        <v>395</v>
      </c>
      <c r="C62" t="s">
        <v>815</v>
      </c>
      <c r="D62" t="s">
        <v>281</v>
      </c>
    </row>
    <row r="63" spans="1:4" x14ac:dyDescent="0.25">
      <c r="A63" t="s">
        <v>816</v>
      </c>
      <c r="B63" t="s">
        <v>207</v>
      </c>
      <c r="C63" t="s">
        <v>815</v>
      </c>
      <c r="D63" t="s">
        <v>817</v>
      </c>
    </row>
    <row r="64" spans="1:4" x14ac:dyDescent="0.25">
      <c r="A64" t="s">
        <v>890</v>
      </c>
      <c r="B64" t="s">
        <v>179</v>
      </c>
      <c r="C64" t="s">
        <v>891</v>
      </c>
      <c r="D64" t="s">
        <v>892</v>
      </c>
    </row>
    <row r="65" spans="1:4" x14ac:dyDescent="0.25">
      <c r="A65" t="s">
        <v>918</v>
      </c>
      <c r="B65" t="s">
        <v>219</v>
      </c>
      <c r="D65" t="s">
        <v>919</v>
      </c>
    </row>
    <row r="66" spans="1:4" x14ac:dyDescent="0.25">
      <c r="A66" t="s">
        <v>874</v>
      </c>
      <c r="B66" t="s">
        <v>804</v>
      </c>
      <c r="C66" t="s">
        <v>278</v>
      </c>
      <c r="D66" t="s">
        <v>875</v>
      </c>
    </row>
    <row r="67" spans="1:4" x14ac:dyDescent="0.25">
      <c r="A67" t="s">
        <v>876</v>
      </c>
      <c r="B67" t="s">
        <v>804</v>
      </c>
      <c r="C67" t="s">
        <v>304</v>
      </c>
      <c r="D67" t="s">
        <v>877</v>
      </c>
    </row>
    <row r="68" spans="1:4" x14ac:dyDescent="0.25">
      <c r="A68" t="s">
        <v>927</v>
      </c>
      <c r="B68" t="s">
        <v>928</v>
      </c>
      <c r="C68" t="s">
        <v>929</v>
      </c>
      <c r="D68" t="s">
        <v>930</v>
      </c>
    </row>
    <row r="69" spans="1:4" x14ac:dyDescent="0.25">
      <c r="A69" t="s">
        <v>910</v>
      </c>
      <c r="B69" t="s">
        <v>911</v>
      </c>
      <c r="C69" t="s">
        <v>912</v>
      </c>
      <c r="D69" t="s">
        <v>913</v>
      </c>
    </row>
    <row r="70" spans="1:4" x14ac:dyDescent="0.25">
      <c r="A70" t="s">
        <v>282</v>
      </c>
      <c r="B70" t="s">
        <v>283</v>
      </c>
      <c r="C70" t="s">
        <v>284</v>
      </c>
      <c r="D70" t="s">
        <v>285</v>
      </c>
    </row>
    <row r="71" spans="1:4" x14ac:dyDescent="0.25">
      <c r="A71" t="s">
        <v>878</v>
      </c>
      <c r="B71" t="s">
        <v>879</v>
      </c>
      <c r="C71" t="s">
        <v>880</v>
      </c>
      <c r="D71" t="s">
        <v>881</v>
      </c>
    </row>
    <row r="72" spans="1:4" x14ac:dyDescent="0.25">
      <c r="A72" t="s">
        <v>286</v>
      </c>
      <c r="B72" t="s">
        <v>287</v>
      </c>
      <c r="D72" t="s">
        <v>818</v>
      </c>
    </row>
    <row r="73" spans="1:4" x14ac:dyDescent="0.25">
      <c r="A73" t="s">
        <v>288</v>
      </c>
      <c r="B73" t="s">
        <v>289</v>
      </c>
      <c r="C73" t="s">
        <v>290</v>
      </c>
      <c r="D73" t="s">
        <v>291</v>
      </c>
    </row>
    <row r="74" spans="1:4" x14ac:dyDescent="0.25">
      <c r="A74" t="s">
        <v>292</v>
      </c>
      <c r="B74" t="s">
        <v>293</v>
      </c>
      <c r="D74" t="s">
        <v>294</v>
      </c>
    </row>
    <row r="75" spans="1:4" x14ac:dyDescent="0.25">
      <c r="A75" t="s">
        <v>295</v>
      </c>
      <c r="B75" t="s">
        <v>179</v>
      </c>
      <c r="C75" t="s">
        <v>296</v>
      </c>
      <c r="D75" t="s">
        <v>297</v>
      </c>
    </row>
    <row r="76" spans="1:4" x14ac:dyDescent="0.25">
      <c r="A76" t="s">
        <v>298</v>
      </c>
      <c r="B76" t="s">
        <v>299</v>
      </c>
      <c r="C76" t="s">
        <v>300</v>
      </c>
      <c r="D76" t="s">
        <v>297</v>
      </c>
    </row>
    <row r="77" spans="1:4" x14ac:dyDescent="0.25">
      <c r="A77" t="s">
        <v>301</v>
      </c>
      <c r="B77" t="s">
        <v>302</v>
      </c>
      <c r="D77" t="s">
        <v>303</v>
      </c>
    </row>
    <row r="78" spans="1:4" x14ac:dyDescent="0.25">
      <c r="A78" t="s">
        <v>304</v>
      </c>
      <c r="B78" t="s">
        <v>305</v>
      </c>
      <c r="C78" t="s">
        <v>306</v>
      </c>
      <c r="D78" t="s">
        <v>307</v>
      </c>
    </row>
    <row r="79" spans="1:4" x14ac:dyDescent="0.25">
      <c r="A79" t="s">
        <v>308</v>
      </c>
      <c r="B79" t="s">
        <v>265</v>
      </c>
      <c r="C79" t="s">
        <v>206</v>
      </c>
      <c r="D79" t="s">
        <v>309</v>
      </c>
    </row>
    <row r="80" spans="1:4" x14ac:dyDescent="0.25">
      <c r="A80" t="s">
        <v>819</v>
      </c>
      <c r="B80" t="s">
        <v>820</v>
      </c>
      <c r="C80" t="s">
        <v>821</v>
      </c>
      <c r="D80" t="s">
        <v>822</v>
      </c>
    </row>
    <row r="81" spans="1:4" x14ac:dyDescent="0.25">
      <c r="A81" t="s">
        <v>823</v>
      </c>
      <c r="B81" t="s">
        <v>149</v>
      </c>
      <c r="D81" t="s">
        <v>824</v>
      </c>
    </row>
    <row r="82" spans="1:4" x14ac:dyDescent="0.25">
      <c r="A82" t="s">
        <v>310</v>
      </c>
      <c r="B82" t="s">
        <v>279</v>
      </c>
      <c r="C82" t="s">
        <v>212</v>
      </c>
      <c r="D82" t="s">
        <v>825</v>
      </c>
    </row>
    <row r="83" spans="1:4" x14ac:dyDescent="0.25">
      <c r="A83" t="s">
        <v>311</v>
      </c>
      <c r="B83" t="s">
        <v>287</v>
      </c>
      <c r="D83" t="s">
        <v>312</v>
      </c>
    </row>
    <row r="84" spans="1:4" x14ac:dyDescent="0.25">
      <c r="A84" t="s">
        <v>313</v>
      </c>
      <c r="B84" t="s">
        <v>314</v>
      </c>
      <c r="C84" t="s">
        <v>315</v>
      </c>
      <c r="D84" t="s">
        <v>316</v>
      </c>
    </row>
    <row r="85" spans="1:4" x14ac:dyDescent="0.25">
      <c r="A85" t="s">
        <v>826</v>
      </c>
      <c r="B85" t="s">
        <v>317</v>
      </c>
      <c r="C85" t="s">
        <v>318</v>
      </c>
      <c r="D85" t="s">
        <v>319</v>
      </c>
    </row>
    <row r="86" spans="1:4" x14ac:dyDescent="0.25">
      <c r="A86" t="s">
        <v>827</v>
      </c>
      <c r="B86" t="s">
        <v>368</v>
      </c>
      <c r="C86" t="s">
        <v>383</v>
      </c>
      <c r="D86" t="s">
        <v>828</v>
      </c>
    </row>
    <row r="87" spans="1:4" x14ac:dyDescent="0.25">
      <c r="A87" t="s">
        <v>320</v>
      </c>
      <c r="B87" t="s">
        <v>321</v>
      </c>
      <c r="C87" t="s">
        <v>322</v>
      </c>
      <c r="D87" t="s">
        <v>323</v>
      </c>
    </row>
    <row r="88" spans="1:4" x14ac:dyDescent="0.25">
      <c r="A88" t="s">
        <v>324</v>
      </c>
      <c r="B88" t="s">
        <v>325</v>
      </c>
      <c r="C88" t="s">
        <v>326</v>
      </c>
      <c r="D88" t="s">
        <v>327</v>
      </c>
    </row>
    <row r="89" spans="1:4" x14ac:dyDescent="0.25">
      <c r="A89" t="s">
        <v>328</v>
      </c>
      <c r="B89" t="s">
        <v>830</v>
      </c>
      <c r="C89" t="s">
        <v>329</v>
      </c>
      <c r="D89" t="s">
        <v>895</v>
      </c>
    </row>
    <row r="90" spans="1:4" x14ac:dyDescent="0.25">
      <c r="A90" t="s">
        <v>829</v>
      </c>
      <c r="B90" t="s">
        <v>830</v>
      </c>
      <c r="C90" t="s">
        <v>831</v>
      </c>
      <c r="D90" t="s">
        <v>832</v>
      </c>
    </row>
    <row r="91" spans="1:4" x14ac:dyDescent="0.25">
      <c r="A91" t="s">
        <v>330</v>
      </c>
      <c r="B91" t="s">
        <v>331</v>
      </c>
      <c r="C91" t="s">
        <v>332</v>
      </c>
      <c r="D91" t="s">
        <v>333</v>
      </c>
    </row>
    <row r="92" spans="1:4" x14ac:dyDescent="0.25">
      <c r="A92" t="s">
        <v>901</v>
      </c>
      <c r="B92" t="s">
        <v>902</v>
      </c>
      <c r="D92" t="s">
        <v>903</v>
      </c>
    </row>
    <row r="93" spans="1:4" x14ac:dyDescent="0.25">
      <c r="A93" t="s">
        <v>922</v>
      </c>
      <c r="B93" t="s">
        <v>923</v>
      </c>
      <c r="D93" t="s">
        <v>924</v>
      </c>
    </row>
    <row r="94" spans="1:4" x14ac:dyDescent="0.25">
      <c r="A94" t="s">
        <v>334</v>
      </c>
      <c r="B94" t="s">
        <v>179</v>
      </c>
      <c r="C94" t="s">
        <v>335</v>
      </c>
      <c r="D94" t="s">
        <v>336</v>
      </c>
    </row>
    <row r="95" spans="1:4" x14ac:dyDescent="0.25">
      <c r="A95" t="s">
        <v>337</v>
      </c>
      <c r="B95" t="s">
        <v>338</v>
      </c>
      <c r="C95" t="s">
        <v>339</v>
      </c>
      <c r="D95" t="s">
        <v>340</v>
      </c>
    </row>
    <row r="96" spans="1:4" x14ac:dyDescent="0.25">
      <c r="A96" t="s">
        <v>833</v>
      </c>
      <c r="B96" t="s">
        <v>793</v>
      </c>
      <c r="D96" t="s">
        <v>834</v>
      </c>
    </row>
    <row r="97" spans="1:4" x14ac:dyDescent="0.25">
      <c r="A97" t="s">
        <v>341</v>
      </c>
      <c r="B97" t="s">
        <v>342</v>
      </c>
      <c r="C97" t="s">
        <v>343</v>
      </c>
      <c r="D97" t="s">
        <v>344</v>
      </c>
    </row>
    <row r="98" spans="1:4" x14ac:dyDescent="0.25">
      <c r="A98" t="s">
        <v>345</v>
      </c>
      <c r="B98" t="s">
        <v>346</v>
      </c>
      <c r="C98" t="s">
        <v>347</v>
      </c>
      <c r="D98" t="s">
        <v>348</v>
      </c>
    </row>
    <row r="99" spans="1:4" x14ac:dyDescent="0.25">
      <c r="A99" t="s">
        <v>349</v>
      </c>
      <c r="B99" t="s">
        <v>187</v>
      </c>
      <c r="C99" t="s">
        <v>350</v>
      </c>
      <c r="D99" t="s">
        <v>351</v>
      </c>
    </row>
    <row r="100" spans="1:4" x14ac:dyDescent="0.25">
      <c r="A100" t="s">
        <v>352</v>
      </c>
      <c r="B100" t="s">
        <v>353</v>
      </c>
      <c r="C100" t="s">
        <v>354</v>
      </c>
      <c r="D100" t="s">
        <v>355</v>
      </c>
    </row>
    <row r="101" spans="1:4" x14ac:dyDescent="0.25">
      <c r="A101" t="s">
        <v>356</v>
      </c>
      <c r="B101" t="s">
        <v>357</v>
      </c>
      <c r="C101" t="s">
        <v>188</v>
      </c>
      <c r="D101" t="s">
        <v>358</v>
      </c>
    </row>
    <row r="102" spans="1:4" x14ac:dyDescent="0.25">
      <c r="A102" t="s">
        <v>359</v>
      </c>
      <c r="B102" t="s">
        <v>360</v>
      </c>
      <c r="C102" t="s">
        <v>212</v>
      </c>
      <c r="D102" t="s">
        <v>361</v>
      </c>
    </row>
    <row r="103" spans="1:4" x14ac:dyDescent="0.25">
      <c r="A103" t="s">
        <v>914</v>
      </c>
      <c r="B103" t="s">
        <v>239</v>
      </c>
      <c r="C103" t="s">
        <v>915</v>
      </c>
      <c r="D103" t="s">
        <v>916</v>
      </c>
    </row>
    <row r="104" spans="1:4" x14ac:dyDescent="0.25">
      <c r="A104" t="s">
        <v>835</v>
      </c>
      <c r="B104" t="s">
        <v>287</v>
      </c>
      <c r="D104" t="s">
        <v>363</v>
      </c>
    </row>
    <row r="105" spans="1:4" x14ac:dyDescent="0.25">
      <c r="A105" t="s">
        <v>364</v>
      </c>
      <c r="B105" t="s">
        <v>314</v>
      </c>
      <c r="C105" t="s">
        <v>365</v>
      </c>
      <c r="D105" t="s">
        <v>366</v>
      </c>
    </row>
    <row r="106" spans="1:4" x14ac:dyDescent="0.25">
      <c r="A106" t="s">
        <v>925</v>
      </c>
      <c r="B106" t="s">
        <v>239</v>
      </c>
      <c r="D106" t="s">
        <v>926</v>
      </c>
    </row>
    <row r="107" spans="1:4" x14ac:dyDescent="0.25">
      <c r="A107" t="s">
        <v>367</v>
      </c>
      <c r="B107" t="s">
        <v>368</v>
      </c>
      <c r="D107" t="s">
        <v>369</v>
      </c>
    </row>
    <row r="108" spans="1:4" x14ac:dyDescent="0.25">
      <c r="A108" t="s">
        <v>370</v>
      </c>
      <c r="B108" t="s">
        <v>243</v>
      </c>
      <c r="D108" t="s">
        <v>371</v>
      </c>
    </row>
    <row r="109" spans="1:4" x14ac:dyDescent="0.25">
      <c r="A109" t="s">
        <v>836</v>
      </c>
      <c r="B109" t="s">
        <v>314</v>
      </c>
      <c r="C109" t="s">
        <v>837</v>
      </c>
      <c r="D109" t="s">
        <v>838</v>
      </c>
    </row>
    <row r="110" spans="1:4" x14ac:dyDescent="0.25">
      <c r="A110" t="s">
        <v>372</v>
      </c>
      <c r="B110" t="s">
        <v>226</v>
      </c>
      <c r="C110" t="s">
        <v>373</v>
      </c>
      <c r="D110" t="s">
        <v>374</v>
      </c>
    </row>
    <row r="111" spans="1:4" x14ac:dyDescent="0.25">
      <c r="A111" t="s">
        <v>375</v>
      </c>
      <c r="B111" t="s">
        <v>239</v>
      </c>
      <c r="C111" t="s">
        <v>376</v>
      </c>
      <c r="D111" t="s">
        <v>377</v>
      </c>
    </row>
    <row r="112" spans="1:4" x14ac:dyDescent="0.25">
      <c r="A112" t="s">
        <v>378</v>
      </c>
      <c r="B112" t="s">
        <v>187</v>
      </c>
      <c r="C112" t="s">
        <v>379</v>
      </c>
      <c r="D112" t="s">
        <v>380</v>
      </c>
    </row>
    <row r="113" spans="1:4" x14ac:dyDescent="0.25">
      <c r="A113" t="s">
        <v>381</v>
      </c>
      <c r="B113" t="s">
        <v>382</v>
      </c>
      <c r="C113" t="s">
        <v>383</v>
      </c>
      <c r="D113" t="s">
        <v>384</v>
      </c>
    </row>
    <row r="114" spans="1:4" x14ac:dyDescent="0.25">
      <c r="A114" t="s">
        <v>385</v>
      </c>
      <c r="B114" t="s">
        <v>187</v>
      </c>
      <c r="C114" t="s">
        <v>386</v>
      </c>
      <c r="D114" t="s">
        <v>387</v>
      </c>
    </row>
    <row r="115" spans="1:4" x14ac:dyDescent="0.25">
      <c r="A115" t="s">
        <v>839</v>
      </c>
      <c r="B115" t="s">
        <v>840</v>
      </c>
      <c r="C115" t="s">
        <v>841</v>
      </c>
      <c r="D115" t="s">
        <v>842</v>
      </c>
    </row>
    <row r="116" spans="1:4" x14ac:dyDescent="0.25">
      <c r="A116" t="s">
        <v>904</v>
      </c>
      <c r="B116" t="s">
        <v>894</v>
      </c>
      <c r="C116" t="s">
        <v>905</v>
      </c>
      <c r="D116" t="s">
        <v>906</v>
      </c>
    </row>
    <row r="117" spans="1:4" x14ac:dyDescent="0.25">
      <c r="A117" t="s">
        <v>907</v>
      </c>
      <c r="B117" t="s">
        <v>275</v>
      </c>
      <c r="C117" t="s">
        <v>908</v>
      </c>
      <c r="D117" t="s">
        <v>909</v>
      </c>
    </row>
    <row r="118" spans="1:4" x14ac:dyDescent="0.25">
      <c r="A118" t="s">
        <v>388</v>
      </c>
      <c r="B118" t="s">
        <v>389</v>
      </c>
      <c r="C118" t="s">
        <v>390</v>
      </c>
      <c r="D118" t="s">
        <v>391</v>
      </c>
    </row>
    <row r="119" spans="1:4" x14ac:dyDescent="0.25">
      <c r="A119" t="s">
        <v>843</v>
      </c>
      <c r="B119" t="s">
        <v>844</v>
      </c>
      <c r="D119" t="s">
        <v>845</v>
      </c>
    </row>
    <row r="120" spans="1:4" x14ac:dyDescent="0.25">
      <c r="A120" t="s">
        <v>846</v>
      </c>
      <c r="B120" t="s">
        <v>392</v>
      </c>
      <c r="C120" t="s">
        <v>362</v>
      </c>
      <c r="D120" t="s">
        <v>393</v>
      </c>
    </row>
    <row r="121" spans="1:4" x14ac:dyDescent="0.25">
      <c r="A121" t="s">
        <v>394</v>
      </c>
      <c r="B121" t="s">
        <v>395</v>
      </c>
      <c r="C121" t="s">
        <v>278</v>
      </c>
      <c r="D121" t="s">
        <v>396</v>
      </c>
    </row>
    <row r="122" spans="1:4" x14ac:dyDescent="0.25">
      <c r="A122" t="s">
        <v>397</v>
      </c>
      <c r="B122" t="s">
        <v>398</v>
      </c>
      <c r="D122" t="s">
        <v>399</v>
      </c>
    </row>
    <row r="123" spans="1:4" x14ac:dyDescent="0.25">
      <c r="A123" t="s">
        <v>400</v>
      </c>
      <c r="B123" s="55">
        <v>0.14000000000000001</v>
      </c>
      <c r="C123" t="s">
        <v>401</v>
      </c>
      <c r="D123" t="s">
        <v>402</v>
      </c>
    </row>
    <row r="124" spans="1:4" x14ac:dyDescent="0.25">
      <c r="A124" t="s">
        <v>403</v>
      </c>
      <c r="B124" t="s">
        <v>404</v>
      </c>
      <c r="C124" t="s">
        <v>405</v>
      </c>
      <c r="D124" t="s">
        <v>406</v>
      </c>
    </row>
    <row r="125" spans="1:4" x14ac:dyDescent="0.25">
      <c r="A125" t="s">
        <v>882</v>
      </c>
      <c r="B125" t="s">
        <v>872</v>
      </c>
      <c r="C125" t="s">
        <v>278</v>
      </c>
      <c r="D125" t="s">
        <v>883</v>
      </c>
    </row>
    <row r="126" spans="1:4" x14ac:dyDescent="0.25">
      <c r="A126" t="s">
        <v>407</v>
      </c>
      <c r="B126" t="s">
        <v>250</v>
      </c>
      <c r="C126" t="s">
        <v>408</v>
      </c>
      <c r="D126" t="s">
        <v>409</v>
      </c>
    </row>
    <row r="127" spans="1:4" x14ac:dyDescent="0.25">
      <c r="A127" t="s">
        <v>410</v>
      </c>
      <c r="B127" t="s">
        <v>411</v>
      </c>
      <c r="C127" t="s">
        <v>412</v>
      </c>
      <c r="D127" t="s">
        <v>413</v>
      </c>
    </row>
    <row r="128" spans="1:4" x14ac:dyDescent="0.25">
      <c r="A128" t="s">
        <v>847</v>
      </c>
      <c r="B128" t="s">
        <v>414</v>
      </c>
      <c r="C128" t="s">
        <v>214</v>
      </c>
      <c r="D128" t="s">
        <v>415</v>
      </c>
    </row>
    <row r="129" spans="1:4" x14ac:dyDescent="0.25">
      <c r="A129" t="s">
        <v>848</v>
      </c>
      <c r="B129" t="s">
        <v>849</v>
      </c>
      <c r="D129" t="s">
        <v>850</v>
      </c>
    </row>
    <row r="130" spans="1:4" x14ac:dyDescent="0.25">
      <c r="A130" t="s">
        <v>416</v>
      </c>
      <c r="B130" t="s">
        <v>168</v>
      </c>
      <c r="C130" t="s">
        <v>417</v>
      </c>
      <c r="D130" t="s">
        <v>418</v>
      </c>
    </row>
    <row r="131" spans="1:4" x14ac:dyDescent="0.25">
      <c r="A131" t="s">
        <v>419</v>
      </c>
      <c r="B131" t="s">
        <v>420</v>
      </c>
      <c r="C131" t="s">
        <v>421</v>
      </c>
      <c r="D131" t="s">
        <v>422</v>
      </c>
    </row>
    <row r="132" spans="1:4" x14ac:dyDescent="0.25">
      <c r="A132" t="s">
        <v>423</v>
      </c>
      <c r="B132" t="s">
        <v>424</v>
      </c>
      <c r="C132" t="s">
        <v>425</v>
      </c>
      <c r="D132" t="s">
        <v>426</v>
      </c>
    </row>
    <row r="133" spans="1:4" x14ac:dyDescent="0.25">
      <c r="A133" t="s">
        <v>851</v>
      </c>
      <c r="B133" t="s">
        <v>172</v>
      </c>
      <c r="D133" t="s">
        <v>852</v>
      </c>
    </row>
    <row r="134" spans="1:4" x14ac:dyDescent="0.25">
      <c r="A134" t="s">
        <v>853</v>
      </c>
      <c r="B134" s="56">
        <v>3.4000000000000002E-2</v>
      </c>
      <c r="C134" t="s">
        <v>383</v>
      </c>
      <c r="D134" t="s">
        <v>854</v>
      </c>
    </row>
    <row r="135" spans="1:4" x14ac:dyDescent="0.25">
      <c r="A135" t="s">
        <v>855</v>
      </c>
      <c r="B135" t="s">
        <v>856</v>
      </c>
      <c r="D135" t="s">
        <v>857</v>
      </c>
    </row>
    <row r="136" spans="1:4" x14ac:dyDescent="0.25">
      <c r="A136" t="s">
        <v>858</v>
      </c>
      <c r="B136" t="s">
        <v>149</v>
      </c>
      <c r="C136" t="s">
        <v>859</v>
      </c>
      <c r="D136" t="s">
        <v>860</v>
      </c>
    </row>
    <row r="137" spans="1:4" x14ac:dyDescent="0.25">
      <c r="A137" t="s">
        <v>861</v>
      </c>
      <c r="B137" t="s">
        <v>414</v>
      </c>
      <c r="C137" t="s">
        <v>304</v>
      </c>
      <c r="D137" t="s">
        <v>363</v>
      </c>
    </row>
    <row r="138" spans="1:4" x14ac:dyDescent="0.25">
      <c r="A138" s="23" t="s">
        <v>1594</v>
      </c>
      <c r="B138" t="s">
        <v>168</v>
      </c>
      <c r="C138" t="s">
        <v>896</v>
      </c>
      <c r="D138" t="s">
        <v>897</v>
      </c>
    </row>
    <row r="139" spans="1:4" x14ac:dyDescent="0.25">
      <c r="A139" t="s">
        <v>427</v>
      </c>
      <c r="B139" t="s">
        <v>428</v>
      </c>
      <c r="C139" t="s">
        <v>429</v>
      </c>
      <c r="D139" t="s">
        <v>430</v>
      </c>
    </row>
    <row r="140" spans="1:4" x14ac:dyDescent="0.25">
      <c r="A140" t="s">
        <v>431</v>
      </c>
      <c r="B140" t="s">
        <v>321</v>
      </c>
      <c r="D140" t="s">
        <v>432</v>
      </c>
    </row>
    <row r="141" spans="1:4" x14ac:dyDescent="0.25">
      <c r="A141" t="s">
        <v>165</v>
      </c>
      <c r="B141" t="s">
        <v>289</v>
      </c>
      <c r="C141" t="s">
        <v>214</v>
      </c>
      <c r="D141" t="s">
        <v>433</v>
      </c>
    </row>
  </sheetData>
  <sheetProtection sheet="1" objects="1" scenarios="1"/>
  <sortState ref="A2:D1211">
    <sortCondition ref="A2:A121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242"/>
  <sheetViews>
    <sheetView workbookViewId="0">
      <pane ySplit="1" topLeftCell="A221" activePane="bottomLeft" state="frozen"/>
      <selection pane="bottomLeft" activeCell="I262" sqref="I262"/>
    </sheetView>
  </sheetViews>
  <sheetFormatPr defaultRowHeight="13.2" x14ac:dyDescent="0.25"/>
  <cols>
    <col min="1" max="1" width="36.109375" bestFit="1" customWidth="1"/>
    <col min="2" max="2" width="7.44140625" bestFit="1" customWidth="1"/>
    <col min="3" max="3" width="17" bestFit="1" customWidth="1"/>
    <col min="4" max="4" width="9.109375" bestFit="1" customWidth="1"/>
    <col min="5" max="5" width="11.109375" customWidth="1"/>
    <col min="6" max="6" width="11.77734375" bestFit="1" customWidth="1"/>
    <col min="7" max="7" width="7.21875" style="101" customWidth="1"/>
    <col min="8" max="8" width="7.88671875" style="101" customWidth="1"/>
    <col min="9" max="9" width="136.21875" bestFit="1" customWidth="1"/>
  </cols>
  <sheetData>
    <row r="1" spans="1:9" ht="34.200000000000003" customHeight="1" x14ac:dyDescent="0.25">
      <c r="A1" s="54" t="s">
        <v>1168</v>
      </c>
      <c r="B1" s="54" t="s">
        <v>66</v>
      </c>
      <c r="C1" s="54" t="s">
        <v>434</v>
      </c>
      <c r="D1" s="54" t="s">
        <v>435</v>
      </c>
      <c r="E1" s="54" t="s">
        <v>1169</v>
      </c>
      <c r="F1" s="54" t="s">
        <v>1195</v>
      </c>
      <c r="G1" s="103" t="s">
        <v>1317</v>
      </c>
      <c r="H1" s="103" t="s">
        <v>1318</v>
      </c>
      <c r="I1" s="54" t="s">
        <v>67</v>
      </c>
    </row>
    <row r="2" spans="1:9" x14ac:dyDescent="0.25">
      <c r="A2" s="23" t="s">
        <v>1689</v>
      </c>
      <c r="B2" s="23" t="s">
        <v>436</v>
      </c>
      <c r="C2" s="23" t="s">
        <v>1690</v>
      </c>
      <c r="D2" s="23" t="s">
        <v>445</v>
      </c>
      <c r="E2" s="23" t="s">
        <v>1691</v>
      </c>
      <c r="F2" s="171">
        <v>0.74</v>
      </c>
      <c r="G2" s="163">
        <v>62</v>
      </c>
      <c r="H2" s="104">
        <v>70</v>
      </c>
      <c r="I2" s="23" t="s">
        <v>1692</v>
      </c>
    </row>
    <row r="3" spans="1:9" x14ac:dyDescent="0.25">
      <c r="A3" s="23" t="s">
        <v>1693</v>
      </c>
      <c r="B3" s="23" t="s">
        <v>436</v>
      </c>
      <c r="C3" s="23" t="s">
        <v>1690</v>
      </c>
      <c r="D3" s="23" t="s">
        <v>438</v>
      </c>
      <c r="E3" s="23" t="s">
        <v>1694</v>
      </c>
      <c r="F3" s="171">
        <v>0.73499999999999999</v>
      </c>
      <c r="G3" s="101">
        <v>62</v>
      </c>
      <c r="H3" s="104">
        <v>70</v>
      </c>
      <c r="I3" s="23" t="s">
        <v>1695</v>
      </c>
    </row>
    <row r="4" spans="1:9" x14ac:dyDescent="0.25">
      <c r="A4" s="23" t="s">
        <v>1696</v>
      </c>
      <c r="B4" s="23" t="s">
        <v>436</v>
      </c>
      <c r="C4" s="23" t="s">
        <v>1690</v>
      </c>
      <c r="D4" t="s">
        <v>452</v>
      </c>
      <c r="E4" s="23" t="s">
        <v>1256</v>
      </c>
      <c r="F4" s="171">
        <v>0.75</v>
      </c>
      <c r="G4" s="101">
        <v>60</v>
      </c>
      <c r="H4" s="104">
        <v>72</v>
      </c>
      <c r="I4" s="23" t="s">
        <v>1697</v>
      </c>
    </row>
    <row r="5" spans="1:9" x14ac:dyDescent="0.25">
      <c r="A5" s="23" t="s">
        <v>1698</v>
      </c>
      <c r="B5" s="23" t="s">
        <v>436</v>
      </c>
      <c r="C5" s="23" t="s">
        <v>1690</v>
      </c>
      <c r="D5" s="23" t="s">
        <v>560</v>
      </c>
      <c r="E5" s="23" t="s">
        <v>1699</v>
      </c>
      <c r="F5" s="171">
        <v>0.71499999999999997</v>
      </c>
      <c r="G5" s="101">
        <v>64</v>
      </c>
      <c r="H5" s="104">
        <v>70</v>
      </c>
      <c r="I5" s="23" t="s">
        <v>1700</v>
      </c>
    </row>
    <row r="6" spans="1:9" x14ac:dyDescent="0.25">
      <c r="A6" s="23" t="s">
        <v>1701</v>
      </c>
      <c r="B6" s="23" t="s">
        <v>436</v>
      </c>
      <c r="C6" s="23" t="s">
        <v>1690</v>
      </c>
      <c r="D6" s="23" t="s">
        <v>438</v>
      </c>
      <c r="E6" s="23" t="s">
        <v>579</v>
      </c>
      <c r="F6" s="171">
        <v>0.73</v>
      </c>
      <c r="G6" s="163">
        <v>62</v>
      </c>
      <c r="H6" s="104">
        <v>72</v>
      </c>
      <c r="I6" s="23" t="s">
        <v>1702</v>
      </c>
    </row>
    <row r="7" spans="1:9" x14ac:dyDescent="0.25">
      <c r="A7" s="23" t="s">
        <v>1703</v>
      </c>
      <c r="B7" s="23" t="s">
        <v>436</v>
      </c>
      <c r="C7" s="23" t="s">
        <v>1690</v>
      </c>
      <c r="D7" s="23" t="s">
        <v>438</v>
      </c>
      <c r="E7" s="23" t="s">
        <v>458</v>
      </c>
      <c r="F7" s="171">
        <v>0.74</v>
      </c>
      <c r="G7" s="163">
        <v>60</v>
      </c>
      <c r="H7" s="104">
        <v>72</v>
      </c>
      <c r="I7" s="23" t="s">
        <v>1704</v>
      </c>
    </row>
    <row r="8" spans="1:9" x14ac:dyDescent="0.25">
      <c r="A8" s="23" t="s">
        <v>1705</v>
      </c>
      <c r="B8" s="23" t="s">
        <v>436</v>
      </c>
      <c r="C8" s="23" t="s">
        <v>1690</v>
      </c>
      <c r="D8" s="23" t="s">
        <v>441</v>
      </c>
      <c r="E8" s="23" t="s">
        <v>453</v>
      </c>
      <c r="F8" s="171">
        <v>0.75</v>
      </c>
      <c r="G8" s="163">
        <v>60</v>
      </c>
      <c r="H8" s="104">
        <v>70</v>
      </c>
      <c r="I8" s="23" t="s">
        <v>1706</v>
      </c>
    </row>
    <row r="9" spans="1:9" x14ac:dyDescent="0.25">
      <c r="A9" s="23" t="s">
        <v>1707</v>
      </c>
      <c r="B9" s="23" t="s">
        <v>436</v>
      </c>
      <c r="C9" s="23" t="s">
        <v>1690</v>
      </c>
      <c r="D9" s="23" t="s">
        <v>447</v>
      </c>
      <c r="E9" s="23" t="s">
        <v>464</v>
      </c>
      <c r="F9" s="171">
        <v>0.76</v>
      </c>
      <c r="G9" s="163">
        <v>67</v>
      </c>
      <c r="H9" s="104">
        <v>80</v>
      </c>
      <c r="I9" s="23" t="s">
        <v>1708</v>
      </c>
    </row>
    <row r="10" spans="1:9" x14ac:dyDescent="0.25">
      <c r="A10" s="23" t="s">
        <v>1709</v>
      </c>
      <c r="B10" s="23" t="s">
        <v>436</v>
      </c>
      <c r="C10" s="23" t="s">
        <v>1690</v>
      </c>
      <c r="D10" s="23" t="s">
        <v>438</v>
      </c>
      <c r="E10" s="23" t="s">
        <v>464</v>
      </c>
      <c r="F10" s="171">
        <v>0.76</v>
      </c>
      <c r="G10" s="163">
        <v>64</v>
      </c>
      <c r="H10" s="104">
        <v>74</v>
      </c>
      <c r="I10" s="23" t="s">
        <v>1710</v>
      </c>
    </row>
    <row r="11" spans="1:9" x14ac:dyDescent="0.25">
      <c r="A11" s="23" t="s">
        <v>1711</v>
      </c>
      <c r="B11" s="23" t="s">
        <v>436</v>
      </c>
      <c r="C11" s="23" t="s">
        <v>1690</v>
      </c>
      <c r="D11" s="23" t="s">
        <v>438</v>
      </c>
      <c r="E11" s="23" t="s">
        <v>448</v>
      </c>
      <c r="F11" s="171">
        <v>0.72499999999999998</v>
      </c>
      <c r="G11" s="163">
        <v>65</v>
      </c>
      <c r="H11" s="104">
        <v>70</v>
      </c>
      <c r="I11" s="23" t="s">
        <v>1712</v>
      </c>
    </row>
    <row r="12" spans="1:9" x14ac:dyDescent="0.25">
      <c r="A12" s="23" t="s">
        <v>1713</v>
      </c>
      <c r="B12" s="23" t="s">
        <v>436</v>
      </c>
      <c r="C12" s="23" t="s">
        <v>1690</v>
      </c>
      <c r="D12" s="23" t="s">
        <v>438</v>
      </c>
      <c r="E12" s="23" t="s">
        <v>1714</v>
      </c>
      <c r="F12" s="171">
        <v>0.74</v>
      </c>
      <c r="G12" s="163">
        <v>64</v>
      </c>
      <c r="H12" s="104">
        <v>74</v>
      </c>
      <c r="I12" s="23" t="s">
        <v>1715</v>
      </c>
    </row>
    <row r="13" spans="1:9" x14ac:dyDescent="0.25">
      <c r="A13" t="s">
        <v>997</v>
      </c>
      <c r="B13" t="s">
        <v>511</v>
      </c>
      <c r="C13" t="s">
        <v>934</v>
      </c>
      <c r="D13" t="s">
        <v>447</v>
      </c>
      <c r="E13" t="s">
        <v>445</v>
      </c>
      <c r="F13" s="69"/>
      <c r="G13" s="51">
        <v>63</v>
      </c>
      <c r="H13" s="104">
        <v>77</v>
      </c>
      <c r="I13" t="s">
        <v>998</v>
      </c>
    </row>
    <row r="14" spans="1:9" x14ac:dyDescent="0.25">
      <c r="A14" t="s">
        <v>440</v>
      </c>
      <c r="B14" t="s">
        <v>436</v>
      </c>
      <c r="C14" t="s">
        <v>437</v>
      </c>
      <c r="D14" t="s">
        <v>441</v>
      </c>
      <c r="E14" t="s">
        <v>439</v>
      </c>
      <c r="F14" s="69">
        <v>0.77500000000000002</v>
      </c>
      <c r="G14" s="163">
        <v>66</v>
      </c>
      <c r="H14" s="104">
        <v>72</v>
      </c>
      <c r="I14" t="s">
        <v>442</v>
      </c>
    </row>
    <row r="15" spans="1:9" x14ac:dyDescent="0.25">
      <c r="A15" t="s">
        <v>999</v>
      </c>
      <c r="B15" t="s">
        <v>436</v>
      </c>
      <c r="C15" t="s">
        <v>437</v>
      </c>
      <c r="D15" t="s">
        <v>438</v>
      </c>
      <c r="E15" t="s">
        <v>438</v>
      </c>
      <c r="F15" s="69">
        <v>0.78</v>
      </c>
      <c r="G15" s="163">
        <v>66</v>
      </c>
      <c r="H15" s="104">
        <v>72</v>
      </c>
      <c r="I15" t="s">
        <v>1000</v>
      </c>
    </row>
    <row r="16" spans="1:9" x14ac:dyDescent="0.25">
      <c r="A16" t="s">
        <v>443</v>
      </c>
      <c r="B16" t="s">
        <v>436</v>
      </c>
      <c r="C16" t="s">
        <v>444</v>
      </c>
      <c r="D16" t="s">
        <v>438</v>
      </c>
      <c r="E16" t="s">
        <v>445</v>
      </c>
      <c r="F16" s="69"/>
      <c r="G16" s="163">
        <v>59</v>
      </c>
      <c r="H16" s="104">
        <v>68</v>
      </c>
      <c r="I16" t="s">
        <v>1157</v>
      </c>
    </row>
    <row r="17" spans="1:9" x14ac:dyDescent="0.25">
      <c r="A17" t="s">
        <v>446</v>
      </c>
      <c r="B17" t="s">
        <v>436</v>
      </c>
      <c r="C17" t="s">
        <v>437</v>
      </c>
      <c r="D17" t="s">
        <v>447</v>
      </c>
      <c r="E17" t="s">
        <v>448</v>
      </c>
      <c r="F17" s="69">
        <v>0.72499999999999998</v>
      </c>
      <c r="G17" s="163">
        <v>65</v>
      </c>
      <c r="H17" s="104">
        <v>69</v>
      </c>
      <c r="I17" t="s">
        <v>449</v>
      </c>
    </row>
    <row r="18" spans="1:9" x14ac:dyDescent="0.25">
      <c r="A18" t="s">
        <v>450</v>
      </c>
      <c r="B18" t="s">
        <v>436</v>
      </c>
      <c r="C18" t="s">
        <v>451</v>
      </c>
      <c r="D18" t="s">
        <v>452</v>
      </c>
      <c r="E18" t="s">
        <v>453</v>
      </c>
      <c r="F18" s="69">
        <v>0.75</v>
      </c>
      <c r="G18" s="163">
        <v>60</v>
      </c>
      <c r="H18" s="104">
        <v>72</v>
      </c>
      <c r="I18" t="s">
        <v>454</v>
      </c>
    </row>
    <row r="19" spans="1:9" x14ac:dyDescent="0.25">
      <c r="A19" t="s">
        <v>455</v>
      </c>
      <c r="B19" t="s">
        <v>436</v>
      </c>
      <c r="C19" t="s">
        <v>444</v>
      </c>
      <c r="D19" t="s">
        <v>438</v>
      </c>
      <c r="E19" t="s">
        <v>445</v>
      </c>
      <c r="F19" s="69"/>
      <c r="G19" s="163">
        <v>64</v>
      </c>
      <c r="H19" s="104">
        <v>72</v>
      </c>
      <c r="I19" t="s">
        <v>932</v>
      </c>
    </row>
    <row r="20" spans="1:9" x14ac:dyDescent="0.25">
      <c r="A20" t="s">
        <v>457</v>
      </c>
      <c r="B20" t="s">
        <v>436</v>
      </c>
      <c r="C20" t="s">
        <v>451</v>
      </c>
      <c r="D20" t="s">
        <v>438</v>
      </c>
      <c r="E20" t="s">
        <v>458</v>
      </c>
      <c r="F20" s="69">
        <v>0.74</v>
      </c>
      <c r="G20" s="163">
        <v>60</v>
      </c>
      <c r="H20" s="104">
        <v>72</v>
      </c>
      <c r="I20" t="s">
        <v>459</v>
      </c>
    </row>
    <row r="21" spans="1:9" x14ac:dyDescent="0.25">
      <c r="A21" t="s">
        <v>460</v>
      </c>
      <c r="B21" t="s">
        <v>436</v>
      </c>
      <c r="C21" t="s">
        <v>437</v>
      </c>
      <c r="D21" t="s">
        <v>438</v>
      </c>
      <c r="E21" t="s">
        <v>461</v>
      </c>
      <c r="F21" s="69">
        <v>0.75</v>
      </c>
      <c r="G21" s="163">
        <v>68</v>
      </c>
      <c r="H21" s="104">
        <v>72</v>
      </c>
      <c r="I21" t="s">
        <v>462</v>
      </c>
    </row>
    <row r="22" spans="1:9" x14ac:dyDescent="0.25">
      <c r="A22" t="s">
        <v>1001</v>
      </c>
      <c r="B22" t="s">
        <v>436</v>
      </c>
      <c r="C22" t="s">
        <v>437</v>
      </c>
      <c r="D22" t="s">
        <v>438</v>
      </c>
      <c r="E22" t="s">
        <v>438</v>
      </c>
      <c r="F22" s="69">
        <v>0.78500000000000003</v>
      </c>
      <c r="G22" s="163">
        <v>68</v>
      </c>
      <c r="H22" s="104">
        <v>72</v>
      </c>
      <c r="I22" t="s">
        <v>1002</v>
      </c>
    </row>
    <row r="23" spans="1:9" x14ac:dyDescent="0.25">
      <c r="A23" t="s">
        <v>965</v>
      </c>
      <c r="B23" t="s">
        <v>436</v>
      </c>
      <c r="C23" t="s">
        <v>444</v>
      </c>
      <c r="D23" t="s">
        <v>445</v>
      </c>
      <c r="E23" t="s">
        <v>438</v>
      </c>
      <c r="F23" s="69"/>
      <c r="G23" s="163">
        <v>68</v>
      </c>
      <c r="H23" s="104">
        <v>72</v>
      </c>
      <c r="I23" t="s">
        <v>966</v>
      </c>
    </row>
    <row r="24" spans="1:9" x14ac:dyDescent="0.25">
      <c r="A24" t="s">
        <v>967</v>
      </c>
      <c r="B24" t="s">
        <v>436</v>
      </c>
      <c r="C24" t="s">
        <v>451</v>
      </c>
      <c r="D24" t="s">
        <v>438</v>
      </c>
      <c r="E24" t="s">
        <v>439</v>
      </c>
      <c r="F24" s="69">
        <v>0.77500000000000002</v>
      </c>
      <c r="G24" s="163">
        <v>48</v>
      </c>
      <c r="H24" s="104">
        <v>58</v>
      </c>
      <c r="I24" t="s">
        <v>968</v>
      </c>
    </row>
    <row r="25" spans="1:9" x14ac:dyDescent="0.25">
      <c r="A25" t="s">
        <v>969</v>
      </c>
      <c r="B25" t="s">
        <v>436</v>
      </c>
      <c r="C25" t="s">
        <v>437</v>
      </c>
      <c r="D25" t="s">
        <v>438</v>
      </c>
      <c r="E25" t="s">
        <v>439</v>
      </c>
      <c r="F25" s="69">
        <v>0.77500000000000002</v>
      </c>
      <c r="G25" s="163">
        <v>50</v>
      </c>
      <c r="H25" s="104">
        <v>55</v>
      </c>
      <c r="I25" t="s">
        <v>970</v>
      </c>
    </row>
    <row r="26" spans="1:9" x14ac:dyDescent="0.25">
      <c r="A26" t="s">
        <v>933</v>
      </c>
      <c r="B26" t="s">
        <v>511</v>
      </c>
      <c r="C26" t="s">
        <v>934</v>
      </c>
      <c r="D26" t="s">
        <v>438</v>
      </c>
      <c r="E26" t="s">
        <v>438</v>
      </c>
      <c r="F26" s="69"/>
      <c r="G26" s="163">
        <v>59</v>
      </c>
      <c r="H26" s="104">
        <v>72</v>
      </c>
      <c r="I26" t="s">
        <v>456</v>
      </c>
    </row>
    <row r="27" spans="1:9" x14ac:dyDescent="0.25">
      <c r="A27" t="s">
        <v>463</v>
      </c>
      <c r="B27" t="s">
        <v>436</v>
      </c>
      <c r="C27" t="s">
        <v>451</v>
      </c>
      <c r="D27" t="s">
        <v>447</v>
      </c>
      <c r="E27" t="s">
        <v>464</v>
      </c>
      <c r="F27" s="69">
        <v>0.76</v>
      </c>
      <c r="G27" s="163">
        <v>58</v>
      </c>
      <c r="H27" s="104">
        <v>74</v>
      </c>
      <c r="I27" t="s">
        <v>465</v>
      </c>
    </row>
    <row r="28" spans="1:9" x14ac:dyDescent="0.25">
      <c r="A28" t="s">
        <v>1110</v>
      </c>
      <c r="B28" t="s">
        <v>436</v>
      </c>
      <c r="C28" t="s">
        <v>437</v>
      </c>
      <c r="D28" t="s">
        <v>438</v>
      </c>
      <c r="E28" t="s">
        <v>1111</v>
      </c>
      <c r="F28" s="69">
        <v>0.79</v>
      </c>
      <c r="G28" s="163">
        <v>75</v>
      </c>
      <c r="H28" s="104">
        <v>82</v>
      </c>
      <c r="I28" t="s">
        <v>1112</v>
      </c>
    </row>
    <row r="29" spans="1:9" x14ac:dyDescent="0.25">
      <c r="A29" t="s">
        <v>1003</v>
      </c>
      <c r="B29" t="s">
        <v>436</v>
      </c>
      <c r="C29" t="s">
        <v>437</v>
      </c>
      <c r="D29" t="s">
        <v>438</v>
      </c>
      <c r="E29" t="s">
        <v>438</v>
      </c>
      <c r="F29" s="69">
        <v>0.76500000000000001</v>
      </c>
      <c r="G29" s="163">
        <v>67</v>
      </c>
      <c r="H29" s="104">
        <v>70</v>
      </c>
      <c r="I29" t="s">
        <v>1004</v>
      </c>
    </row>
    <row r="30" spans="1:9" x14ac:dyDescent="0.25">
      <c r="A30" t="s">
        <v>466</v>
      </c>
      <c r="B30" t="s">
        <v>436</v>
      </c>
      <c r="C30" t="s">
        <v>437</v>
      </c>
      <c r="D30" t="s">
        <v>445</v>
      </c>
      <c r="E30" t="s">
        <v>448</v>
      </c>
      <c r="F30" s="69">
        <v>0.72499999999999998</v>
      </c>
      <c r="G30" s="163">
        <v>65</v>
      </c>
      <c r="H30" s="104">
        <v>70</v>
      </c>
      <c r="I30" t="s">
        <v>467</v>
      </c>
    </row>
    <row r="31" spans="1:9" x14ac:dyDescent="0.25">
      <c r="A31" s="23" t="s">
        <v>1722</v>
      </c>
      <c r="B31" s="23" t="s">
        <v>436</v>
      </c>
      <c r="C31" s="23" t="s">
        <v>1690</v>
      </c>
      <c r="D31" s="23" t="s">
        <v>452</v>
      </c>
      <c r="E31" s="23" t="s">
        <v>1714</v>
      </c>
      <c r="F31" s="171">
        <v>0.74</v>
      </c>
      <c r="G31" s="163">
        <v>62</v>
      </c>
      <c r="H31" s="104">
        <v>72</v>
      </c>
      <c r="I31" s="23" t="s">
        <v>1723</v>
      </c>
    </row>
    <row r="32" spans="1:9" x14ac:dyDescent="0.25">
      <c r="A32" s="23" t="s">
        <v>1724</v>
      </c>
      <c r="B32" s="23" t="s">
        <v>436</v>
      </c>
      <c r="C32" s="23" t="s">
        <v>1690</v>
      </c>
      <c r="D32" s="23" t="s">
        <v>441</v>
      </c>
      <c r="E32" s="23" t="s">
        <v>1714</v>
      </c>
      <c r="F32" s="171">
        <v>0.74</v>
      </c>
      <c r="G32" s="163">
        <v>65</v>
      </c>
      <c r="H32" s="104">
        <v>75</v>
      </c>
      <c r="I32" s="23" t="s">
        <v>1725</v>
      </c>
    </row>
    <row r="33" spans="1:9" x14ac:dyDescent="0.25">
      <c r="A33" s="23" t="s">
        <v>1726</v>
      </c>
      <c r="B33" s="23" t="s">
        <v>436</v>
      </c>
      <c r="C33" s="23" t="s">
        <v>1690</v>
      </c>
      <c r="D33" s="23" t="s">
        <v>438</v>
      </c>
      <c r="E33" s="23" t="s">
        <v>1271</v>
      </c>
      <c r="F33" s="171">
        <v>0.76</v>
      </c>
      <c r="G33" s="101">
        <v>65</v>
      </c>
      <c r="H33" s="104">
        <v>77</v>
      </c>
      <c r="I33" s="23" t="s">
        <v>1727</v>
      </c>
    </row>
    <row r="34" spans="1:9" x14ac:dyDescent="0.25">
      <c r="A34" s="23" t="s">
        <v>1728</v>
      </c>
      <c r="B34" s="23" t="s">
        <v>436</v>
      </c>
      <c r="C34" s="23" t="s">
        <v>1690</v>
      </c>
      <c r="D34" s="23" t="s">
        <v>438</v>
      </c>
      <c r="E34" s="23" t="s">
        <v>1729</v>
      </c>
      <c r="F34" s="171">
        <v>0.745</v>
      </c>
      <c r="G34" s="101">
        <v>65</v>
      </c>
      <c r="H34" s="104">
        <v>75</v>
      </c>
      <c r="I34" s="23" t="s">
        <v>1730</v>
      </c>
    </row>
    <row r="35" spans="1:9" x14ac:dyDescent="0.25">
      <c r="A35" s="23" t="s">
        <v>1731</v>
      </c>
      <c r="B35" s="23" t="s">
        <v>436</v>
      </c>
      <c r="C35" s="23" t="s">
        <v>1690</v>
      </c>
      <c r="D35" s="23" t="s">
        <v>438</v>
      </c>
      <c r="E35" s="23" t="s">
        <v>1714</v>
      </c>
      <c r="F35" s="171">
        <v>0.74</v>
      </c>
      <c r="G35" s="101">
        <v>68</v>
      </c>
      <c r="H35" s="104">
        <v>80</v>
      </c>
      <c r="I35" s="23" t="s">
        <v>1732</v>
      </c>
    </row>
    <row r="36" spans="1:9" x14ac:dyDescent="0.25">
      <c r="A36" s="23" t="s">
        <v>1733</v>
      </c>
      <c r="B36" s="23" t="s">
        <v>436</v>
      </c>
      <c r="C36" s="23" t="s">
        <v>1690</v>
      </c>
      <c r="D36" s="23" t="s">
        <v>438</v>
      </c>
      <c r="E36" s="23" t="s">
        <v>1271</v>
      </c>
      <c r="F36" s="171">
        <v>0.76</v>
      </c>
      <c r="G36" s="101">
        <v>68</v>
      </c>
      <c r="H36" s="104">
        <v>78</v>
      </c>
      <c r="I36" s="23" t="s">
        <v>1734</v>
      </c>
    </row>
    <row r="37" spans="1:9" x14ac:dyDescent="0.25">
      <c r="A37" s="23" t="s">
        <v>1735</v>
      </c>
      <c r="B37" s="23" t="s">
        <v>436</v>
      </c>
      <c r="C37" s="23" t="s">
        <v>1690</v>
      </c>
      <c r="D37" s="23" t="s">
        <v>447</v>
      </c>
      <c r="E37" s="23" t="s">
        <v>1273</v>
      </c>
      <c r="F37" s="171">
        <v>0.8</v>
      </c>
      <c r="G37" s="101">
        <v>65</v>
      </c>
      <c r="H37" s="104">
        <v>78</v>
      </c>
      <c r="I37" s="23" t="s">
        <v>1736</v>
      </c>
    </row>
    <row r="38" spans="1:9" x14ac:dyDescent="0.25">
      <c r="A38" t="s">
        <v>1150</v>
      </c>
      <c r="B38" t="s">
        <v>436</v>
      </c>
      <c r="C38" t="s">
        <v>949</v>
      </c>
      <c r="D38" t="s">
        <v>438</v>
      </c>
      <c r="E38" t="s">
        <v>438</v>
      </c>
      <c r="F38" s="69"/>
      <c r="G38" s="101">
        <v>75</v>
      </c>
      <c r="H38" s="104">
        <v>78</v>
      </c>
      <c r="I38" t="s">
        <v>1151</v>
      </c>
    </row>
    <row r="39" spans="1:9" x14ac:dyDescent="0.25">
      <c r="A39" t="s">
        <v>468</v>
      </c>
      <c r="B39" t="s">
        <v>436</v>
      </c>
      <c r="C39" t="s">
        <v>437</v>
      </c>
      <c r="D39" t="s">
        <v>438</v>
      </c>
      <c r="E39" t="s">
        <v>469</v>
      </c>
      <c r="F39" s="69">
        <v>0.77</v>
      </c>
      <c r="G39" s="101">
        <v>66</v>
      </c>
      <c r="H39" s="104">
        <v>72</v>
      </c>
      <c r="I39" t="s">
        <v>470</v>
      </c>
    </row>
    <row r="40" spans="1:9" x14ac:dyDescent="0.25">
      <c r="A40" t="s">
        <v>1078</v>
      </c>
      <c r="B40" t="s">
        <v>436</v>
      </c>
      <c r="C40" t="s">
        <v>451</v>
      </c>
      <c r="D40" t="s">
        <v>438</v>
      </c>
      <c r="E40" t="s">
        <v>453</v>
      </c>
      <c r="F40" s="69">
        <v>0.75</v>
      </c>
      <c r="G40" s="101">
        <v>46</v>
      </c>
      <c r="H40" s="104">
        <v>58</v>
      </c>
      <c r="I40" t="s">
        <v>1079</v>
      </c>
    </row>
    <row r="41" spans="1:9" x14ac:dyDescent="0.25">
      <c r="A41" t="s">
        <v>471</v>
      </c>
      <c r="B41" t="s">
        <v>436</v>
      </c>
      <c r="C41" t="s">
        <v>437</v>
      </c>
      <c r="D41" t="s">
        <v>447</v>
      </c>
      <c r="E41" t="s">
        <v>453</v>
      </c>
      <c r="F41" s="69">
        <v>0.75</v>
      </c>
      <c r="G41" s="101">
        <v>66</v>
      </c>
      <c r="H41" s="104">
        <v>70</v>
      </c>
      <c r="I41" t="s">
        <v>472</v>
      </c>
    </row>
    <row r="42" spans="1:9" x14ac:dyDescent="0.25">
      <c r="A42" t="s">
        <v>473</v>
      </c>
      <c r="B42" t="s">
        <v>436</v>
      </c>
      <c r="C42" t="s">
        <v>444</v>
      </c>
      <c r="D42" t="s">
        <v>445</v>
      </c>
      <c r="E42" t="s">
        <v>438</v>
      </c>
      <c r="F42" s="69"/>
      <c r="G42" s="101">
        <v>50</v>
      </c>
      <c r="H42" s="104">
        <v>57</v>
      </c>
      <c r="I42" t="s">
        <v>474</v>
      </c>
    </row>
    <row r="43" spans="1:9" x14ac:dyDescent="0.25">
      <c r="A43" t="s">
        <v>476</v>
      </c>
      <c r="B43" t="s">
        <v>436</v>
      </c>
      <c r="C43" t="s">
        <v>451</v>
      </c>
      <c r="D43" t="s">
        <v>447</v>
      </c>
      <c r="E43" t="s">
        <v>477</v>
      </c>
      <c r="F43" s="69">
        <v>0.73</v>
      </c>
      <c r="G43" s="101">
        <v>64</v>
      </c>
      <c r="H43" s="104">
        <v>75</v>
      </c>
      <c r="I43" t="s">
        <v>478</v>
      </c>
    </row>
    <row r="44" spans="1:9" x14ac:dyDescent="0.25">
      <c r="A44" t="s">
        <v>1161</v>
      </c>
      <c r="B44" t="s">
        <v>436</v>
      </c>
      <c r="C44" t="s">
        <v>451</v>
      </c>
      <c r="D44" t="s">
        <v>438</v>
      </c>
      <c r="E44" t="s">
        <v>453</v>
      </c>
      <c r="F44" s="69">
        <v>0.75</v>
      </c>
      <c r="G44" s="101">
        <v>64</v>
      </c>
      <c r="H44" s="104">
        <v>74</v>
      </c>
      <c r="I44" t="s">
        <v>475</v>
      </c>
    </row>
    <row r="45" spans="1:9" x14ac:dyDescent="0.25">
      <c r="A45" t="s">
        <v>1162</v>
      </c>
      <c r="B45" t="s">
        <v>511</v>
      </c>
      <c r="C45" t="s">
        <v>961</v>
      </c>
      <c r="D45" t="s">
        <v>447</v>
      </c>
      <c r="E45" t="s">
        <v>438</v>
      </c>
      <c r="F45" s="69"/>
      <c r="G45" s="101">
        <v>59</v>
      </c>
      <c r="H45" s="104">
        <v>86</v>
      </c>
      <c r="I45" t="s">
        <v>1163</v>
      </c>
    </row>
    <row r="46" spans="1:9" x14ac:dyDescent="0.25">
      <c r="A46" t="s">
        <v>479</v>
      </c>
      <c r="B46" t="s">
        <v>436</v>
      </c>
      <c r="C46" t="s">
        <v>437</v>
      </c>
      <c r="D46" t="s">
        <v>445</v>
      </c>
      <c r="E46" t="s">
        <v>461</v>
      </c>
      <c r="F46" s="69">
        <v>0.75</v>
      </c>
      <c r="G46" s="101">
        <v>65</v>
      </c>
      <c r="H46" s="104">
        <v>70</v>
      </c>
      <c r="I46" t="s">
        <v>480</v>
      </c>
    </row>
    <row r="47" spans="1:9" x14ac:dyDescent="0.25">
      <c r="A47" t="s">
        <v>1234</v>
      </c>
      <c r="B47" t="s">
        <v>436</v>
      </c>
      <c r="C47" t="s">
        <v>949</v>
      </c>
      <c r="D47" t="s">
        <v>438</v>
      </c>
      <c r="E47" t="s">
        <v>438</v>
      </c>
      <c r="F47" s="69">
        <v>0.75</v>
      </c>
      <c r="G47" s="101">
        <v>66</v>
      </c>
      <c r="H47" s="104">
        <v>72</v>
      </c>
      <c r="I47" t="s">
        <v>1242</v>
      </c>
    </row>
    <row r="48" spans="1:9" x14ac:dyDescent="0.25">
      <c r="A48" t="s">
        <v>1005</v>
      </c>
      <c r="B48" t="s">
        <v>436</v>
      </c>
      <c r="C48" t="s">
        <v>949</v>
      </c>
      <c r="D48" t="s">
        <v>438</v>
      </c>
      <c r="E48" t="s">
        <v>1233</v>
      </c>
      <c r="F48" s="69">
        <v>0.75</v>
      </c>
      <c r="G48" s="101">
        <v>66</v>
      </c>
      <c r="H48" s="104">
        <v>72</v>
      </c>
      <c r="I48" t="s">
        <v>1239</v>
      </c>
    </row>
    <row r="49" spans="1:9" x14ac:dyDescent="0.25">
      <c r="A49" t="s">
        <v>1075</v>
      </c>
      <c r="B49" t="s">
        <v>436</v>
      </c>
      <c r="C49" t="s">
        <v>451</v>
      </c>
      <c r="D49" t="s">
        <v>452</v>
      </c>
      <c r="E49" t="s">
        <v>464</v>
      </c>
      <c r="F49" s="69">
        <v>0.76</v>
      </c>
      <c r="G49" s="101">
        <v>68</v>
      </c>
      <c r="H49" s="104">
        <v>78</v>
      </c>
      <c r="I49" t="s">
        <v>483</v>
      </c>
    </row>
    <row r="50" spans="1:9" x14ac:dyDescent="0.25">
      <c r="A50" t="s">
        <v>481</v>
      </c>
      <c r="B50" t="s">
        <v>436</v>
      </c>
      <c r="C50" t="s">
        <v>451</v>
      </c>
      <c r="D50" t="s">
        <v>438</v>
      </c>
      <c r="E50" t="s">
        <v>453</v>
      </c>
      <c r="F50" s="69">
        <v>0.75</v>
      </c>
      <c r="G50" s="101">
        <v>65</v>
      </c>
      <c r="H50" s="104">
        <v>75</v>
      </c>
      <c r="I50" t="s">
        <v>482</v>
      </c>
    </row>
    <row r="51" spans="1:9" x14ac:dyDescent="0.25">
      <c r="A51" t="s">
        <v>484</v>
      </c>
      <c r="B51" t="s">
        <v>436</v>
      </c>
      <c r="C51" t="s">
        <v>437</v>
      </c>
      <c r="D51" t="s">
        <v>438</v>
      </c>
      <c r="E51" t="s">
        <v>485</v>
      </c>
      <c r="F51" s="69">
        <v>0.81499999999999995</v>
      </c>
      <c r="G51" s="101">
        <v>68</v>
      </c>
      <c r="H51" s="104">
        <v>78</v>
      </c>
      <c r="I51" t="s">
        <v>486</v>
      </c>
    </row>
    <row r="52" spans="1:9" x14ac:dyDescent="0.25">
      <c r="A52" t="s">
        <v>1006</v>
      </c>
      <c r="B52" t="s">
        <v>511</v>
      </c>
      <c r="C52" t="s">
        <v>961</v>
      </c>
      <c r="D52" t="s">
        <v>438</v>
      </c>
      <c r="E52" t="s">
        <v>445</v>
      </c>
      <c r="F52" s="69"/>
      <c r="G52" s="101">
        <v>79</v>
      </c>
      <c r="H52" s="104">
        <v>90</v>
      </c>
      <c r="I52" t="s">
        <v>1007</v>
      </c>
    </row>
    <row r="53" spans="1:9" x14ac:dyDescent="0.25">
      <c r="A53" t="s">
        <v>487</v>
      </c>
      <c r="B53" t="s">
        <v>436</v>
      </c>
      <c r="C53" t="s">
        <v>451</v>
      </c>
      <c r="D53" t="s">
        <v>445</v>
      </c>
      <c r="E53" t="s">
        <v>458</v>
      </c>
      <c r="F53" s="69">
        <v>0.74</v>
      </c>
      <c r="G53" s="101">
        <v>65</v>
      </c>
      <c r="H53" s="104">
        <v>85</v>
      </c>
      <c r="I53" t="s">
        <v>488</v>
      </c>
    </row>
    <row r="54" spans="1:9" x14ac:dyDescent="0.25">
      <c r="A54" t="s">
        <v>1008</v>
      </c>
      <c r="B54" t="s">
        <v>436</v>
      </c>
      <c r="C54" t="s">
        <v>451</v>
      </c>
      <c r="D54" t="s">
        <v>438</v>
      </c>
      <c r="E54" t="s">
        <v>1250</v>
      </c>
      <c r="F54" s="69">
        <v>0.76500000000000001</v>
      </c>
      <c r="G54" s="101">
        <v>65</v>
      </c>
      <c r="H54" s="104">
        <v>80</v>
      </c>
      <c r="I54" t="s">
        <v>1251</v>
      </c>
    </row>
    <row r="55" spans="1:9" x14ac:dyDescent="0.25">
      <c r="A55" t="s">
        <v>489</v>
      </c>
      <c r="B55" t="s">
        <v>436</v>
      </c>
      <c r="C55" t="s">
        <v>437</v>
      </c>
      <c r="D55" t="s">
        <v>447</v>
      </c>
      <c r="E55" t="s">
        <v>490</v>
      </c>
      <c r="F55" s="69">
        <v>0.755</v>
      </c>
      <c r="G55" s="101">
        <v>68</v>
      </c>
      <c r="H55" s="104">
        <v>75</v>
      </c>
      <c r="I55" t="s">
        <v>491</v>
      </c>
    </row>
    <row r="56" spans="1:9" x14ac:dyDescent="0.25">
      <c r="A56" t="s">
        <v>971</v>
      </c>
      <c r="B56" t="s">
        <v>436</v>
      </c>
      <c r="C56" t="s">
        <v>437</v>
      </c>
      <c r="D56" t="s">
        <v>438</v>
      </c>
      <c r="E56" t="s">
        <v>438</v>
      </c>
      <c r="F56" s="69">
        <v>0.75</v>
      </c>
      <c r="G56" s="101">
        <v>50</v>
      </c>
      <c r="H56" s="104">
        <v>55</v>
      </c>
      <c r="I56" t="s">
        <v>972</v>
      </c>
    </row>
    <row r="57" spans="1:9" x14ac:dyDescent="0.25">
      <c r="A57" t="s">
        <v>1034</v>
      </c>
      <c r="B57" t="s">
        <v>436</v>
      </c>
      <c r="C57" t="s">
        <v>451</v>
      </c>
      <c r="D57" t="s">
        <v>452</v>
      </c>
      <c r="E57" t="s">
        <v>496</v>
      </c>
      <c r="F57" s="69">
        <v>0.7</v>
      </c>
      <c r="G57" s="101">
        <v>63</v>
      </c>
      <c r="H57" s="104">
        <v>75</v>
      </c>
      <c r="I57" t="s">
        <v>1035</v>
      </c>
    </row>
    <row r="58" spans="1:9" x14ac:dyDescent="0.25">
      <c r="A58" t="s">
        <v>492</v>
      </c>
      <c r="B58" t="s">
        <v>436</v>
      </c>
      <c r="C58" t="s">
        <v>451</v>
      </c>
      <c r="D58" t="s">
        <v>447</v>
      </c>
      <c r="E58" t="s">
        <v>493</v>
      </c>
      <c r="F58" s="69">
        <v>0.78</v>
      </c>
      <c r="G58" s="101">
        <v>70</v>
      </c>
      <c r="H58" s="104">
        <v>95</v>
      </c>
      <c r="I58" t="s">
        <v>494</v>
      </c>
    </row>
    <row r="59" spans="1:9" x14ac:dyDescent="0.25">
      <c r="A59" t="s">
        <v>495</v>
      </c>
      <c r="B59" t="s">
        <v>436</v>
      </c>
      <c r="C59" t="s">
        <v>437</v>
      </c>
      <c r="D59" t="s">
        <v>438</v>
      </c>
      <c r="E59" t="s">
        <v>496</v>
      </c>
      <c r="F59" s="69">
        <v>0.7</v>
      </c>
      <c r="G59" s="101">
        <v>68</v>
      </c>
      <c r="H59" s="104">
        <v>75</v>
      </c>
      <c r="I59" t="s">
        <v>497</v>
      </c>
    </row>
    <row r="60" spans="1:9" x14ac:dyDescent="0.25">
      <c r="A60" t="s">
        <v>1009</v>
      </c>
      <c r="B60" t="s">
        <v>436</v>
      </c>
      <c r="C60" t="s">
        <v>437</v>
      </c>
      <c r="D60" t="s">
        <v>438</v>
      </c>
      <c r="E60" t="s">
        <v>445</v>
      </c>
      <c r="F60" s="69">
        <v>0.81499999999999995</v>
      </c>
      <c r="G60" s="101">
        <v>68</v>
      </c>
      <c r="H60" s="104">
        <v>78</v>
      </c>
      <c r="I60" t="s">
        <v>1010</v>
      </c>
    </row>
    <row r="61" spans="1:9" x14ac:dyDescent="0.25">
      <c r="A61" t="s">
        <v>1011</v>
      </c>
      <c r="B61" t="s">
        <v>436</v>
      </c>
      <c r="C61" t="s">
        <v>437</v>
      </c>
      <c r="D61" t="s">
        <v>452</v>
      </c>
      <c r="E61" t="s">
        <v>438</v>
      </c>
      <c r="F61" s="69"/>
      <c r="G61" s="101">
        <v>68</v>
      </c>
      <c r="H61" s="104">
        <v>75</v>
      </c>
      <c r="I61" t="s">
        <v>1012</v>
      </c>
    </row>
    <row r="62" spans="1:9" x14ac:dyDescent="0.25">
      <c r="A62" t="s">
        <v>1013</v>
      </c>
      <c r="B62" t="s">
        <v>436</v>
      </c>
      <c r="C62" t="s">
        <v>451</v>
      </c>
      <c r="D62" t="s">
        <v>438</v>
      </c>
      <c r="E62" s="69" t="s">
        <v>453</v>
      </c>
      <c r="F62" s="69">
        <v>0.75</v>
      </c>
      <c r="G62" s="101">
        <v>62</v>
      </c>
      <c r="H62" s="104">
        <v>74</v>
      </c>
      <c r="I62" t="s">
        <v>1252</v>
      </c>
    </row>
    <row r="63" spans="1:9" x14ac:dyDescent="0.25">
      <c r="A63" t="s">
        <v>1036</v>
      </c>
      <c r="B63" t="s">
        <v>436</v>
      </c>
      <c r="C63" t="s">
        <v>437</v>
      </c>
      <c r="D63" t="s">
        <v>452</v>
      </c>
      <c r="E63" t="s">
        <v>532</v>
      </c>
      <c r="F63" s="69">
        <v>0.75</v>
      </c>
      <c r="G63" s="101">
        <v>80</v>
      </c>
      <c r="H63" s="104">
        <v>85</v>
      </c>
      <c r="I63" t="s">
        <v>1037</v>
      </c>
    </row>
    <row r="64" spans="1:9" x14ac:dyDescent="0.25">
      <c r="A64" t="s">
        <v>1014</v>
      </c>
      <c r="B64" t="s">
        <v>436</v>
      </c>
      <c r="C64" t="s">
        <v>451</v>
      </c>
      <c r="D64" t="s">
        <v>438</v>
      </c>
      <c r="E64" t="s">
        <v>1253</v>
      </c>
      <c r="F64" s="69">
        <v>0.77500000000000002</v>
      </c>
      <c r="G64" s="101">
        <v>65</v>
      </c>
      <c r="H64" s="104">
        <v>75</v>
      </c>
      <c r="I64" t="s">
        <v>1254</v>
      </c>
    </row>
    <row r="65" spans="1:9" x14ac:dyDescent="0.25">
      <c r="A65" t="s">
        <v>498</v>
      </c>
      <c r="B65" t="s">
        <v>436</v>
      </c>
      <c r="C65" t="s">
        <v>451</v>
      </c>
      <c r="D65" t="s">
        <v>447</v>
      </c>
      <c r="E65" t="s">
        <v>464</v>
      </c>
      <c r="F65" s="69">
        <v>0.76</v>
      </c>
      <c r="G65" s="101">
        <v>64</v>
      </c>
      <c r="H65" s="104">
        <v>80</v>
      </c>
      <c r="I65" t="s">
        <v>499</v>
      </c>
    </row>
    <row r="66" spans="1:9" x14ac:dyDescent="0.25">
      <c r="A66" t="s">
        <v>1076</v>
      </c>
      <c r="B66" t="s">
        <v>436</v>
      </c>
      <c r="C66" t="s">
        <v>437</v>
      </c>
      <c r="D66" t="s">
        <v>438</v>
      </c>
      <c r="E66" t="s">
        <v>445</v>
      </c>
      <c r="F66" s="69">
        <v>0.81499999999999995</v>
      </c>
      <c r="G66" s="101">
        <v>66</v>
      </c>
      <c r="H66" s="104">
        <v>72</v>
      </c>
      <c r="I66" t="s">
        <v>1077</v>
      </c>
    </row>
    <row r="67" spans="1:9" x14ac:dyDescent="0.25">
      <c r="A67" t="s">
        <v>500</v>
      </c>
      <c r="B67" t="s">
        <v>436</v>
      </c>
      <c r="C67" t="s">
        <v>437</v>
      </c>
      <c r="D67" t="s">
        <v>438</v>
      </c>
      <c r="E67" t="s">
        <v>469</v>
      </c>
      <c r="F67" s="69">
        <v>0.77</v>
      </c>
      <c r="G67" s="101">
        <v>68</v>
      </c>
      <c r="H67" s="104">
        <v>75</v>
      </c>
      <c r="I67" t="s">
        <v>501</v>
      </c>
    </row>
    <row r="68" spans="1:9" x14ac:dyDescent="0.25">
      <c r="A68" t="s">
        <v>1015</v>
      </c>
      <c r="B68" t="s">
        <v>436</v>
      </c>
      <c r="C68" t="s">
        <v>437</v>
      </c>
      <c r="D68" t="s">
        <v>438</v>
      </c>
      <c r="E68" t="s">
        <v>532</v>
      </c>
      <c r="F68" s="69">
        <v>0.75</v>
      </c>
      <c r="G68" s="101">
        <v>70</v>
      </c>
      <c r="H68" s="104">
        <v>80</v>
      </c>
      <c r="I68" t="s">
        <v>1016</v>
      </c>
    </row>
    <row r="69" spans="1:9" x14ac:dyDescent="0.25">
      <c r="A69" t="s">
        <v>502</v>
      </c>
      <c r="B69" t="s">
        <v>436</v>
      </c>
      <c r="C69" t="s">
        <v>451</v>
      </c>
      <c r="D69" t="s">
        <v>438</v>
      </c>
      <c r="E69" t="s">
        <v>458</v>
      </c>
      <c r="F69" s="69">
        <v>0.74</v>
      </c>
      <c r="G69" s="101">
        <v>64</v>
      </c>
      <c r="H69" s="104">
        <v>74</v>
      </c>
      <c r="I69" t="s">
        <v>503</v>
      </c>
    </row>
    <row r="70" spans="1:9" x14ac:dyDescent="0.25">
      <c r="A70" t="s">
        <v>1017</v>
      </c>
      <c r="B70" t="s">
        <v>436</v>
      </c>
      <c r="C70" t="s">
        <v>949</v>
      </c>
      <c r="D70" t="s">
        <v>447</v>
      </c>
      <c r="E70" t="s">
        <v>438</v>
      </c>
      <c r="F70" s="69">
        <v>0.76</v>
      </c>
      <c r="G70" s="101">
        <v>72</v>
      </c>
      <c r="H70" s="104">
        <v>75</v>
      </c>
      <c r="I70" t="s">
        <v>1241</v>
      </c>
    </row>
    <row r="71" spans="1:9" x14ac:dyDescent="0.25">
      <c r="A71" t="s">
        <v>504</v>
      </c>
      <c r="B71" t="s">
        <v>436</v>
      </c>
      <c r="C71" t="s">
        <v>437</v>
      </c>
      <c r="D71" t="s">
        <v>452</v>
      </c>
      <c r="E71" t="s">
        <v>464</v>
      </c>
      <c r="F71" s="69">
        <v>0.76</v>
      </c>
      <c r="G71" s="101">
        <v>67</v>
      </c>
      <c r="H71" s="104">
        <v>74</v>
      </c>
      <c r="I71" t="s">
        <v>505</v>
      </c>
    </row>
    <row r="72" spans="1:9" x14ac:dyDescent="0.25">
      <c r="A72" t="s">
        <v>506</v>
      </c>
      <c r="B72" t="s">
        <v>436</v>
      </c>
      <c r="C72" t="s">
        <v>437</v>
      </c>
      <c r="D72" t="s">
        <v>452</v>
      </c>
      <c r="E72" t="s">
        <v>448</v>
      </c>
      <c r="F72" s="69">
        <v>0.72499999999999998</v>
      </c>
      <c r="G72" s="101">
        <v>67</v>
      </c>
      <c r="H72" s="104">
        <v>74</v>
      </c>
      <c r="I72" t="s">
        <v>507</v>
      </c>
    </row>
    <row r="73" spans="1:9" x14ac:dyDescent="0.25">
      <c r="A73" t="s">
        <v>508</v>
      </c>
      <c r="B73" t="s">
        <v>436</v>
      </c>
      <c r="C73" t="s">
        <v>451</v>
      </c>
      <c r="D73" t="s">
        <v>438</v>
      </c>
      <c r="E73" t="s">
        <v>458</v>
      </c>
      <c r="F73" s="69">
        <v>0.74</v>
      </c>
      <c r="G73" s="101">
        <v>60</v>
      </c>
      <c r="H73" s="104">
        <v>75</v>
      </c>
      <c r="I73" t="s">
        <v>509</v>
      </c>
    </row>
    <row r="74" spans="1:9" x14ac:dyDescent="0.25">
      <c r="A74" t="s">
        <v>1018</v>
      </c>
      <c r="B74" t="s">
        <v>511</v>
      </c>
      <c r="C74" t="s">
        <v>934</v>
      </c>
      <c r="D74" t="s">
        <v>447</v>
      </c>
      <c r="E74" t="s">
        <v>445</v>
      </c>
      <c r="F74" s="69"/>
      <c r="G74" s="101">
        <v>59</v>
      </c>
      <c r="H74" s="104">
        <v>95</v>
      </c>
      <c r="I74" t="s">
        <v>1019</v>
      </c>
    </row>
    <row r="75" spans="1:9" x14ac:dyDescent="0.25">
      <c r="A75" t="s">
        <v>1038</v>
      </c>
      <c r="B75" t="s">
        <v>436</v>
      </c>
      <c r="C75" t="s">
        <v>949</v>
      </c>
      <c r="E75" t="s">
        <v>149</v>
      </c>
      <c r="F75" s="69"/>
      <c r="G75" s="101">
        <v>70</v>
      </c>
      <c r="H75" s="104">
        <v>74</v>
      </c>
      <c r="I75" t="s">
        <v>1039</v>
      </c>
    </row>
    <row r="76" spans="1:9" x14ac:dyDescent="0.25">
      <c r="A76" t="s">
        <v>1255</v>
      </c>
      <c r="B76" t="s">
        <v>436</v>
      </c>
      <c r="C76" t="s">
        <v>451</v>
      </c>
      <c r="D76" t="s">
        <v>447</v>
      </c>
      <c r="E76" t="s">
        <v>1256</v>
      </c>
      <c r="F76" s="69">
        <v>0.75</v>
      </c>
      <c r="G76" s="101">
        <v>68</v>
      </c>
      <c r="H76" s="104">
        <v>72</v>
      </c>
      <c r="I76" t="s">
        <v>1257</v>
      </c>
    </row>
    <row r="77" spans="1:9" x14ac:dyDescent="0.25">
      <c r="A77" t="s">
        <v>1040</v>
      </c>
      <c r="B77" t="s">
        <v>436</v>
      </c>
      <c r="C77" t="s">
        <v>437</v>
      </c>
      <c r="D77" t="s">
        <v>438</v>
      </c>
      <c r="E77" t="s">
        <v>1041</v>
      </c>
      <c r="F77" s="69">
        <v>0.71499999999999997</v>
      </c>
      <c r="G77" s="101">
        <v>68</v>
      </c>
      <c r="H77" s="104">
        <v>72</v>
      </c>
      <c r="I77" t="s">
        <v>1042</v>
      </c>
    </row>
    <row r="78" spans="1:9" x14ac:dyDescent="0.25">
      <c r="A78" t="s">
        <v>1258</v>
      </c>
      <c r="B78" t="s">
        <v>436</v>
      </c>
      <c r="C78" t="s">
        <v>451</v>
      </c>
      <c r="D78" t="s">
        <v>447</v>
      </c>
      <c r="E78" t="s">
        <v>1250</v>
      </c>
      <c r="F78" s="69">
        <v>0.76500000000000001</v>
      </c>
      <c r="G78" s="101">
        <v>70</v>
      </c>
      <c r="H78" s="104">
        <v>84</v>
      </c>
      <c r="I78" t="s">
        <v>1259</v>
      </c>
    </row>
    <row r="79" spans="1:9" x14ac:dyDescent="0.25">
      <c r="A79" t="s">
        <v>1080</v>
      </c>
      <c r="B79" t="s">
        <v>436</v>
      </c>
      <c r="C79" t="s">
        <v>451</v>
      </c>
      <c r="D79" t="s">
        <v>438</v>
      </c>
      <c r="E79" t="s">
        <v>453</v>
      </c>
      <c r="F79" s="69">
        <v>0.75</v>
      </c>
      <c r="G79" s="101">
        <v>45</v>
      </c>
      <c r="H79" s="104">
        <v>68</v>
      </c>
      <c r="I79" t="s">
        <v>1081</v>
      </c>
    </row>
    <row r="80" spans="1:9" x14ac:dyDescent="0.25">
      <c r="A80" t="s">
        <v>1130</v>
      </c>
      <c r="B80" t="s">
        <v>511</v>
      </c>
      <c r="C80" t="s">
        <v>961</v>
      </c>
      <c r="D80" t="s">
        <v>445</v>
      </c>
      <c r="E80" t="s">
        <v>445</v>
      </c>
      <c r="F80" s="69"/>
      <c r="G80" s="101">
        <v>50</v>
      </c>
      <c r="H80" s="104">
        <v>59</v>
      </c>
      <c r="I80" t="s">
        <v>1131</v>
      </c>
    </row>
    <row r="81" spans="1:9" x14ac:dyDescent="0.25">
      <c r="A81" t="s">
        <v>990</v>
      </c>
      <c r="B81" t="s">
        <v>436</v>
      </c>
      <c r="C81" t="s">
        <v>437</v>
      </c>
      <c r="D81" t="s">
        <v>438</v>
      </c>
      <c r="E81" t="s">
        <v>439</v>
      </c>
      <c r="F81" s="69">
        <v>0.77500000000000002</v>
      </c>
      <c r="G81" s="101">
        <v>72</v>
      </c>
      <c r="H81" s="104">
        <v>77</v>
      </c>
      <c r="I81" t="s">
        <v>991</v>
      </c>
    </row>
    <row r="82" spans="1:9" x14ac:dyDescent="0.25">
      <c r="A82" t="s">
        <v>1043</v>
      </c>
      <c r="B82" t="s">
        <v>436</v>
      </c>
      <c r="C82" t="s">
        <v>949</v>
      </c>
      <c r="E82" t="s">
        <v>149</v>
      </c>
      <c r="F82" s="69"/>
      <c r="G82" s="101" t="s">
        <v>149</v>
      </c>
      <c r="H82" s="104"/>
      <c r="I82" t="s">
        <v>1044</v>
      </c>
    </row>
    <row r="83" spans="1:9" x14ac:dyDescent="0.25">
      <c r="A83" t="s">
        <v>1045</v>
      </c>
      <c r="B83" t="s">
        <v>436</v>
      </c>
      <c r="C83" t="s">
        <v>949</v>
      </c>
      <c r="E83" t="s">
        <v>149</v>
      </c>
      <c r="F83" s="69"/>
      <c r="G83" s="101" t="s">
        <v>149</v>
      </c>
      <c r="H83" s="104"/>
      <c r="I83" t="s">
        <v>1046</v>
      </c>
    </row>
    <row r="84" spans="1:9" x14ac:dyDescent="0.25">
      <c r="A84" t="s">
        <v>1047</v>
      </c>
      <c r="B84" t="s">
        <v>436</v>
      </c>
      <c r="C84" t="s">
        <v>949</v>
      </c>
      <c r="E84" t="s">
        <v>149</v>
      </c>
      <c r="F84" s="69"/>
      <c r="G84" s="101">
        <v>60</v>
      </c>
      <c r="H84" s="104">
        <v>74</v>
      </c>
      <c r="I84" t="s">
        <v>1048</v>
      </c>
    </row>
    <row r="85" spans="1:9" x14ac:dyDescent="0.25">
      <c r="A85" t="s">
        <v>1049</v>
      </c>
      <c r="B85" t="s">
        <v>436</v>
      </c>
      <c r="C85" t="s">
        <v>949</v>
      </c>
      <c r="E85" t="s">
        <v>149</v>
      </c>
      <c r="F85" s="69"/>
      <c r="G85" s="101" t="s">
        <v>149</v>
      </c>
      <c r="H85" s="104"/>
      <c r="I85" t="s">
        <v>1050</v>
      </c>
    </row>
    <row r="86" spans="1:9" x14ac:dyDescent="0.25">
      <c r="A86" t="s">
        <v>1051</v>
      </c>
      <c r="B86" t="s">
        <v>436</v>
      </c>
      <c r="C86" t="s">
        <v>451</v>
      </c>
      <c r="D86" t="s">
        <v>438</v>
      </c>
      <c r="E86" t="s">
        <v>445</v>
      </c>
      <c r="F86" s="69"/>
      <c r="G86" s="101">
        <v>60</v>
      </c>
      <c r="H86" s="104">
        <v>75</v>
      </c>
      <c r="I86" t="s">
        <v>1052</v>
      </c>
    </row>
    <row r="87" spans="1:9" x14ac:dyDescent="0.25">
      <c r="A87" t="s">
        <v>1053</v>
      </c>
      <c r="B87" t="s">
        <v>436</v>
      </c>
      <c r="C87" t="s">
        <v>451</v>
      </c>
      <c r="D87" t="s">
        <v>438</v>
      </c>
      <c r="E87" t="s">
        <v>445</v>
      </c>
      <c r="F87" s="69"/>
      <c r="G87" s="101">
        <v>60</v>
      </c>
      <c r="H87" s="104">
        <v>75</v>
      </c>
      <c r="I87" t="s">
        <v>1054</v>
      </c>
    </row>
    <row r="88" spans="1:9" x14ac:dyDescent="0.25">
      <c r="A88" t="s">
        <v>1055</v>
      </c>
      <c r="B88" t="s">
        <v>436</v>
      </c>
      <c r="C88" t="s">
        <v>437</v>
      </c>
      <c r="D88" t="s">
        <v>447</v>
      </c>
      <c r="E88" s="55">
        <v>0.85</v>
      </c>
      <c r="F88" s="69">
        <v>0.85</v>
      </c>
      <c r="G88" s="101">
        <v>70</v>
      </c>
      <c r="H88" s="104">
        <v>85</v>
      </c>
      <c r="I88" t="s">
        <v>1020</v>
      </c>
    </row>
    <row r="89" spans="1:9" x14ac:dyDescent="0.25">
      <c r="A89" t="s">
        <v>1056</v>
      </c>
      <c r="B89" t="s">
        <v>436</v>
      </c>
      <c r="C89" t="s">
        <v>437</v>
      </c>
      <c r="D89" t="s">
        <v>447</v>
      </c>
      <c r="E89" t="s">
        <v>1057</v>
      </c>
      <c r="F89" s="69">
        <v>0.77500000000000002</v>
      </c>
      <c r="G89" s="101">
        <v>85</v>
      </c>
      <c r="H89" s="104">
        <v>85</v>
      </c>
      <c r="I89" t="s">
        <v>1058</v>
      </c>
    </row>
    <row r="90" spans="1:9" x14ac:dyDescent="0.25">
      <c r="A90" t="s">
        <v>1059</v>
      </c>
      <c r="B90" t="s">
        <v>436</v>
      </c>
      <c r="C90" t="s">
        <v>437</v>
      </c>
      <c r="D90" t="s">
        <v>447</v>
      </c>
      <c r="E90" t="s">
        <v>1057</v>
      </c>
      <c r="F90" s="69">
        <v>0.77500000000000002</v>
      </c>
      <c r="G90" s="101">
        <v>85</v>
      </c>
      <c r="H90" s="104">
        <v>85</v>
      </c>
      <c r="I90" t="s">
        <v>1060</v>
      </c>
    </row>
    <row r="91" spans="1:9" x14ac:dyDescent="0.25">
      <c r="A91" t="s">
        <v>1061</v>
      </c>
      <c r="B91" t="s">
        <v>436</v>
      </c>
      <c r="C91" t="s">
        <v>437</v>
      </c>
      <c r="D91" t="s">
        <v>447</v>
      </c>
      <c r="E91" t="s">
        <v>1057</v>
      </c>
      <c r="F91" s="69">
        <v>0.77500000000000002</v>
      </c>
      <c r="G91" s="101">
        <v>85</v>
      </c>
      <c r="H91" s="104">
        <v>85</v>
      </c>
      <c r="I91" t="s">
        <v>1062</v>
      </c>
    </row>
    <row r="92" spans="1:9" x14ac:dyDescent="0.25">
      <c r="A92" t="s">
        <v>510</v>
      </c>
      <c r="B92" t="s">
        <v>511</v>
      </c>
      <c r="C92" t="s">
        <v>512</v>
      </c>
      <c r="D92" t="s">
        <v>447</v>
      </c>
      <c r="E92" t="s">
        <v>445</v>
      </c>
      <c r="F92" s="69"/>
      <c r="G92" s="101">
        <v>64</v>
      </c>
      <c r="H92" s="104">
        <v>73</v>
      </c>
      <c r="I92" t="s">
        <v>513</v>
      </c>
    </row>
    <row r="93" spans="1:9" x14ac:dyDescent="0.25">
      <c r="A93" t="s">
        <v>514</v>
      </c>
      <c r="B93" t="s">
        <v>511</v>
      </c>
      <c r="C93" t="s">
        <v>512</v>
      </c>
      <c r="D93" t="s">
        <v>445</v>
      </c>
      <c r="E93" t="s">
        <v>445</v>
      </c>
      <c r="F93" s="69"/>
      <c r="G93" s="101">
        <v>50</v>
      </c>
      <c r="H93" s="104">
        <v>59</v>
      </c>
      <c r="I93" t="s">
        <v>515</v>
      </c>
    </row>
    <row r="94" spans="1:9" x14ac:dyDescent="0.25">
      <c r="A94" t="s">
        <v>935</v>
      </c>
      <c r="B94" t="s">
        <v>511</v>
      </c>
      <c r="C94" t="s">
        <v>512</v>
      </c>
      <c r="D94" t="s">
        <v>441</v>
      </c>
      <c r="E94" t="s">
        <v>149</v>
      </c>
      <c r="F94" s="69"/>
      <c r="G94" s="101">
        <v>64</v>
      </c>
      <c r="H94" s="104">
        <v>77</v>
      </c>
      <c r="I94" t="s">
        <v>936</v>
      </c>
    </row>
    <row r="95" spans="1:9" x14ac:dyDescent="0.25">
      <c r="A95" t="s">
        <v>516</v>
      </c>
      <c r="B95" t="s">
        <v>436</v>
      </c>
      <c r="C95" t="s">
        <v>451</v>
      </c>
      <c r="D95" t="s">
        <v>438</v>
      </c>
      <c r="E95" t="s">
        <v>517</v>
      </c>
      <c r="F95" s="69">
        <v>0.74</v>
      </c>
      <c r="G95" s="101">
        <v>64</v>
      </c>
      <c r="H95" s="104">
        <v>72</v>
      </c>
      <c r="I95" t="s">
        <v>518</v>
      </c>
    </row>
    <row r="96" spans="1:9" x14ac:dyDescent="0.25">
      <c r="A96" t="s">
        <v>519</v>
      </c>
      <c r="B96" t="s">
        <v>436</v>
      </c>
      <c r="C96" t="s">
        <v>451</v>
      </c>
      <c r="D96" t="s">
        <v>445</v>
      </c>
      <c r="E96" t="s">
        <v>517</v>
      </c>
      <c r="F96" s="69">
        <v>0.74</v>
      </c>
      <c r="G96" s="101">
        <v>63</v>
      </c>
      <c r="H96" s="104">
        <v>75</v>
      </c>
      <c r="I96" t="s">
        <v>520</v>
      </c>
    </row>
    <row r="97" spans="1:9" x14ac:dyDescent="0.25">
      <c r="A97" t="s">
        <v>521</v>
      </c>
      <c r="B97" t="s">
        <v>436</v>
      </c>
      <c r="C97" t="s">
        <v>437</v>
      </c>
      <c r="D97" t="s">
        <v>445</v>
      </c>
      <c r="E97" t="s">
        <v>439</v>
      </c>
      <c r="F97" s="69">
        <v>0.77500000000000002</v>
      </c>
      <c r="G97" s="101">
        <v>68</v>
      </c>
      <c r="H97" s="104">
        <v>75</v>
      </c>
      <c r="I97" t="s">
        <v>522</v>
      </c>
    </row>
    <row r="98" spans="1:9" x14ac:dyDescent="0.25">
      <c r="A98" t="s">
        <v>1113</v>
      </c>
      <c r="B98" t="s">
        <v>511</v>
      </c>
      <c r="C98" t="s">
        <v>961</v>
      </c>
      <c r="D98" t="s">
        <v>445</v>
      </c>
      <c r="E98" t="s">
        <v>445</v>
      </c>
      <c r="F98" s="69"/>
      <c r="G98" s="101">
        <v>57</v>
      </c>
      <c r="H98" s="104">
        <v>72</v>
      </c>
      <c r="I98" t="s">
        <v>1114</v>
      </c>
    </row>
    <row r="99" spans="1:9" x14ac:dyDescent="0.25">
      <c r="A99" t="s">
        <v>1098</v>
      </c>
      <c r="B99" t="s">
        <v>436</v>
      </c>
      <c r="C99" t="s">
        <v>451</v>
      </c>
      <c r="D99" t="s">
        <v>441</v>
      </c>
      <c r="E99" t="s">
        <v>1260</v>
      </c>
      <c r="F99" s="69">
        <v>0.755</v>
      </c>
      <c r="G99" s="101">
        <v>63</v>
      </c>
      <c r="H99" s="104">
        <v>72</v>
      </c>
      <c r="I99" t="s">
        <v>1261</v>
      </c>
    </row>
    <row r="100" spans="1:9" x14ac:dyDescent="0.25">
      <c r="A100" t="s">
        <v>1099</v>
      </c>
      <c r="B100" t="s">
        <v>436</v>
      </c>
      <c r="C100" t="s">
        <v>949</v>
      </c>
      <c r="D100" t="s">
        <v>447</v>
      </c>
      <c r="E100" t="s">
        <v>447</v>
      </c>
      <c r="F100" s="69"/>
      <c r="G100" s="101">
        <v>60</v>
      </c>
      <c r="H100" s="104">
        <v>68</v>
      </c>
      <c r="I100" t="s">
        <v>1100</v>
      </c>
    </row>
    <row r="101" spans="1:9" x14ac:dyDescent="0.25">
      <c r="A101" t="s">
        <v>1126</v>
      </c>
      <c r="B101" t="s">
        <v>436</v>
      </c>
      <c r="C101" t="s">
        <v>451</v>
      </c>
      <c r="D101" t="s">
        <v>441</v>
      </c>
      <c r="E101" t="s">
        <v>579</v>
      </c>
      <c r="F101" s="69">
        <v>0.73</v>
      </c>
      <c r="G101" s="101">
        <v>48</v>
      </c>
      <c r="H101" s="104">
        <v>56</v>
      </c>
      <c r="I101" t="s">
        <v>1127</v>
      </c>
    </row>
    <row r="102" spans="1:9" x14ac:dyDescent="0.25">
      <c r="A102" t="s">
        <v>1063</v>
      </c>
      <c r="B102" t="s">
        <v>436</v>
      </c>
      <c r="C102" t="s">
        <v>949</v>
      </c>
      <c r="E102" t="s">
        <v>149</v>
      </c>
      <c r="F102" s="69"/>
      <c r="G102" s="101" t="s">
        <v>149</v>
      </c>
      <c r="H102" s="104"/>
      <c r="I102" t="s">
        <v>1064</v>
      </c>
    </row>
    <row r="103" spans="1:9" x14ac:dyDescent="0.25">
      <c r="A103" t="s">
        <v>1065</v>
      </c>
      <c r="B103" t="s">
        <v>436</v>
      </c>
      <c r="C103" t="s">
        <v>949</v>
      </c>
      <c r="E103" t="s">
        <v>149</v>
      </c>
      <c r="F103" s="69"/>
      <c r="G103" s="101">
        <v>60</v>
      </c>
      <c r="H103" s="104">
        <v>74</v>
      </c>
      <c r="I103" t="s">
        <v>1066</v>
      </c>
    </row>
    <row r="104" spans="1:9" x14ac:dyDescent="0.25">
      <c r="A104" t="s">
        <v>523</v>
      </c>
      <c r="B104" t="s">
        <v>436</v>
      </c>
      <c r="C104" t="s">
        <v>437</v>
      </c>
      <c r="D104" t="s">
        <v>438</v>
      </c>
      <c r="E104" t="s">
        <v>1101</v>
      </c>
      <c r="F104" s="69">
        <v>0.72</v>
      </c>
      <c r="G104" s="101">
        <v>68</v>
      </c>
      <c r="H104" s="104">
        <v>73</v>
      </c>
      <c r="I104" t="s">
        <v>524</v>
      </c>
    </row>
    <row r="105" spans="1:9" x14ac:dyDescent="0.25">
      <c r="A105" t="s">
        <v>1117</v>
      </c>
      <c r="B105" t="s">
        <v>436</v>
      </c>
      <c r="C105" t="s">
        <v>949</v>
      </c>
      <c r="D105" t="s">
        <v>438</v>
      </c>
      <c r="E105" t="s">
        <v>438</v>
      </c>
      <c r="F105" s="69">
        <v>0.74</v>
      </c>
      <c r="G105" s="101">
        <v>64</v>
      </c>
      <c r="H105" s="104">
        <v>69</v>
      </c>
      <c r="I105" t="s">
        <v>1244</v>
      </c>
    </row>
    <row r="106" spans="1:9" x14ac:dyDescent="0.25">
      <c r="A106" t="s">
        <v>1118</v>
      </c>
      <c r="B106" t="s">
        <v>511</v>
      </c>
      <c r="C106" t="s">
        <v>961</v>
      </c>
      <c r="D106" t="s">
        <v>445</v>
      </c>
      <c r="E106" t="s">
        <v>445</v>
      </c>
      <c r="F106" s="69"/>
      <c r="G106" s="101">
        <v>62</v>
      </c>
      <c r="H106" s="104">
        <v>74</v>
      </c>
      <c r="I106" t="s">
        <v>1119</v>
      </c>
    </row>
    <row r="107" spans="1:9" x14ac:dyDescent="0.25">
      <c r="A107" t="s">
        <v>525</v>
      </c>
      <c r="B107" t="s">
        <v>436</v>
      </c>
      <c r="C107" t="s">
        <v>437</v>
      </c>
      <c r="D107" t="s">
        <v>441</v>
      </c>
      <c r="E107" t="s">
        <v>448</v>
      </c>
      <c r="F107" s="69">
        <v>0.72499999999999998</v>
      </c>
      <c r="G107" s="101">
        <v>66</v>
      </c>
      <c r="H107" s="104">
        <v>70</v>
      </c>
      <c r="I107" t="s">
        <v>526</v>
      </c>
    </row>
    <row r="108" spans="1:9" x14ac:dyDescent="0.25">
      <c r="A108" t="s">
        <v>527</v>
      </c>
      <c r="B108" t="s">
        <v>436</v>
      </c>
      <c r="C108" t="s">
        <v>437</v>
      </c>
      <c r="D108" t="s">
        <v>438</v>
      </c>
      <c r="E108" t="s">
        <v>568</v>
      </c>
      <c r="F108" s="69">
        <v>0.76500000000000001</v>
      </c>
      <c r="G108" s="101">
        <v>68</v>
      </c>
      <c r="H108" s="104">
        <v>73</v>
      </c>
      <c r="I108" t="s">
        <v>528</v>
      </c>
    </row>
    <row r="109" spans="1:9" x14ac:dyDescent="0.25">
      <c r="A109" t="s">
        <v>973</v>
      </c>
      <c r="B109" t="s">
        <v>436</v>
      </c>
      <c r="C109" t="s">
        <v>451</v>
      </c>
      <c r="D109" t="s">
        <v>445</v>
      </c>
      <c r="E109" t="s">
        <v>550</v>
      </c>
      <c r="F109" s="69">
        <v>0.69</v>
      </c>
      <c r="G109" s="101">
        <v>58</v>
      </c>
      <c r="H109" s="104">
        <v>68</v>
      </c>
      <c r="I109" t="s">
        <v>974</v>
      </c>
    </row>
    <row r="110" spans="1:9" x14ac:dyDescent="0.25">
      <c r="A110" t="s">
        <v>1021</v>
      </c>
      <c r="B110" t="s">
        <v>436</v>
      </c>
      <c r="C110" t="s">
        <v>451</v>
      </c>
      <c r="D110" t="s">
        <v>438</v>
      </c>
      <c r="E110" t="s">
        <v>1262</v>
      </c>
      <c r="F110" s="69">
        <v>0.77</v>
      </c>
      <c r="G110" s="101">
        <v>65</v>
      </c>
      <c r="H110" s="104">
        <v>80</v>
      </c>
      <c r="I110" t="s">
        <v>1263</v>
      </c>
    </row>
    <row r="111" spans="1:9" x14ac:dyDescent="0.25">
      <c r="A111" t="s">
        <v>937</v>
      </c>
      <c r="B111" t="s">
        <v>511</v>
      </c>
      <c r="C111" t="s">
        <v>934</v>
      </c>
      <c r="D111" t="s">
        <v>452</v>
      </c>
      <c r="E111" t="s">
        <v>149</v>
      </c>
      <c r="F111" s="69"/>
      <c r="G111" s="101">
        <v>59</v>
      </c>
      <c r="H111" s="104">
        <v>77</v>
      </c>
      <c r="I111" t="s">
        <v>938</v>
      </c>
    </row>
    <row r="112" spans="1:9" x14ac:dyDescent="0.25">
      <c r="A112" t="s">
        <v>939</v>
      </c>
      <c r="B112" t="s">
        <v>511</v>
      </c>
      <c r="C112" t="s">
        <v>529</v>
      </c>
      <c r="D112" t="s">
        <v>445</v>
      </c>
      <c r="E112" t="s">
        <v>445</v>
      </c>
      <c r="F112" s="69"/>
      <c r="G112" s="101">
        <v>68</v>
      </c>
      <c r="H112" s="104">
        <v>80</v>
      </c>
      <c r="I112" t="s">
        <v>530</v>
      </c>
    </row>
    <row r="113" spans="1:9" x14ac:dyDescent="0.25">
      <c r="A113" t="s">
        <v>975</v>
      </c>
      <c r="B113" t="s">
        <v>436</v>
      </c>
      <c r="C113" t="s">
        <v>437</v>
      </c>
      <c r="D113" t="s">
        <v>438</v>
      </c>
      <c r="E113" t="s">
        <v>439</v>
      </c>
      <c r="F113" s="69">
        <v>0.77500000000000002</v>
      </c>
      <c r="G113" s="101">
        <v>65</v>
      </c>
      <c r="H113" s="104">
        <v>70</v>
      </c>
      <c r="I113" t="s">
        <v>976</v>
      </c>
    </row>
    <row r="114" spans="1:9" x14ac:dyDescent="0.25">
      <c r="A114" t="s">
        <v>977</v>
      </c>
      <c r="B114" t="s">
        <v>436</v>
      </c>
      <c r="C114" t="s">
        <v>437</v>
      </c>
      <c r="D114" t="s">
        <v>447</v>
      </c>
      <c r="E114" t="s">
        <v>447</v>
      </c>
      <c r="F114" s="69">
        <v>0.68</v>
      </c>
      <c r="G114" s="101">
        <v>55</v>
      </c>
      <c r="H114" s="104">
        <v>58</v>
      </c>
      <c r="I114" t="s">
        <v>978</v>
      </c>
    </row>
    <row r="115" spans="1:9" x14ac:dyDescent="0.25">
      <c r="A115" t="s">
        <v>1132</v>
      </c>
      <c r="B115" t="s">
        <v>436</v>
      </c>
      <c r="C115" t="s">
        <v>437</v>
      </c>
      <c r="D115" t="s">
        <v>438</v>
      </c>
      <c r="E115" t="s">
        <v>439</v>
      </c>
      <c r="F115" s="69">
        <v>0.77500000000000002</v>
      </c>
      <c r="G115" s="101">
        <v>50</v>
      </c>
      <c r="H115" s="104">
        <v>55</v>
      </c>
      <c r="I115" t="s">
        <v>1133</v>
      </c>
    </row>
    <row r="116" spans="1:9" x14ac:dyDescent="0.25">
      <c r="A116" t="s">
        <v>1134</v>
      </c>
      <c r="B116" t="s">
        <v>436</v>
      </c>
      <c r="C116" t="s">
        <v>451</v>
      </c>
      <c r="D116" t="s">
        <v>438</v>
      </c>
      <c r="E116" t="s">
        <v>1087</v>
      </c>
      <c r="F116" s="69">
        <v>0.72</v>
      </c>
      <c r="G116" s="101">
        <v>50</v>
      </c>
      <c r="H116" s="104">
        <v>58</v>
      </c>
      <c r="I116" t="s">
        <v>1135</v>
      </c>
    </row>
    <row r="117" spans="1:9" x14ac:dyDescent="0.25">
      <c r="A117" t="s">
        <v>1136</v>
      </c>
      <c r="B117" t="s">
        <v>436</v>
      </c>
      <c r="C117" t="s">
        <v>451</v>
      </c>
      <c r="D117" t="s">
        <v>447</v>
      </c>
      <c r="E117" t="s">
        <v>453</v>
      </c>
      <c r="F117" s="69">
        <v>0.75</v>
      </c>
      <c r="G117" s="101">
        <v>46</v>
      </c>
      <c r="H117" s="104">
        <v>56</v>
      </c>
      <c r="I117" t="s">
        <v>1137</v>
      </c>
    </row>
    <row r="118" spans="1:9" x14ac:dyDescent="0.25">
      <c r="A118" t="s">
        <v>1264</v>
      </c>
      <c r="B118" t="s">
        <v>436</v>
      </c>
      <c r="C118" t="s">
        <v>451</v>
      </c>
      <c r="D118" t="s">
        <v>447</v>
      </c>
      <c r="E118" t="s">
        <v>1233</v>
      </c>
      <c r="F118" s="69">
        <v>0.75</v>
      </c>
      <c r="G118" s="101">
        <v>60</v>
      </c>
      <c r="H118" s="104">
        <v>70</v>
      </c>
      <c r="I118" t="s">
        <v>1265</v>
      </c>
    </row>
    <row r="119" spans="1:9" x14ac:dyDescent="0.25">
      <c r="A119" t="s">
        <v>531</v>
      </c>
      <c r="B119" t="s">
        <v>436</v>
      </c>
      <c r="C119" t="s">
        <v>437</v>
      </c>
      <c r="D119" t="s">
        <v>445</v>
      </c>
      <c r="E119" t="s">
        <v>532</v>
      </c>
      <c r="F119" s="69">
        <v>0.75</v>
      </c>
      <c r="G119" s="101">
        <v>65</v>
      </c>
      <c r="H119" s="104">
        <v>70</v>
      </c>
      <c r="I119" t="s">
        <v>533</v>
      </c>
    </row>
    <row r="120" spans="1:9" x14ac:dyDescent="0.25">
      <c r="A120" t="s">
        <v>534</v>
      </c>
      <c r="B120" t="s">
        <v>436</v>
      </c>
      <c r="C120" t="s">
        <v>437</v>
      </c>
      <c r="D120" t="s">
        <v>438</v>
      </c>
      <c r="E120" t="s">
        <v>535</v>
      </c>
      <c r="F120" s="69">
        <v>0.68500000000000005</v>
      </c>
      <c r="G120" s="101">
        <v>65</v>
      </c>
      <c r="H120" s="104">
        <v>69</v>
      </c>
      <c r="I120" t="s">
        <v>536</v>
      </c>
    </row>
    <row r="121" spans="1:9" x14ac:dyDescent="0.25">
      <c r="A121" t="s">
        <v>538</v>
      </c>
      <c r="B121" t="s">
        <v>436</v>
      </c>
      <c r="C121" t="s">
        <v>437</v>
      </c>
      <c r="D121" t="s">
        <v>452</v>
      </c>
      <c r="E121" t="s">
        <v>448</v>
      </c>
      <c r="F121" s="69">
        <v>0.72499999999999998</v>
      </c>
      <c r="G121" s="101">
        <v>68</v>
      </c>
      <c r="H121" s="104">
        <v>73</v>
      </c>
      <c r="I121" t="s">
        <v>539</v>
      </c>
    </row>
    <row r="122" spans="1:9" x14ac:dyDescent="0.25">
      <c r="A122" t="s">
        <v>940</v>
      </c>
      <c r="B122" t="s">
        <v>436</v>
      </c>
      <c r="C122" t="s">
        <v>437</v>
      </c>
      <c r="D122" t="s">
        <v>441</v>
      </c>
      <c r="E122" t="s">
        <v>438</v>
      </c>
      <c r="F122" s="69">
        <v>0.77500000000000002</v>
      </c>
      <c r="G122" s="101">
        <v>66</v>
      </c>
      <c r="H122" s="104">
        <v>70</v>
      </c>
      <c r="I122" t="s">
        <v>941</v>
      </c>
    </row>
    <row r="123" spans="1:9" x14ac:dyDescent="0.25">
      <c r="A123" t="s">
        <v>540</v>
      </c>
      <c r="B123" t="s">
        <v>436</v>
      </c>
      <c r="C123" t="s">
        <v>437</v>
      </c>
      <c r="D123" t="s">
        <v>438</v>
      </c>
      <c r="E123" t="s">
        <v>448</v>
      </c>
      <c r="F123" s="69">
        <v>0.72499999999999998</v>
      </c>
      <c r="G123" s="101">
        <v>65</v>
      </c>
      <c r="H123" s="104">
        <v>70</v>
      </c>
      <c r="I123" t="s">
        <v>541</v>
      </c>
    </row>
    <row r="124" spans="1:9" x14ac:dyDescent="0.25">
      <c r="A124" t="s">
        <v>1120</v>
      </c>
      <c r="B124" t="s">
        <v>436</v>
      </c>
      <c r="C124" t="s">
        <v>437</v>
      </c>
      <c r="D124" t="s">
        <v>441</v>
      </c>
      <c r="E124" t="s">
        <v>1121</v>
      </c>
      <c r="F124" s="69">
        <v>0.72499999999999998</v>
      </c>
      <c r="G124" s="101">
        <v>68</v>
      </c>
      <c r="H124" s="104">
        <v>72</v>
      </c>
      <c r="I124" t="s">
        <v>1122</v>
      </c>
    </row>
    <row r="125" spans="1:9" x14ac:dyDescent="0.25">
      <c r="A125" t="s">
        <v>542</v>
      </c>
      <c r="B125" t="s">
        <v>436</v>
      </c>
      <c r="C125" t="s">
        <v>444</v>
      </c>
      <c r="D125" t="s">
        <v>438</v>
      </c>
      <c r="E125" t="s">
        <v>445</v>
      </c>
      <c r="F125" s="69"/>
      <c r="G125" s="101">
        <v>59</v>
      </c>
      <c r="H125" s="104">
        <v>68</v>
      </c>
      <c r="I125" t="s">
        <v>543</v>
      </c>
    </row>
    <row r="126" spans="1:9" x14ac:dyDescent="0.25">
      <c r="A126" t="s">
        <v>544</v>
      </c>
      <c r="B126" t="s">
        <v>436</v>
      </c>
      <c r="C126" t="s">
        <v>437</v>
      </c>
      <c r="D126" t="s">
        <v>560</v>
      </c>
      <c r="E126" t="s">
        <v>1102</v>
      </c>
      <c r="F126" s="69">
        <v>0.66500000000000004</v>
      </c>
      <c r="G126" s="101">
        <v>65</v>
      </c>
      <c r="H126" s="104">
        <v>68</v>
      </c>
      <c r="I126" t="s">
        <v>545</v>
      </c>
    </row>
    <row r="127" spans="1:9" x14ac:dyDescent="0.25">
      <c r="A127" t="s">
        <v>1103</v>
      </c>
      <c r="B127" t="s">
        <v>436</v>
      </c>
      <c r="C127" t="s">
        <v>451</v>
      </c>
      <c r="D127" t="s">
        <v>445</v>
      </c>
      <c r="E127" t="s">
        <v>1266</v>
      </c>
      <c r="F127" s="69">
        <v>0.7</v>
      </c>
      <c r="G127" s="101">
        <v>64</v>
      </c>
      <c r="H127" s="104">
        <v>72</v>
      </c>
      <c r="I127" t="s">
        <v>1267</v>
      </c>
    </row>
    <row r="128" spans="1:9" x14ac:dyDescent="0.25">
      <c r="A128" t="s">
        <v>547</v>
      </c>
      <c r="B128" t="s">
        <v>436</v>
      </c>
      <c r="C128" t="s">
        <v>437</v>
      </c>
      <c r="D128" t="s">
        <v>441</v>
      </c>
      <c r="E128" t="s">
        <v>548</v>
      </c>
      <c r="F128" s="69">
        <v>0.73499999999999999</v>
      </c>
      <c r="G128" s="101">
        <v>66</v>
      </c>
      <c r="H128" s="104">
        <v>70</v>
      </c>
      <c r="I128" t="s">
        <v>549</v>
      </c>
    </row>
    <row r="129" spans="1:9" x14ac:dyDescent="0.25">
      <c r="A129" t="s">
        <v>551</v>
      </c>
      <c r="B129" t="s">
        <v>436</v>
      </c>
      <c r="C129" t="s">
        <v>437</v>
      </c>
      <c r="D129" t="s">
        <v>438</v>
      </c>
      <c r="E129" t="s">
        <v>552</v>
      </c>
      <c r="F129" s="69">
        <v>0.67500000000000004</v>
      </c>
      <c r="G129" s="101">
        <v>65</v>
      </c>
      <c r="H129" s="104">
        <v>70</v>
      </c>
      <c r="I129" t="s">
        <v>553</v>
      </c>
    </row>
    <row r="130" spans="1:9" x14ac:dyDescent="0.25">
      <c r="A130" t="s">
        <v>979</v>
      </c>
      <c r="B130" t="s">
        <v>436</v>
      </c>
      <c r="C130" t="s">
        <v>451</v>
      </c>
      <c r="D130" t="s">
        <v>447</v>
      </c>
      <c r="E130" t="s">
        <v>1256</v>
      </c>
      <c r="F130" s="69">
        <v>0.75</v>
      </c>
      <c r="G130" s="101">
        <v>46</v>
      </c>
      <c r="H130" s="104">
        <v>56</v>
      </c>
      <c r="I130" t="s">
        <v>1268</v>
      </c>
    </row>
    <row r="131" spans="1:9" x14ac:dyDescent="0.25">
      <c r="A131" s="23" t="s">
        <v>1746</v>
      </c>
      <c r="B131" s="23" t="s">
        <v>436</v>
      </c>
      <c r="C131" s="23" t="s">
        <v>1690</v>
      </c>
      <c r="D131" s="23" t="s">
        <v>447</v>
      </c>
      <c r="E131" s="23" t="s">
        <v>1747</v>
      </c>
      <c r="F131" s="171">
        <v>0.8</v>
      </c>
      <c r="G131" s="101">
        <v>68</v>
      </c>
      <c r="H131" s="104">
        <v>76</v>
      </c>
      <c r="I131" s="23" t="s">
        <v>1748</v>
      </c>
    </row>
    <row r="132" spans="1:9" x14ac:dyDescent="0.25">
      <c r="A132" t="s">
        <v>1269</v>
      </c>
      <c r="B132" t="s">
        <v>436</v>
      </c>
      <c r="C132" t="s">
        <v>451</v>
      </c>
      <c r="D132" t="s">
        <v>438</v>
      </c>
      <c r="E132" t="s">
        <v>1250</v>
      </c>
      <c r="F132" s="69">
        <v>0.76500000000000001</v>
      </c>
      <c r="G132" s="101">
        <v>70</v>
      </c>
      <c r="H132" s="104">
        <v>84</v>
      </c>
      <c r="I132" t="s">
        <v>1270</v>
      </c>
    </row>
    <row r="133" spans="1:9" x14ac:dyDescent="0.25">
      <c r="A133" t="s">
        <v>1022</v>
      </c>
      <c r="B133" t="s">
        <v>436</v>
      </c>
      <c r="C133" t="s">
        <v>949</v>
      </c>
      <c r="E133" t="s">
        <v>149</v>
      </c>
      <c r="F133" s="69"/>
      <c r="G133" s="101" t="s">
        <v>149</v>
      </c>
      <c r="H133" s="104"/>
      <c r="I133" t="s">
        <v>1023</v>
      </c>
    </row>
    <row r="134" spans="1:9" x14ac:dyDescent="0.25">
      <c r="A134" t="s">
        <v>1024</v>
      </c>
      <c r="B134" t="s">
        <v>436</v>
      </c>
      <c r="C134" t="s">
        <v>451</v>
      </c>
      <c r="D134" t="s">
        <v>452</v>
      </c>
      <c r="E134" t="s">
        <v>1271</v>
      </c>
      <c r="F134" s="69">
        <v>0.76</v>
      </c>
      <c r="G134" s="101">
        <v>64</v>
      </c>
      <c r="H134" s="104">
        <v>80</v>
      </c>
      <c r="I134" t="s">
        <v>1272</v>
      </c>
    </row>
    <row r="135" spans="1:9" x14ac:dyDescent="0.25">
      <c r="A135" t="s">
        <v>1025</v>
      </c>
      <c r="B135" t="s">
        <v>436</v>
      </c>
      <c r="C135" t="s">
        <v>437</v>
      </c>
      <c r="D135" t="s">
        <v>452</v>
      </c>
      <c r="E135" t="s">
        <v>445</v>
      </c>
      <c r="F135" s="69"/>
      <c r="G135" s="101">
        <v>68</v>
      </c>
      <c r="H135" s="104">
        <v>80</v>
      </c>
      <c r="I135" t="s">
        <v>1026</v>
      </c>
    </row>
    <row r="136" spans="1:9" x14ac:dyDescent="0.25">
      <c r="A136" t="s">
        <v>1067</v>
      </c>
      <c r="B136" t="s">
        <v>436</v>
      </c>
      <c r="C136" t="s">
        <v>949</v>
      </c>
      <c r="E136" t="s">
        <v>149</v>
      </c>
      <c r="F136" s="69"/>
      <c r="G136" s="101">
        <v>60</v>
      </c>
      <c r="H136" s="104">
        <v>74</v>
      </c>
      <c r="I136" t="s">
        <v>1068</v>
      </c>
    </row>
    <row r="137" spans="1:9" x14ac:dyDescent="0.25">
      <c r="A137" t="s">
        <v>555</v>
      </c>
      <c r="B137" t="s">
        <v>436</v>
      </c>
      <c r="C137" t="s">
        <v>451</v>
      </c>
      <c r="D137" t="s">
        <v>447</v>
      </c>
      <c r="E137" t="s">
        <v>453</v>
      </c>
      <c r="F137" s="69">
        <v>0.75</v>
      </c>
      <c r="G137" s="101">
        <v>63</v>
      </c>
      <c r="H137" s="104">
        <v>76</v>
      </c>
      <c r="I137" t="s">
        <v>556</v>
      </c>
    </row>
    <row r="138" spans="1:9" x14ac:dyDescent="0.25">
      <c r="A138" t="s">
        <v>1027</v>
      </c>
      <c r="B138" t="s">
        <v>436</v>
      </c>
      <c r="C138" t="s">
        <v>437</v>
      </c>
      <c r="D138" t="s">
        <v>441</v>
      </c>
      <c r="E138" t="s">
        <v>447</v>
      </c>
      <c r="F138" s="69"/>
      <c r="G138" s="101">
        <v>63</v>
      </c>
      <c r="H138" s="104">
        <v>73</v>
      </c>
      <c r="I138" t="s">
        <v>1028</v>
      </c>
    </row>
    <row r="139" spans="1:9" x14ac:dyDescent="0.25">
      <c r="A139" t="s">
        <v>1029</v>
      </c>
      <c r="B139" t="s">
        <v>436</v>
      </c>
      <c r="C139" t="s">
        <v>451</v>
      </c>
      <c r="D139" t="s">
        <v>447</v>
      </c>
      <c r="E139" t="s">
        <v>1273</v>
      </c>
      <c r="F139" s="69">
        <v>0.8</v>
      </c>
      <c r="G139" s="101">
        <v>65</v>
      </c>
      <c r="H139" s="104">
        <v>77</v>
      </c>
      <c r="I139" t="s">
        <v>1274</v>
      </c>
    </row>
    <row r="140" spans="1:9" x14ac:dyDescent="0.25">
      <c r="A140" s="23" t="s">
        <v>1716</v>
      </c>
      <c r="B140" s="23" t="s">
        <v>436</v>
      </c>
      <c r="C140" s="23" t="s">
        <v>1690</v>
      </c>
      <c r="D140" s="23" t="s">
        <v>447</v>
      </c>
      <c r="E140" s="23" t="s">
        <v>1256</v>
      </c>
      <c r="F140" s="171">
        <v>0.75</v>
      </c>
      <c r="G140" s="101">
        <v>63</v>
      </c>
      <c r="H140" s="104">
        <v>73</v>
      </c>
      <c r="I140" s="23" t="s">
        <v>1717</v>
      </c>
    </row>
    <row r="141" spans="1:9" x14ac:dyDescent="0.25">
      <c r="A141" s="23" t="s">
        <v>1718</v>
      </c>
      <c r="B141" s="23" t="s">
        <v>436</v>
      </c>
      <c r="C141" s="23" t="s">
        <v>1690</v>
      </c>
      <c r="D141" s="23" t="s">
        <v>447</v>
      </c>
      <c r="E141" s="23" t="s">
        <v>1256</v>
      </c>
      <c r="F141" s="171">
        <v>0.75</v>
      </c>
      <c r="G141" s="101">
        <v>56</v>
      </c>
      <c r="H141" s="104">
        <v>65</v>
      </c>
      <c r="I141" s="23" t="s">
        <v>1719</v>
      </c>
    </row>
    <row r="142" spans="1:9" x14ac:dyDescent="0.25">
      <c r="A142" s="23" t="s">
        <v>1720</v>
      </c>
      <c r="B142" s="23" t="s">
        <v>436</v>
      </c>
      <c r="C142" s="23" t="s">
        <v>1690</v>
      </c>
      <c r="D142" s="23" t="s">
        <v>438</v>
      </c>
      <c r="E142" s="23" t="s">
        <v>1256</v>
      </c>
      <c r="F142" s="171">
        <v>0.75</v>
      </c>
      <c r="G142" s="101">
        <v>60</v>
      </c>
      <c r="H142" s="104">
        <v>69</v>
      </c>
      <c r="I142" s="23" t="s">
        <v>1721</v>
      </c>
    </row>
    <row r="143" spans="1:9" x14ac:dyDescent="0.25">
      <c r="A143" t="s">
        <v>557</v>
      </c>
      <c r="B143" t="s">
        <v>436</v>
      </c>
      <c r="C143" t="s">
        <v>451</v>
      </c>
      <c r="D143" t="s">
        <v>447</v>
      </c>
      <c r="E143" t="s">
        <v>453</v>
      </c>
      <c r="F143" s="69">
        <v>0.75</v>
      </c>
      <c r="G143" s="101">
        <v>55</v>
      </c>
      <c r="H143" s="104">
        <v>68</v>
      </c>
      <c r="I143" t="s">
        <v>558</v>
      </c>
    </row>
    <row r="144" spans="1:9" x14ac:dyDescent="0.25">
      <c r="A144" t="s">
        <v>559</v>
      </c>
      <c r="B144" t="s">
        <v>436</v>
      </c>
      <c r="C144" t="s">
        <v>437</v>
      </c>
      <c r="D144" t="s">
        <v>438</v>
      </c>
      <c r="E144" t="s">
        <v>561</v>
      </c>
      <c r="F144" s="69">
        <v>0.75</v>
      </c>
      <c r="G144" s="101">
        <v>65</v>
      </c>
      <c r="H144" s="104">
        <v>69</v>
      </c>
      <c r="I144" t="s">
        <v>562</v>
      </c>
    </row>
    <row r="145" spans="1:9" x14ac:dyDescent="0.25">
      <c r="A145" t="s">
        <v>1082</v>
      </c>
      <c r="B145" t="s">
        <v>436</v>
      </c>
      <c r="C145" t="s">
        <v>437</v>
      </c>
      <c r="D145" t="s">
        <v>438</v>
      </c>
      <c r="E145" t="s">
        <v>477</v>
      </c>
      <c r="F145" s="69">
        <v>0.73</v>
      </c>
      <c r="G145" s="101">
        <v>48</v>
      </c>
      <c r="H145" s="104">
        <v>55</v>
      </c>
      <c r="I145" t="s">
        <v>1083</v>
      </c>
    </row>
    <row r="146" spans="1:9" x14ac:dyDescent="0.25">
      <c r="A146" t="s">
        <v>1084</v>
      </c>
      <c r="B146" t="s">
        <v>436</v>
      </c>
      <c r="C146" t="s">
        <v>437</v>
      </c>
      <c r="D146" t="s">
        <v>438</v>
      </c>
      <c r="E146" t="s">
        <v>537</v>
      </c>
      <c r="F146" s="69">
        <v>0.76500000000000001</v>
      </c>
      <c r="G146" s="101">
        <v>50</v>
      </c>
      <c r="H146" s="104">
        <v>55</v>
      </c>
      <c r="I146" t="s">
        <v>1085</v>
      </c>
    </row>
    <row r="147" spans="1:9" x14ac:dyDescent="0.25">
      <c r="A147" t="s">
        <v>563</v>
      </c>
      <c r="B147" t="s">
        <v>436</v>
      </c>
      <c r="C147" t="s">
        <v>451</v>
      </c>
      <c r="D147" t="s">
        <v>445</v>
      </c>
      <c r="E147" t="s">
        <v>453</v>
      </c>
      <c r="F147" s="69">
        <v>0.75</v>
      </c>
      <c r="G147" s="101">
        <v>63</v>
      </c>
      <c r="H147" s="104">
        <v>75</v>
      </c>
      <c r="I147" t="s">
        <v>564</v>
      </c>
    </row>
    <row r="148" spans="1:9" x14ac:dyDescent="0.25">
      <c r="A148" t="s">
        <v>565</v>
      </c>
      <c r="B148" t="s">
        <v>436</v>
      </c>
      <c r="C148" t="s">
        <v>437</v>
      </c>
      <c r="D148" t="s">
        <v>452</v>
      </c>
      <c r="E148" t="s">
        <v>458</v>
      </c>
      <c r="F148" s="69">
        <v>0.74</v>
      </c>
      <c r="G148" s="101">
        <v>68</v>
      </c>
      <c r="H148" s="104">
        <v>72</v>
      </c>
      <c r="I148" t="s">
        <v>566</v>
      </c>
    </row>
    <row r="149" spans="1:9" x14ac:dyDescent="0.25">
      <c r="A149" t="s">
        <v>567</v>
      </c>
      <c r="B149" t="s">
        <v>436</v>
      </c>
      <c r="C149" t="s">
        <v>437</v>
      </c>
      <c r="D149" t="s">
        <v>447</v>
      </c>
      <c r="E149" t="s">
        <v>568</v>
      </c>
      <c r="F149" s="69">
        <v>0.76500000000000001</v>
      </c>
      <c r="G149" s="101">
        <v>66</v>
      </c>
      <c r="H149" s="104">
        <v>70</v>
      </c>
      <c r="I149" t="s">
        <v>569</v>
      </c>
    </row>
    <row r="150" spans="1:9" x14ac:dyDescent="0.25">
      <c r="A150" t="s">
        <v>1275</v>
      </c>
      <c r="B150" t="s">
        <v>436</v>
      </c>
      <c r="C150" t="s">
        <v>451</v>
      </c>
      <c r="D150" t="s">
        <v>438</v>
      </c>
      <c r="E150" t="s">
        <v>1276</v>
      </c>
      <c r="F150" s="69">
        <v>0.72</v>
      </c>
      <c r="G150" s="101">
        <v>48</v>
      </c>
      <c r="H150" s="104">
        <v>56</v>
      </c>
      <c r="I150" t="s">
        <v>1277</v>
      </c>
    </row>
    <row r="151" spans="1:9" x14ac:dyDescent="0.25">
      <c r="A151" t="s">
        <v>570</v>
      </c>
      <c r="B151" t="s">
        <v>436</v>
      </c>
      <c r="C151" t="s">
        <v>451</v>
      </c>
      <c r="D151" t="s">
        <v>438</v>
      </c>
      <c r="E151" t="s">
        <v>579</v>
      </c>
      <c r="F151" s="69">
        <v>0.73</v>
      </c>
      <c r="G151" s="101">
        <v>62</v>
      </c>
      <c r="H151" s="104">
        <v>72</v>
      </c>
      <c r="I151" t="s">
        <v>571</v>
      </c>
    </row>
    <row r="152" spans="1:9" x14ac:dyDescent="0.25">
      <c r="A152" t="s">
        <v>572</v>
      </c>
      <c r="B152" t="s">
        <v>436</v>
      </c>
      <c r="C152" t="s">
        <v>437</v>
      </c>
      <c r="D152" t="s">
        <v>441</v>
      </c>
      <c r="E152" t="s">
        <v>1123</v>
      </c>
      <c r="F152" s="69">
        <v>0.71499999999999997</v>
      </c>
      <c r="G152" s="101">
        <v>65</v>
      </c>
      <c r="H152" s="104">
        <v>68</v>
      </c>
      <c r="I152" t="s">
        <v>573</v>
      </c>
    </row>
    <row r="153" spans="1:9" x14ac:dyDescent="0.25">
      <c r="A153" t="s">
        <v>1248</v>
      </c>
      <c r="B153" t="s">
        <v>436</v>
      </c>
      <c r="C153" t="s">
        <v>949</v>
      </c>
      <c r="D153" t="s">
        <v>445</v>
      </c>
      <c r="F153" s="69">
        <v>0.75</v>
      </c>
      <c r="G153" s="101">
        <v>46</v>
      </c>
      <c r="H153" s="104">
        <v>54</v>
      </c>
      <c r="I153" t="s">
        <v>1249</v>
      </c>
    </row>
    <row r="154" spans="1:9" x14ac:dyDescent="0.25">
      <c r="A154" t="s">
        <v>574</v>
      </c>
      <c r="B154" t="s">
        <v>436</v>
      </c>
      <c r="C154" t="s">
        <v>451</v>
      </c>
      <c r="D154" t="s">
        <v>447</v>
      </c>
      <c r="E154" t="s">
        <v>453</v>
      </c>
      <c r="F154" s="69">
        <v>0.75</v>
      </c>
      <c r="G154" s="101">
        <v>56</v>
      </c>
      <c r="H154" s="104">
        <v>70</v>
      </c>
      <c r="I154" t="s">
        <v>575</v>
      </c>
    </row>
    <row r="155" spans="1:9" x14ac:dyDescent="0.25">
      <c r="A155" t="s">
        <v>1278</v>
      </c>
      <c r="B155" t="s">
        <v>436</v>
      </c>
      <c r="C155" t="s">
        <v>451</v>
      </c>
      <c r="D155" t="s">
        <v>447</v>
      </c>
      <c r="E155" t="s">
        <v>1256</v>
      </c>
      <c r="F155" s="69">
        <v>0.75</v>
      </c>
      <c r="G155" s="101">
        <v>56</v>
      </c>
      <c r="H155" s="104">
        <v>70</v>
      </c>
      <c r="I155" t="s">
        <v>1279</v>
      </c>
    </row>
    <row r="156" spans="1:9" x14ac:dyDescent="0.25">
      <c r="A156" t="s">
        <v>1158</v>
      </c>
      <c r="B156" t="s">
        <v>436</v>
      </c>
      <c r="C156" t="s">
        <v>949</v>
      </c>
      <c r="D156" t="s">
        <v>445</v>
      </c>
      <c r="E156" t="s">
        <v>438</v>
      </c>
      <c r="F156" s="69">
        <v>0.76500000000000001</v>
      </c>
      <c r="G156" s="101">
        <v>58</v>
      </c>
      <c r="H156" s="104">
        <v>66</v>
      </c>
      <c r="I156" t="s">
        <v>1245</v>
      </c>
    </row>
    <row r="157" spans="1:9" x14ac:dyDescent="0.25">
      <c r="A157" s="23" t="s">
        <v>1737</v>
      </c>
      <c r="B157" s="23" t="s">
        <v>436</v>
      </c>
      <c r="C157" s="23" t="s">
        <v>1690</v>
      </c>
      <c r="D157" s="23" t="s">
        <v>441</v>
      </c>
      <c r="E157" s="23" t="s">
        <v>1738</v>
      </c>
      <c r="F157" s="171">
        <v>0.73</v>
      </c>
      <c r="G157" s="101">
        <v>55</v>
      </c>
      <c r="H157" s="104">
        <v>65</v>
      </c>
      <c r="I157" s="23" t="s">
        <v>1739</v>
      </c>
    </row>
    <row r="158" spans="1:9" x14ac:dyDescent="0.25">
      <c r="A158" s="23" t="s">
        <v>1740</v>
      </c>
      <c r="B158" s="23" t="s">
        <v>436</v>
      </c>
      <c r="C158" s="23" t="s">
        <v>1690</v>
      </c>
      <c r="D158" s="23" t="s">
        <v>452</v>
      </c>
      <c r="E158" s="23" t="s">
        <v>1256</v>
      </c>
      <c r="F158" s="171">
        <v>0.75</v>
      </c>
      <c r="G158" s="101">
        <v>46</v>
      </c>
      <c r="H158" s="104">
        <v>56</v>
      </c>
      <c r="I158" s="23" t="s">
        <v>1741</v>
      </c>
    </row>
    <row r="159" spans="1:9" x14ac:dyDescent="0.25">
      <c r="A159" s="23" t="s">
        <v>1742</v>
      </c>
      <c r="B159" s="23" t="s">
        <v>436</v>
      </c>
      <c r="C159" s="23" t="s">
        <v>1690</v>
      </c>
      <c r="D159" s="23" t="s">
        <v>438</v>
      </c>
      <c r="E159" s="23" t="s">
        <v>1276</v>
      </c>
      <c r="F159" s="171">
        <v>0.72</v>
      </c>
      <c r="G159" s="101">
        <v>50</v>
      </c>
      <c r="H159" s="104">
        <v>60</v>
      </c>
      <c r="I159" s="23" t="s">
        <v>1743</v>
      </c>
    </row>
    <row r="160" spans="1:9" x14ac:dyDescent="0.25">
      <c r="A160" s="23" t="s">
        <v>1744</v>
      </c>
      <c r="B160" s="23" t="s">
        <v>436</v>
      </c>
      <c r="C160" s="23" t="s">
        <v>1690</v>
      </c>
      <c r="D160" s="23" t="s">
        <v>438</v>
      </c>
      <c r="E160" s="23" t="s">
        <v>1738</v>
      </c>
      <c r="F160" s="171">
        <v>0.73</v>
      </c>
      <c r="G160" s="101">
        <v>52</v>
      </c>
      <c r="H160" s="104">
        <v>58</v>
      </c>
      <c r="I160" s="23" t="s">
        <v>1745</v>
      </c>
    </row>
    <row r="161" spans="1:9" x14ac:dyDescent="0.25">
      <c r="A161" t="s">
        <v>1069</v>
      </c>
      <c r="B161" t="s">
        <v>436</v>
      </c>
      <c r="C161" t="s">
        <v>451</v>
      </c>
      <c r="E161" t="s">
        <v>149</v>
      </c>
      <c r="F161" s="69"/>
      <c r="G161" s="101">
        <v>60</v>
      </c>
      <c r="H161" s="104">
        <v>95</v>
      </c>
      <c r="I161" t="s">
        <v>1070</v>
      </c>
    </row>
    <row r="162" spans="1:9" x14ac:dyDescent="0.25">
      <c r="A162" t="s">
        <v>1030</v>
      </c>
      <c r="B162" t="s">
        <v>436</v>
      </c>
      <c r="C162" t="s">
        <v>451</v>
      </c>
      <c r="D162" t="s">
        <v>447</v>
      </c>
      <c r="E162" t="s">
        <v>1280</v>
      </c>
      <c r="F162" s="69">
        <v>0.73</v>
      </c>
      <c r="G162" s="101">
        <v>64</v>
      </c>
      <c r="H162" s="104">
        <v>75</v>
      </c>
      <c r="I162" t="s">
        <v>1281</v>
      </c>
    </row>
    <row r="163" spans="1:9" x14ac:dyDescent="0.25">
      <c r="A163" t="s">
        <v>576</v>
      </c>
      <c r="B163" t="s">
        <v>436</v>
      </c>
      <c r="C163" t="s">
        <v>451</v>
      </c>
      <c r="D163" t="s">
        <v>452</v>
      </c>
      <c r="E163" t="s">
        <v>453</v>
      </c>
      <c r="F163" s="69">
        <v>0.75</v>
      </c>
      <c r="G163" s="101">
        <v>60</v>
      </c>
      <c r="H163" s="104">
        <v>72</v>
      </c>
      <c r="I163" t="s">
        <v>577</v>
      </c>
    </row>
    <row r="164" spans="1:9" x14ac:dyDescent="0.25">
      <c r="A164" t="s">
        <v>578</v>
      </c>
      <c r="B164" t="s">
        <v>436</v>
      </c>
      <c r="C164" t="s">
        <v>451</v>
      </c>
      <c r="D164" t="s">
        <v>445</v>
      </c>
      <c r="E164" t="s">
        <v>579</v>
      </c>
      <c r="F164" s="69">
        <v>0.73</v>
      </c>
      <c r="G164" s="101">
        <v>64</v>
      </c>
      <c r="H164" s="104">
        <v>74</v>
      </c>
      <c r="I164" t="s">
        <v>580</v>
      </c>
    </row>
    <row r="165" spans="1:9" x14ac:dyDescent="0.25">
      <c r="A165" t="s">
        <v>581</v>
      </c>
      <c r="B165" t="s">
        <v>436</v>
      </c>
      <c r="C165" t="s">
        <v>437</v>
      </c>
      <c r="D165" t="s">
        <v>438</v>
      </c>
      <c r="E165" t="s">
        <v>582</v>
      </c>
      <c r="F165" s="69">
        <v>0.71</v>
      </c>
      <c r="G165" s="101">
        <v>66</v>
      </c>
      <c r="H165" s="104">
        <v>71</v>
      </c>
      <c r="I165" t="s">
        <v>583</v>
      </c>
    </row>
    <row r="166" spans="1:9" x14ac:dyDescent="0.25">
      <c r="A166" t="s">
        <v>584</v>
      </c>
      <c r="B166" t="s">
        <v>436</v>
      </c>
      <c r="C166" t="s">
        <v>451</v>
      </c>
      <c r="D166" t="s">
        <v>445</v>
      </c>
      <c r="E166" t="s">
        <v>550</v>
      </c>
      <c r="F166" s="69">
        <v>0.69</v>
      </c>
      <c r="G166" s="51">
        <v>64</v>
      </c>
      <c r="H166" s="105">
        <v>72</v>
      </c>
      <c r="I166" t="s">
        <v>585</v>
      </c>
    </row>
    <row r="167" spans="1:9" x14ac:dyDescent="0.25">
      <c r="A167" t="s">
        <v>942</v>
      </c>
      <c r="B167" t="s">
        <v>436</v>
      </c>
      <c r="C167" t="s">
        <v>943</v>
      </c>
      <c r="D167" t="s">
        <v>445</v>
      </c>
      <c r="E167" t="s">
        <v>532</v>
      </c>
      <c r="F167" s="69">
        <v>0.75</v>
      </c>
      <c r="G167" s="163">
        <v>68</v>
      </c>
      <c r="H167" s="104">
        <v>75</v>
      </c>
      <c r="I167" t="s">
        <v>944</v>
      </c>
    </row>
    <row r="168" spans="1:9" x14ac:dyDescent="0.25">
      <c r="A168" t="s">
        <v>1124</v>
      </c>
      <c r="B168" t="s">
        <v>436</v>
      </c>
      <c r="C168" t="s">
        <v>437</v>
      </c>
      <c r="D168" t="s">
        <v>441</v>
      </c>
      <c r="E168" t="s">
        <v>438</v>
      </c>
      <c r="F168" s="69">
        <v>0.72</v>
      </c>
      <c r="G168" s="101">
        <v>65</v>
      </c>
      <c r="H168" s="104">
        <v>70</v>
      </c>
      <c r="I168" t="s">
        <v>1125</v>
      </c>
    </row>
    <row r="169" spans="1:9" x14ac:dyDescent="0.25">
      <c r="A169" t="s">
        <v>980</v>
      </c>
      <c r="B169" t="s">
        <v>436</v>
      </c>
      <c r="C169" t="s">
        <v>437</v>
      </c>
      <c r="D169" t="s">
        <v>438</v>
      </c>
      <c r="E169" t="s">
        <v>981</v>
      </c>
      <c r="F169" s="69">
        <v>0.74</v>
      </c>
      <c r="G169" s="101">
        <v>50</v>
      </c>
      <c r="H169" s="104">
        <v>55</v>
      </c>
      <c r="I169" t="s">
        <v>982</v>
      </c>
    </row>
    <row r="170" spans="1:9" x14ac:dyDescent="0.25">
      <c r="A170" t="s">
        <v>1128</v>
      </c>
      <c r="B170" t="s">
        <v>436</v>
      </c>
      <c r="C170" t="s">
        <v>949</v>
      </c>
      <c r="D170" t="s">
        <v>438</v>
      </c>
      <c r="E170" t="s">
        <v>438</v>
      </c>
      <c r="F170" s="69"/>
      <c r="G170" s="101">
        <v>46</v>
      </c>
      <c r="H170" s="104">
        <v>54</v>
      </c>
      <c r="I170" t="s">
        <v>1129</v>
      </c>
    </row>
    <row r="171" spans="1:9" x14ac:dyDescent="0.25">
      <c r="A171" t="s">
        <v>983</v>
      </c>
      <c r="B171" t="s">
        <v>436</v>
      </c>
      <c r="C171" t="s">
        <v>437</v>
      </c>
      <c r="D171" t="s">
        <v>438</v>
      </c>
      <c r="E171" t="s">
        <v>438</v>
      </c>
      <c r="F171" s="69">
        <v>0.7</v>
      </c>
      <c r="G171" s="101">
        <v>48</v>
      </c>
      <c r="H171" s="104">
        <v>52</v>
      </c>
      <c r="I171" t="s">
        <v>984</v>
      </c>
    </row>
    <row r="172" spans="1:9" x14ac:dyDescent="0.25">
      <c r="A172" t="s">
        <v>1086</v>
      </c>
      <c r="B172" t="s">
        <v>436</v>
      </c>
      <c r="C172" t="s">
        <v>451</v>
      </c>
      <c r="D172" t="s">
        <v>438</v>
      </c>
      <c r="E172" t="s">
        <v>1087</v>
      </c>
      <c r="F172" s="69">
        <v>0.72</v>
      </c>
      <c r="G172" s="101">
        <v>48</v>
      </c>
      <c r="H172" s="104">
        <v>56</v>
      </c>
      <c r="I172" t="s">
        <v>1088</v>
      </c>
    </row>
    <row r="173" spans="1:9" x14ac:dyDescent="0.25">
      <c r="A173" t="s">
        <v>1089</v>
      </c>
      <c r="B173" t="s">
        <v>436</v>
      </c>
      <c r="C173" t="s">
        <v>451</v>
      </c>
      <c r="D173" t="s">
        <v>438</v>
      </c>
      <c r="E173" t="s">
        <v>1282</v>
      </c>
      <c r="F173" s="69">
        <v>0.73</v>
      </c>
      <c r="G173" s="101">
        <v>52</v>
      </c>
      <c r="H173" s="104">
        <v>62</v>
      </c>
      <c r="I173" t="s">
        <v>1090</v>
      </c>
    </row>
    <row r="174" spans="1:9" x14ac:dyDescent="0.25">
      <c r="A174" s="23" t="s">
        <v>1319</v>
      </c>
      <c r="B174" t="s">
        <v>511</v>
      </c>
      <c r="C174" t="s">
        <v>934</v>
      </c>
      <c r="D174" t="s">
        <v>1164</v>
      </c>
      <c r="E174" t="s">
        <v>438</v>
      </c>
      <c r="F174" s="69">
        <v>0.7</v>
      </c>
      <c r="G174" s="101">
        <v>63</v>
      </c>
      <c r="H174" s="104">
        <v>72</v>
      </c>
      <c r="I174" t="s">
        <v>1165</v>
      </c>
    </row>
    <row r="175" spans="1:9" x14ac:dyDescent="0.25">
      <c r="A175" t="s">
        <v>586</v>
      </c>
      <c r="B175" t="s">
        <v>511</v>
      </c>
      <c r="C175" t="s">
        <v>587</v>
      </c>
      <c r="D175" t="s">
        <v>445</v>
      </c>
      <c r="E175" t="s">
        <v>445</v>
      </c>
      <c r="F175" s="69"/>
      <c r="G175" s="101">
        <v>57</v>
      </c>
      <c r="H175" s="104">
        <v>77</v>
      </c>
      <c r="I175" t="s">
        <v>588</v>
      </c>
    </row>
    <row r="176" spans="1:9" x14ac:dyDescent="0.25">
      <c r="A176" t="s">
        <v>589</v>
      </c>
      <c r="B176" t="s">
        <v>511</v>
      </c>
      <c r="C176" t="s">
        <v>587</v>
      </c>
      <c r="D176" t="s">
        <v>445</v>
      </c>
      <c r="E176" t="s">
        <v>445</v>
      </c>
      <c r="F176" s="69"/>
      <c r="G176" s="101">
        <v>57</v>
      </c>
      <c r="H176" s="104">
        <v>77</v>
      </c>
      <c r="I176" t="s">
        <v>590</v>
      </c>
    </row>
    <row r="177" spans="1:9" x14ac:dyDescent="0.25">
      <c r="A177" t="s">
        <v>945</v>
      </c>
      <c r="B177" t="s">
        <v>436</v>
      </c>
      <c r="C177" t="s">
        <v>437</v>
      </c>
      <c r="D177" t="s">
        <v>438</v>
      </c>
      <c r="E177" t="s">
        <v>946</v>
      </c>
      <c r="F177" s="69">
        <v>0.80500000000000005</v>
      </c>
      <c r="G177" s="101">
        <v>76</v>
      </c>
      <c r="H177" s="104">
        <v>85</v>
      </c>
      <c r="I177" t="s">
        <v>947</v>
      </c>
    </row>
    <row r="178" spans="1:9" x14ac:dyDescent="0.25">
      <c r="A178" t="s">
        <v>1104</v>
      </c>
      <c r="B178" t="s">
        <v>511</v>
      </c>
      <c r="C178" t="s">
        <v>961</v>
      </c>
      <c r="D178" t="s">
        <v>438</v>
      </c>
      <c r="E178" t="s">
        <v>438</v>
      </c>
      <c r="F178" s="69"/>
      <c r="G178" s="101">
        <v>64</v>
      </c>
      <c r="H178" s="104">
        <v>72</v>
      </c>
      <c r="I178" t="s">
        <v>1105</v>
      </c>
    </row>
    <row r="179" spans="1:9" x14ac:dyDescent="0.25">
      <c r="A179" t="s">
        <v>985</v>
      </c>
      <c r="B179" t="s">
        <v>436</v>
      </c>
      <c r="C179" t="s">
        <v>451</v>
      </c>
      <c r="D179" t="s">
        <v>445</v>
      </c>
      <c r="E179" t="s">
        <v>1280</v>
      </c>
      <c r="F179" s="69">
        <v>0.73</v>
      </c>
      <c r="G179" s="101">
        <v>52</v>
      </c>
      <c r="H179" s="104">
        <v>58</v>
      </c>
      <c r="I179" t="s">
        <v>1283</v>
      </c>
    </row>
    <row r="180" spans="1:9" x14ac:dyDescent="0.25">
      <c r="A180" t="s">
        <v>1138</v>
      </c>
      <c r="B180" t="s">
        <v>436</v>
      </c>
      <c r="C180" t="s">
        <v>444</v>
      </c>
      <c r="D180" t="s">
        <v>447</v>
      </c>
      <c r="E180" t="s">
        <v>445</v>
      </c>
      <c r="F180" s="69"/>
      <c r="G180" s="101">
        <v>68</v>
      </c>
      <c r="H180" s="104">
        <v>72</v>
      </c>
      <c r="I180" t="s">
        <v>1139</v>
      </c>
    </row>
    <row r="181" spans="1:9" x14ac:dyDescent="0.25">
      <c r="A181" t="s">
        <v>948</v>
      </c>
      <c r="B181" t="s">
        <v>436</v>
      </c>
      <c r="C181" t="s">
        <v>949</v>
      </c>
      <c r="D181" t="s">
        <v>445</v>
      </c>
      <c r="E181" t="s">
        <v>445</v>
      </c>
      <c r="F181" s="69"/>
      <c r="G181" s="101">
        <v>65</v>
      </c>
      <c r="H181" s="104">
        <v>70</v>
      </c>
      <c r="I181" t="s">
        <v>950</v>
      </c>
    </row>
    <row r="182" spans="1:9" x14ac:dyDescent="0.25">
      <c r="A182" t="s">
        <v>591</v>
      </c>
      <c r="B182" t="s">
        <v>436</v>
      </c>
      <c r="C182" t="s">
        <v>451</v>
      </c>
      <c r="D182" t="s">
        <v>445</v>
      </c>
      <c r="E182" t="s">
        <v>550</v>
      </c>
      <c r="F182" s="69">
        <v>0.69</v>
      </c>
      <c r="G182" s="101">
        <v>65</v>
      </c>
      <c r="H182" s="104">
        <v>75</v>
      </c>
      <c r="I182" t="s">
        <v>592</v>
      </c>
    </row>
    <row r="183" spans="1:9" x14ac:dyDescent="0.25">
      <c r="A183" t="s">
        <v>593</v>
      </c>
      <c r="B183" t="s">
        <v>511</v>
      </c>
      <c r="C183" t="s">
        <v>934</v>
      </c>
      <c r="D183" t="s">
        <v>445</v>
      </c>
      <c r="E183" t="s">
        <v>445</v>
      </c>
      <c r="F183" s="69">
        <v>0.75</v>
      </c>
      <c r="G183" s="101">
        <v>57</v>
      </c>
      <c r="H183" s="104">
        <v>70</v>
      </c>
      <c r="I183" t="s">
        <v>594</v>
      </c>
    </row>
    <row r="184" spans="1:9" x14ac:dyDescent="0.25">
      <c r="A184" t="s">
        <v>1152</v>
      </c>
      <c r="B184" t="s">
        <v>436</v>
      </c>
      <c r="C184" t="s">
        <v>451</v>
      </c>
      <c r="D184" t="s">
        <v>452</v>
      </c>
      <c r="E184" t="s">
        <v>453</v>
      </c>
      <c r="F184" s="69">
        <v>0.75</v>
      </c>
      <c r="G184" s="101">
        <v>48</v>
      </c>
      <c r="H184" s="104">
        <v>58</v>
      </c>
      <c r="I184" t="s">
        <v>1153</v>
      </c>
    </row>
    <row r="185" spans="1:9" x14ac:dyDescent="0.25">
      <c r="A185" t="s">
        <v>1154</v>
      </c>
      <c r="B185" t="s">
        <v>436</v>
      </c>
      <c r="C185" t="s">
        <v>437</v>
      </c>
      <c r="D185" t="s">
        <v>438</v>
      </c>
      <c r="E185" t="s">
        <v>1155</v>
      </c>
      <c r="F185" s="69">
        <v>0.69</v>
      </c>
      <c r="G185" s="101">
        <v>52</v>
      </c>
      <c r="H185" s="104">
        <v>58</v>
      </c>
      <c r="I185" t="s">
        <v>1156</v>
      </c>
    </row>
    <row r="186" spans="1:9" x14ac:dyDescent="0.25">
      <c r="A186" t="s">
        <v>1091</v>
      </c>
      <c r="B186" t="s">
        <v>436</v>
      </c>
      <c r="C186" t="s">
        <v>437</v>
      </c>
      <c r="D186" t="s">
        <v>438</v>
      </c>
      <c r="E186" t="s">
        <v>1092</v>
      </c>
      <c r="F186" s="69">
        <v>0.69</v>
      </c>
      <c r="G186" s="101">
        <v>50</v>
      </c>
      <c r="H186" s="104">
        <v>55</v>
      </c>
      <c r="I186" t="s">
        <v>1093</v>
      </c>
    </row>
    <row r="187" spans="1:9" x14ac:dyDescent="0.25">
      <c r="A187" t="s">
        <v>951</v>
      </c>
      <c r="B187" t="s">
        <v>436</v>
      </c>
      <c r="C187" t="s">
        <v>949</v>
      </c>
      <c r="D187" t="s">
        <v>445</v>
      </c>
      <c r="E187" t="s">
        <v>447</v>
      </c>
      <c r="F187" s="69">
        <v>0.76</v>
      </c>
      <c r="G187" s="101">
        <v>60</v>
      </c>
      <c r="H187" s="104">
        <v>68</v>
      </c>
      <c r="I187" t="s">
        <v>1240</v>
      </c>
    </row>
    <row r="188" spans="1:9" x14ac:dyDescent="0.25">
      <c r="A188" t="s">
        <v>952</v>
      </c>
      <c r="B188" t="s">
        <v>436</v>
      </c>
      <c r="C188" t="s">
        <v>949</v>
      </c>
      <c r="D188" t="s">
        <v>438</v>
      </c>
      <c r="E188" t="s">
        <v>438</v>
      </c>
      <c r="F188" s="69"/>
      <c r="G188" s="101">
        <v>58</v>
      </c>
      <c r="H188" s="104">
        <v>68</v>
      </c>
      <c r="I188" t="s">
        <v>953</v>
      </c>
    </row>
    <row r="189" spans="1:9" x14ac:dyDescent="0.25">
      <c r="A189" t="s">
        <v>954</v>
      </c>
      <c r="B189" t="s">
        <v>436</v>
      </c>
      <c r="C189" t="s">
        <v>437</v>
      </c>
      <c r="D189" t="s">
        <v>438</v>
      </c>
      <c r="E189" t="s">
        <v>438</v>
      </c>
      <c r="F189" s="69"/>
      <c r="G189" s="101">
        <v>66</v>
      </c>
      <c r="H189" s="104">
        <v>70</v>
      </c>
      <c r="I189" t="s">
        <v>955</v>
      </c>
    </row>
    <row r="190" spans="1:9" x14ac:dyDescent="0.25">
      <c r="A190" t="s">
        <v>1071</v>
      </c>
      <c r="B190" t="s">
        <v>436</v>
      </c>
      <c r="C190" t="s">
        <v>949</v>
      </c>
      <c r="E190" t="s">
        <v>438</v>
      </c>
      <c r="F190" s="69"/>
      <c r="G190" s="101">
        <v>68</v>
      </c>
      <c r="H190" s="104">
        <v>74</v>
      </c>
      <c r="I190" t="s">
        <v>1072</v>
      </c>
    </row>
    <row r="191" spans="1:9" x14ac:dyDescent="0.25">
      <c r="A191" t="s">
        <v>595</v>
      </c>
      <c r="B191" t="s">
        <v>436</v>
      </c>
      <c r="C191" t="s">
        <v>437</v>
      </c>
      <c r="D191" t="s">
        <v>445</v>
      </c>
      <c r="E191" t="s">
        <v>552</v>
      </c>
      <c r="F191" s="69">
        <v>0.67500000000000004</v>
      </c>
      <c r="G191" s="101">
        <v>65</v>
      </c>
      <c r="H191" s="104">
        <v>68</v>
      </c>
      <c r="I191" t="s">
        <v>596</v>
      </c>
    </row>
    <row r="192" spans="1:9" x14ac:dyDescent="0.25">
      <c r="A192" t="s">
        <v>1073</v>
      </c>
      <c r="B192" t="s">
        <v>436</v>
      </c>
      <c r="C192" t="s">
        <v>451</v>
      </c>
      <c r="E192" t="s">
        <v>149</v>
      </c>
      <c r="F192" s="69"/>
      <c r="G192" s="101">
        <v>60</v>
      </c>
      <c r="H192" s="104">
        <v>95</v>
      </c>
      <c r="I192" t="s">
        <v>1070</v>
      </c>
    </row>
    <row r="193" spans="1:9" x14ac:dyDescent="0.25">
      <c r="A193" t="s">
        <v>1140</v>
      </c>
      <c r="B193" t="s">
        <v>436</v>
      </c>
      <c r="C193" t="s">
        <v>451</v>
      </c>
      <c r="D193" t="s">
        <v>438</v>
      </c>
      <c r="E193" t="s">
        <v>579</v>
      </c>
      <c r="F193" s="69">
        <v>0.73</v>
      </c>
      <c r="G193" s="101">
        <v>48</v>
      </c>
      <c r="H193" s="104">
        <v>56</v>
      </c>
      <c r="I193" t="s">
        <v>1141</v>
      </c>
    </row>
    <row r="194" spans="1:9" x14ac:dyDescent="0.25">
      <c r="A194" t="s">
        <v>1142</v>
      </c>
      <c r="B194" t="s">
        <v>436</v>
      </c>
      <c r="C194" t="s">
        <v>437</v>
      </c>
      <c r="D194" t="s">
        <v>441</v>
      </c>
      <c r="E194" t="s">
        <v>1143</v>
      </c>
      <c r="F194" s="69">
        <v>0.745</v>
      </c>
      <c r="G194" s="101">
        <v>50</v>
      </c>
      <c r="H194" s="104">
        <v>55</v>
      </c>
      <c r="I194" t="s">
        <v>1144</v>
      </c>
    </row>
    <row r="195" spans="1:9" x14ac:dyDescent="0.25">
      <c r="A195" t="s">
        <v>986</v>
      </c>
      <c r="B195" t="s">
        <v>436</v>
      </c>
      <c r="C195" t="s">
        <v>451</v>
      </c>
      <c r="D195" t="s">
        <v>447</v>
      </c>
      <c r="E195" t="s">
        <v>438</v>
      </c>
      <c r="F195" s="69"/>
      <c r="G195" s="101">
        <v>48</v>
      </c>
      <c r="H195" s="104">
        <v>68</v>
      </c>
      <c r="I195" t="s">
        <v>987</v>
      </c>
    </row>
    <row r="196" spans="1:9" x14ac:dyDescent="0.25">
      <c r="A196" t="s">
        <v>597</v>
      </c>
      <c r="B196" t="s">
        <v>436</v>
      </c>
      <c r="C196" t="s">
        <v>451</v>
      </c>
      <c r="D196" t="s">
        <v>445</v>
      </c>
      <c r="E196" t="s">
        <v>546</v>
      </c>
      <c r="F196" s="69">
        <v>0.7</v>
      </c>
      <c r="G196" s="101">
        <v>64</v>
      </c>
      <c r="H196" s="104">
        <v>74</v>
      </c>
      <c r="I196" t="s">
        <v>598</v>
      </c>
    </row>
    <row r="197" spans="1:9" x14ac:dyDescent="0.25">
      <c r="A197" t="s">
        <v>988</v>
      </c>
      <c r="B197" t="s">
        <v>436</v>
      </c>
      <c r="C197" t="s">
        <v>451</v>
      </c>
      <c r="D197" t="s">
        <v>441</v>
      </c>
      <c r="E197" t="s">
        <v>1276</v>
      </c>
      <c r="F197" s="69">
        <v>0.72</v>
      </c>
      <c r="G197" s="101">
        <v>48</v>
      </c>
      <c r="H197" s="104">
        <v>56</v>
      </c>
      <c r="I197" t="s">
        <v>1284</v>
      </c>
    </row>
    <row r="198" spans="1:9" x14ac:dyDescent="0.25">
      <c r="A198" t="s">
        <v>1074</v>
      </c>
      <c r="B198" t="s">
        <v>436</v>
      </c>
      <c r="C198" t="s">
        <v>451</v>
      </c>
      <c r="D198" t="s">
        <v>150</v>
      </c>
      <c r="E198" t="s">
        <v>1285</v>
      </c>
      <c r="F198" s="69">
        <v>0.8</v>
      </c>
      <c r="G198" s="101">
        <v>65</v>
      </c>
      <c r="H198" s="104">
        <v>85</v>
      </c>
      <c r="I198" t="s">
        <v>1286</v>
      </c>
    </row>
    <row r="199" spans="1:9" ht="26.4" x14ac:dyDescent="0.25">
      <c r="A199" t="s">
        <v>1296</v>
      </c>
      <c r="B199" t="s">
        <v>511</v>
      </c>
      <c r="C199" t="s">
        <v>554</v>
      </c>
      <c r="E199" s="55"/>
      <c r="F199" s="69">
        <v>0.9</v>
      </c>
      <c r="G199" s="101">
        <v>64.400000000000006</v>
      </c>
      <c r="H199" s="104">
        <v>82.4</v>
      </c>
      <c r="I199" s="100" t="s">
        <v>1297</v>
      </c>
    </row>
    <row r="200" spans="1:9" ht="26.4" x14ac:dyDescent="0.25">
      <c r="A200" t="s">
        <v>1312</v>
      </c>
      <c r="B200" t="s">
        <v>511</v>
      </c>
      <c r="C200" t="s">
        <v>554</v>
      </c>
      <c r="E200" s="55"/>
      <c r="F200" s="69">
        <v>0.82</v>
      </c>
      <c r="G200" s="101">
        <v>59</v>
      </c>
      <c r="H200" s="104">
        <v>68</v>
      </c>
      <c r="I200" s="100" t="s">
        <v>1313</v>
      </c>
    </row>
    <row r="201" spans="1:9" ht="39.6" x14ac:dyDescent="0.25">
      <c r="A201" t="s">
        <v>1310</v>
      </c>
      <c r="B201" t="s">
        <v>511</v>
      </c>
      <c r="C201" t="s">
        <v>554</v>
      </c>
      <c r="E201" s="55"/>
      <c r="F201" s="69"/>
      <c r="G201" s="101">
        <v>59</v>
      </c>
      <c r="H201" s="104">
        <v>77</v>
      </c>
      <c r="I201" s="100" t="s">
        <v>1311</v>
      </c>
    </row>
    <row r="202" spans="1:9" ht="26.4" x14ac:dyDescent="0.25">
      <c r="A202" t="s">
        <v>1308</v>
      </c>
      <c r="B202" t="s">
        <v>511</v>
      </c>
      <c r="C202" t="s">
        <v>554</v>
      </c>
      <c r="E202" s="55"/>
      <c r="F202" s="69">
        <v>0.81</v>
      </c>
      <c r="G202" s="101">
        <v>59</v>
      </c>
      <c r="H202" s="104">
        <v>68</v>
      </c>
      <c r="I202" s="100" t="s">
        <v>1309</v>
      </c>
    </row>
    <row r="203" spans="1:9" ht="39.6" x14ac:dyDescent="0.25">
      <c r="A203" t="s">
        <v>1298</v>
      </c>
      <c r="B203" t="s">
        <v>511</v>
      </c>
      <c r="C203" t="s">
        <v>554</v>
      </c>
      <c r="E203" s="55"/>
      <c r="F203" s="69">
        <v>0.79</v>
      </c>
      <c r="G203" s="101">
        <v>59</v>
      </c>
      <c r="H203" s="104">
        <v>68</v>
      </c>
      <c r="I203" s="100" t="s">
        <v>1299</v>
      </c>
    </row>
    <row r="204" spans="1:9" ht="39.6" x14ac:dyDescent="0.25">
      <c r="A204" t="s">
        <v>1303</v>
      </c>
      <c r="B204" t="s">
        <v>511</v>
      </c>
      <c r="C204" t="s">
        <v>554</v>
      </c>
      <c r="E204" s="55"/>
      <c r="F204" s="69">
        <v>0.75</v>
      </c>
      <c r="G204" s="101">
        <v>59</v>
      </c>
      <c r="H204" s="104">
        <v>68</v>
      </c>
      <c r="I204" s="100" t="s">
        <v>1304</v>
      </c>
    </row>
    <row r="205" spans="1:9" ht="26.4" x14ac:dyDescent="0.25">
      <c r="A205" t="s">
        <v>1301</v>
      </c>
      <c r="B205" t="s">
        <v>511</v>
      </c>
      <c r="C205" t="s">
        <v>554</v>
      </c>
      <c r="E205" s="55"/>
      <c r="F205" s="69">
        <v>0.75</v>
      </c>
      <c r="G205" s="101">
        <v>59</v>
      </c>
      <c r="H205" s="104">
        <v>68</v>
      </c>
      <c r="I205" s="100" t="s">
        <v>1302</v>
      </c>
    </row>
    <row r="206" spans="1:9" ht="26.4" x14ac:dyDescent="0.25">
      <c r="A206" t="s">
        <v>1300</v>
      </c>
      <c r="B206" t="s">
        <v>511</v>
      </c>
      <c r="C206" t="s">
        <v>554</v>
      </c>
      <c r="D206" t="s">
        <v>438</v>
      </c>
      <c r="E206" t="s">
        <v>445</v>
      </c>
      <c r="F206" s="69">
        <v>0.81</v>
      </c>
      <c r="G206" s="101">
        <v>64</v>
      </c>
      <c r="H206" s="104">
        <v>82</v>
      </c>
      <c r="I206" s="100" t="s">
        <v>1295</v>
      </c>
    </row>
    <row r="207" spans="1:9" x14ac:dyDescent="0.25">
      <c r="A207" t="s">
        <v>1166</v>
      </c>
      <c r="B207" t="s">
        <v>511</v>
      </c>
      <c r="C207" t="s">
        <v>554</v>
      </c>
      <c r="D207" t="s">
        <v>445</v>
      </c>
      <c r="E207" t="s">
        <v>445</v>
      </c>
      <c r="F207" s="69">
        <v>0.86</v>
      </c>
      <c r="G207" s="101">
        <v>64</v>
      </c>
      <c r="H207" s="104">
        <v>75</v>
      </c>
      <c r="I207" t="s">
        <v>1167</v>
      </c>
    </row>
    <row r="208" spans="1:9" ht="26.4" x14ac:dyDescent="0.25">
      <c r="A208" t="s">
        <v>1314</v>
      </c>
      <c r="B208" t="s">
        <v>511</v>
      </c>
      <c r="C208" t="s">
        <v>554</v>
      </c>
      <c r="E208" s="55"/>
      <c r="F208" s="69">
        <v>0.84</v>
      </c>
      <c r="G208" s="101">
        <v>53.6</v>
      </c>
      <c r="H208" s="104">
        <v>59</v>
      </c>
      <c r="I208" s="100" t="s">
        <v>1315</v>
      </c>
    </row>
    <row r="209" spans="1:9" x14ac:dyDescent="0.25">
      <c r="A209" t="s">
        <v>1307</v>
      </c>
      <c r="B209" t="s">
        <v>511</v>
      </c>
      <c r="C209" t="s">
        <v>554</v>
      </c>
      <c r="D209" t="s">
        <v>441</v>
      </c>
      <c r="E209" s="55">
        <v>0.8</v>
      </c>
      <c r="F209" s="69">
        <v>0.8</v>
      </c>
      <c r="G209" s="101">
        <v>48</v>
      </c>
      <c r="H209" s="104">
        <v>59</v>
      </c>
      <c r="I209" t="s">
        <v>1145</v>
      </c>
    </row>
    <row r="210" spans="1:9" x14ac:dyDescent="0.25">
      <c r="A210" t="s">
        <v>1306</v>
      </c>
      <c r="B210" t="s">
        <v>511</v>
      </c>
      <c r="C210" t="s">
        <v>554</v>
      </c>
      <c r="D210" t="s">
        <v>445</v>
      </c>
      <c r="E210" t="s">
        <v>445</v>
      </c>
      <c r="F210" s="69">
        <v>0.83</v>
      </c>
      <c r="G210" s="101">
        <v>54</v>
      </c>
      <c r="H210" s="104">
        <v>59</v>
      </c>
      <c r="I210" t="s">
        <v>989</v>
      </c>
    </row>
    <row r="211" spans="1:9" x14ac:dyDescent="0.25">
      <c r="A211" t="s">
        <v>1237</v>
      </c>
      <c r="B211" t="s">
        <v>436</v>
      </c>
      <c r="C211" t="s">
        <v>949</v>
      </c>
      <c r="D211" t="s">
        <v>438</v>
      </c>
      <c r="E211" t="s">
        <v>438</v>
      </c>
      <c r="F211" s="69">
        <v>0.8</v>
      </c>
      <c r="G211" s="101">
        <v>75</v>
      </c>
      <c r="H211" s="104">
        <v>85</v>
      </c>
      <c r="I211" t="s">
        <v>1238</v>
      </c>
    </row>
    <row r="212" spans="1:9" x14ac:dyDescent="0.25">
      <c r="A212" t="s">
        <v>1235</v>
      </c>
      <c r="B212" t="s">
        <v>436</v>
      </c>
      <c r="C212" t="s">
        <v>949</v>
      </c>
      <c r="D212" t="s">
        <v>438</v>
      </c>
      <c r="E212" t="s">
        <v>438</v>
      </c>
      <c r="F212" s="69">
        <v>0.77</v>
      </c>
      <c r="G212" s="101">
        <v>75</v>
      </c>
      <c r="H212" s="104">
        <v>82</v>
      </c>
      <c r="I212" t="s">
        <v>1243</v>
      </c>
    </row>
    <row r="213" spans="1:9" x14ac:dyDescent="0.25">
      <c r="A213" t="s">
        <v>956</v>
      </c>
      <c r="B213" t="s">
        <v>436</v>
      </c>
      <c r="C213" t="s">
        <v>437</v>
      </c>
      <c r="D213" t="s">
        <v>441</v>
      </c>
      <c r="E213" t="s">
        <v>445</v>
      </c>
      <c r="F213" s="69">
        <v>0.75</v>
      </c>
      <c r="G213" s="101">
        <v>65</v>
      </c>
      <c r="H213" s="104">
        <v>68</v>
      </c>
      <c r="I213" t="s">
        <v>957</v>
      </c>
    </row>
    <row r="214" spans="1:9" x14ac:dyDescent="0.25">
      <c r="A214" t="s">
        <v>599</v>
      </c>
      <c r="B214" t="s">
        <v>436</v>
      </c>
      <c r="C214" t="s">
        <v>437</v>
      </c>
      <c r="D214" t="s">
        <v>445</v>
      </c>
      <c r="E214" t="s">
        <v>552</v>
      </c>
      <c r="F214" s="69">
        <v>0.67500000000000004</v>
      </c>
      <c r="G214" s="101">
        <v>58</v>
      </c>
      <c r="H214" s="104">
        <v>65</v>
      </c>
      <c r="I214" t="s">
        <v>600</v>
      </c>
    </row>
    <row r="215" spans="1:9" x14ac:dyDescent="0.25">
      <c r="A215" t="s">
        <v>1159</v>
      </c>
      <c r="B215" t="s">
        <v>436</v>
      </c>
      <c r="C215" t="s">
        <v>437</v>
      </c>
      <c r="D215" t="s">
        <v>438</v>
      </c>
      <c r="E215" t="s">
        <v>439</v>
      </c>
      <c r="F215" s="69">
        <v>0.77500000000000002</v>
      </c>
      <c r="G215" s="101">
        <v>72</v>
      </c>
      <c r="H215" s="104">
        <v>77</v>
      </c>
      <c r="I215" t="s">
        <v>1160</v>
      </c>
    </row>
    <row r="216" spans="1:9" x14ac:dyDescent="0.25">
      <c r="A216" t="s">
        <v>601</v>
      </c>
      <c r="B216" t="s">
        <v>436</v>
      </c>
      <c r="C216" t="s">
        <v>451</v>
      </c>
      <c r="D216" t="s">
        <v>445</v>
      </c>
      <c r="E216" t="s">
        <v>602</v>
      </c>
      <c r="F216" s="69">
        <v>0.71</v>
      </c>
      <c r="G216" s="101">
        <v>55</v>
      </c>
      <c r="H216" s="104">
        <v>75</v>
      </c>
      <c r="I216" t="s">
        <v>603</v>
      </c>
    </row>
    <row r="217" spans="1:9" x14ac:dyDescent="0.25">
      <c r="A217" t="s">
        <v>992</v>
      </c>
      <c r="B217" t="s">
        <v>436</v>
      </c>
      <c r="C217" t="s">
        <v>949</v>
      </c>
      <c r="D217" t="s">
        <v>438</v>
      </c>
      <c r="E217" t="s">
        <v>1232</v>
      </c>
      <c r="F217" s="69">
        <v>0.78500000000000003</v>
      </c>
      <c r="G217" s="101">
        <v>60</v>
      </c>
      <c r="H217" s="104">
        <v>68</v>
      </c>
      <c r="I217" t="s">
        <v>1236</v>
      </c>
    </row>
    <row r="218" spans="1:9" x14ac:dyDescent="0.25">
      <c r="A218" t="s">
        <v>1246</v>
      </c>
      <c r="B218" t="s">
        <v>436</v>
      </c>
      <c r="C218" t="s">
        <v>949</v>
      </c>
      <c r="F218" s="69">
        <v>0.75</v>
      </c>
      <c r="G218" s="101">
        <v>62</v>
      </c>
      <c r="H218" s="104">
        <v>68</v>
      </c>
      <c r="I218" t="s">
        <v>1247</v>
      </c>
    </row>
    <row r="219" spans="1:9" x14ac:dyDescent="0.25">
      <c r="A219" t="s">
        <v>1094</v>
      </c>
      <c r="B219" t="s">
        <v>436</v>
      </c>
      <c r="C219" t="s">
        <v>437</v>
      </c>
      <c r="D219" t="s">
        <v>441</v>
      </c>
      <c r="E219" t="s">
        <v>1095</v>
      </c>
      <c r="F219" s="69">
        <v>0.72</v>
      </c>
      <c r="G219" s="101">
        <v>50</v>
      </c>
      <c r="H219" s="104">
        <v>55</v>
      </c>
      <c r="I219" t="s">
        <v>1096</v>
      </c>
    </row>
    <row r="220" spans="1:9" x14ac:dyDescent="0.25">
      <c r="A220" t="s">
        <v>1097</v>
      </c>
      <c r="B220" t="s">
        <v>436</v>
      </c>
      <c r="C220" t="s">
        <v>451</v>
      </c>
      <c r="D220" t="s">
        <v>438</v>
      </c>
      <c r="E220" t="s">
        <v>1276</v>
      </c>
      <c r="F220" s="69">
        <v>0.72</v>
      </c>
      <c r="G220" s="101">
        <v>50</v>
      </c>
      <c r="H220" s="104">
        <v>58</v>
      </c>
      <c r="I220" t="s">
        <v>1287</v>
      </c>
    </row>
    <row r="221" spans="1:9" x14ac:dyDescent="0.25">
      <c r="A221" t="s">
        <v>604</v>
      </c>
      <c r="B221" t="s">
        <v>436</v>
      </c>
      <c r="C221" t="s">
        <v>437</v>
      </c>
      <c r="D221" t="s">
        <v>438</v>
      </c>
      <c r="E221" t="s">
        <v>993</v>
      </c>
      <c r="F221" s="69">
        <v>0.82</v>
      </c>
      <c r="G221" s="101">
        <v>65</v>
      </c>
      <c r="H221" s="104">
        <v>69</v>
      </c>
      <c r="I221" t="s">
        <v>605</v>
      </c>
    </row>
    <row r="222" spans="1:9" x14ac:dyDescent="0.25">
      <c r="A222" t="s">
        <v>994</v>
      </c>
      <c r="B222" t="s">
        <v>436</v>
      </c>
      <c r="C222" t="s">
        <v>437</v>
      </c>
      <c r="D222" t="s">
        <v>438</v>
      </c>
      <c r="E222" t="s">
        <v>439</v>
      </c>
      <c r="F222" s="69">
        <v>0.77500000000000002</v>
      </c>
      <c r="G222" s="101">
        <v>75</v>
      </c>
      <c r="H222" s="104">
        <v>79</v>
      </c>
      <c r="I222" t="s">
        <v>995</v>
      </c>
    </row>
    <row r="223" spans="1:9" x14ac:dyDescent="0.25">
      <c r="A223" t="s">
        <v>606</v>
      </c>
      <c r="B223" t="s">
        <v>436</v>
      </c>
      <c r="C223" t="s">
        <v>451</v>
      </c>
      <c r="D223" t="s">
        <v>438</v>
      </c>
      <c r="E223" t="s">
        <v>458</v>
      </c>
      <c r="F223" s="69">
        <v>0.74</v>
      </c>
      <c r="G223" s="101">
        <v>62</v>
      </c>
      <c r="H223" s="104">
        <v>72</v>
      </c>
      <c r="I223" t="s">
        <v>607</v>
      </c>
    </row>
    <row r="224" spans="1:9" x14ac:dyDescent="0.25">
      <c r="A224" t="s">
        <v>1106</v>
      </c>
      <c r="B224" t="s">
        <v>436</v>
      </c>
      <c r="C224" t="s">
        <v>451</v>
      </c>
      <c r="D224" t="s">
        <v>445</v>
      </c>
      <c r="E224" t="s">
        <v>1288</v>
      </c>
      <c r="F224" s="69">
        <v>0.75</v>
      </c>
      <c r="G224" s="101">
        <v>60</v>
      </c>
      <c r="H224" s="104">
        <v>70</v>
      </c>
      <c r="I224" t="s">
        <v>1289</v>
      </c>
    </row>
    <row r="225" spans="1:9" x14ac:dyDescent="0.25">
      <c r="A225" t="s">
        <v>1031</v>
      </c>
      <c r="B225" t="s">
        <v>511</v>
      </c>
      <c r="C225" t="s">
        <v>943</v>
      </c>
      <c r="D225" t="s">
        <v>438</v>
      </c>
      <c r="E225" t="s">
        <v>439</v>
      </c>
      <c r="F225" s="69">
        <v>0.77500000000000002</v>
      </c>
      <c r="G225" s="101">
        <v>66</v>
      </c>
      <c r="H225" s="104">
        <v>72</v>
      </c>
      <c r="I225" t="s">
        <v>1032</v>
      </c>
    </row>
    <row r="226" spans="1:9" x14ac:dyDescent="0.25">
      <c r="A226" t="s">
        <v>958</v>
      </c>
      <c r="B226" t="s">
        <v>511</v>
      </c>
      <c r="C226" t="s">
        <v>943</v>
      </c>
      <c r="D226" t="s">
        <v>445</v>
      </c>
      <c r="E226" t="s">
        <v>532</v>
      </c>
      <c r="F226" s="69">
        <v>0.75</v>
      </c>
      <c r="G226" s="101">
        <v>68</v>
      </c>
      <c r="H226" s="104">
        <v>75</v>
      </c>
      <c r="I226" t="s">
        <v>959</v>
      </c>
    </row>
    <row r="227" spans="1:9" x14ac:dyDescent="0.25">
      <c r="A227" t="s">
        <v>608</v>
      </c>
      <c r="B227" t="s">
        <v>436</v>
      </c>
      <c r="C227" t="s">
        <v>444</v>
      </c>
      <c r="D227" t="s">
        <v>438</v>
      </c>
      <c r="E227" t="s">
        <v>445</v>
      </c>
      <c r="F227" s="69"/>
      <c r="G227" s="101">
        <v>64</v>
      </c>
      <c r="H227" s="104">
        <v>72</v>
      </c>
      <c r="I227" t="s">
        <v>1033</v>
      </c>
    </row>
    <row r="228" spans="1:9" x14ac:dyDescent="0.25">
      <c r="A228" t="s">
        <v>609</v>
      </c>
      <c r="B228" t="s">
        <v>436</v>
      </c>
      <c r="C228" t="s">
        <v>437</v>
      </c>
      <c r="D228" t="s">
        <v>452</v>
      </c>
      <c r="E228" t="s">
        <v>439</v>
      </c>
      <c r="F228" s="69">
        <v>0.77500000000000002</v>
      </c>
      <c r="G228" s="101">
        <v>65</v>
      </c>
      <c r="H228" s="104">
        <v>72</v>
      </c>
      <c r="I228" t="s">
        <v>610</v>
      </c>
    </row>
    <row r="229" spans="1:9" x14ac:dyDescent="0.25">
      <c r="A229" t="s">
        <v>611</v>
      </c>
      <c r="B229" t="s">
        <v>436</v>
      </c>
      <c r="C229" t="s">
        <v>451</v>
      </c>
      <c r="D229" t="s">
        <v>438</v>
      </c>
      <c r="E229" t="s">
        <v>464</v>
      </c>
      <c r="F229" s="69">
        <v>0.76</v>
      </c>
      <c r="G229" s="101">
        <v>64</v>
      </c>
      <c r="H229" s="104">
        <v>78</v>
      </c>
      <c r="I229" t="s">
        <v>612</v>
      </c>
    </row>
    <row r="230" spans="1:9" x14ac:dyDescent="0.25">
      <c r="A230" t="s">
        <v>1290</v>
      </c>
      <c r="B230" t="s">
        <v>436</v>
      </c>
      <c r="C230" t="s">
        <v>451</v>
      </c>
      <c r="D230" t="s">
        <v>438</v>
      </c>
      <c r="E230" t="s">
        <v>1291</v>
      </c>
      <c r="F230" s="69">
        <v>0.77500000000000002</v>
      </c>
      <c r="G230" s="101">
        <v>68</v>
      </c>
      <c r="H230" s="104">
        <v>85</v>
      </c>
      <c r="I230" t="s">
        <v>1292</v>
      </c>
    </row>
    <row r="231" spans="1:9" x14ac:dyDescent="0.25">
      <c r="A231" t="s">
        <v>1146</v>
      </c>
      <c r="B231" t="s">
        <v>436</v>
      </c>
      <c r="C231" t="s">
        <v>451</v>
      </c>
      <c r="D231" t="s">
        <v>441</v>
      </c>
      <c r="E231" t="s">
        <v>458</v>
      </c>
      <c r="F231" s="69">
        <v>0.74</v>
      </c>
      <c r="G231" s="101">
        <v>48</v>
      </c>
      <c r="H231" s="104">
        <v>56</v>
      </c>
      <c r="I231" t="s">
        <v>1147</v>
      </c>
    </row>
    <row r="232" spans="1:9" x14ac:dyDescent="0.25">
      <c r="A232" t="s">
        <v>960</v>
      </c>
      <c r="B232" t="s">
        <v>511</v>
      </c>
      <c r="C232" t="s">
        <v>961</v>
      </c>
      <c r="D232" t="s">
        <v>445</v>
      </c>
      <c r="E232" t="s">
        <v>445</v>
      </c>
      <c r="F232" s="69"/>
      <c r="G232" s="101">
        <v>59</v>
      </c>
      <c r="H232" s="104">
        <v>74</v>
      </c>
      <c r="I232" t="s">
        <v>962</v>
      </c>
    </row>
    <row r="233" spans="1:9" x14ac:dyDescent="0.25">
      <c r="A233" s="23" t="s">
        <v>1749</v>
      </c>
      <c r="B233" s="23" t="s">
        <v>436</v>
      </c>
      <c r="C233" s="23" t="s">
        <v>1690</v>
      </c>
      <c r="D233" s="23" t="s">
        <v>447</v>
      </c>
      <c r="E233" s="23" t="s">
        <v>1291</v>
      </c>
      <c r="F233" s="171">
        <v>0.77500000000000002</v>
      </c>
      <c r="G233" s="101">
        <v>64</v>
      </c>
      <c r="H233" s="104">
        <v>74</v>
      </c>
      <c r="I233" s="23" t="s">
        <v>1750</v>
      </c>
    </row>
    <row r="234" spans="1:9" x14ac:dyDescent="0.25">
      <c r="A234" t="s">
        <v>613</v>
      </c>
      <c r="B234" t="s">
        <v>436</v>
      </c>
      <c r="C234" t="s">
        <v>451</v>
      </c>
      <c r="D234" t="s">
        <v>447</v>
      </c>
      <c r="E234" t="s">
        <v>453</v>
      </c>
      <c r="F234" s="69">
        <v>0.75</v>
      </c>
      <c r="G234" s="101">
        <v>64</v>
      </c>
      <c r="H234" s="104">
        <v>75</v>
      </c>
      <c r="I234" t="s">
        <v>614</v>
      </c>
    </row>
    <row r="235" spans="1:9" x14ac:dyDescent="0.25">
      <c r="A235" t="s">
        <v>1107</v>
      </c>
      <c r="B235" t="s">
        <v>436</v>
      </c>
      <c r="C235" t="s">
        <v>451</v>
      </c>
      <c r="D235" t="s">
        <v>445</v>
      </c>
      <c r="E235" t="s">
        <v>1293</v>
      </c>
      <c r="F235" s="69">
        <v>0.69</v>
      </c>
      <c r="G235" s="101">
        <v>64</v>
      </c>
      <c r="H235" s="104">
        <v>72</v>
      </c>
      <c r="I235" t="s">
        <v>1294</v>
      </c>
    </row>
    <row r="236" spans="1:9" x14ac:dyDescent="0.25">
      <c r="A236" t="s">
        <v>615</v>
      </c>
      <c r="B236" t="s">
        <v>436</v>
      </c>
      <c r="C236" t="s">
        <v>451</v>
      </c>
      <c r="D236" t="s">
        <v>445</v>
      </c>
      <c r="E236" t="s">
        <v>546</v>
      </c>
      <c r="F236" s="69">
        <v>0.7</v>
      </c>
      <c r="G236" s="101">
        <v>64</v>
      </c>
      <c r="H236" s="104">
        <v>74</v>
      </c>
      <c r="I236" t="s">
        <v>616</v>
      </c>
    </row>
    <row r="237" spans="1:9" x14ac:dyDescent="0.25">
      <c r="A237" t="s">
        <v>617</v>
      </c>
      <c r="B237" t="s">
        <v>436</v>
      </c>
      <c r="C237" t="s">
        <v>437</v>
      </c>
      <c r="D237" t="s">
        <v>445</v>
      </c>
      <c r="E237" t="s">
        <v>618</v>
      </c>
      <c r="F237" s="69">
        <v>0.7</v>
      </c>
      <c r="G237" s="101">
        <v>66</v>
      </c>
      <c r="H237" s="104">
        <v>70</v>
      </c>
      <c r="I237" t="s">
        <v>619</v>
      </c>
    </row>
    <row r="238" spans="1:9" x14ac:dyDescent="0.25">
      <c r="A238" t="s">
        <v>996</v>
      </c>
      <c r="B238" t="s">
        <v>511</v>
      </c>
      <c r="C238" t="s">
        <v>934</v>
      </c>
      <c r="D238" t="s">
        <v>447</v>
      </c>
      <c r="E238" t="s">
        <v>438</v>
      </c>
      <c r="F238" s="69">
        <v>0.75</v>
      </c>
      <c r="G238" s="101">
        <v>64</v>
      </c>
      <c r="H238" s="104">
        <v>70</v>
      </c>
      <c r="I238" t="s">
        <v>620</v>
      </c>
    </row>
    <row r="239" spans="1:9" x14ac:dyDescent="0.25">
      <c r="A239" t="s">
        <v>963</v>
      </c>
      <c r="B239" t="s">
        <v>511</v>
      </c>
      <c r="C239" t="s">
        <v>961</v>
      </c>
      <c r="D239" t="s">
        <v>438</v>
      </c>
      <c r="E239" t="s">
        <v>445</v>
      </c>
      <c r="F239" s="69"/>
      <c r="G239" s="101">
        <v>59</v>
      </c>
      <c r="H239" s="104">
        <v>68</v>
      </c>
      <c r="I239" t="s">
        <v>964</v>
      </c>
    </row>
    <row r="240" spans="1:9" x14ac:dyDescent="0.25">
      <c r="A240" t="s">
        <v>1115</v>
      </c>
      <c r="B240" t="s">
        <v>511</v>
      </c>
      <c r="C240" t="s">
        <v>943</v>
      </c>
      <c r="D240" t="s">
        <v>438</v>
      </c>
      <c r="E240" t="s">
        <v>496</v>
      </c>
      <c r="F240" s="69">
        <v>0.7</v>
      </c>
      <c r="G240" s="101">
        <v>65</v>
      </c>
      <c r="H240" s="104">
        <v>70</v>
      </c>
      <c r="I240" t="s">
        <v>1116</v>
      </c>
    </row>
    <row r="241" spans="1:9" x14ac:dyDescent="0.25">
      <c r="A241" t="s">
        <v>1108</v>
      </c>
      <c r="B241" t="s">
        <v>436</v>
      </c>
      <c r="C241" t="s">
        <v>437</v>
      </c>
      <c r="D241" t="s">
        <v>445</v>
      </c>
      <c r="E241" t="s">
        <v>447</v>
      </c>
      <c r="F241" s="69">
        <v>0.7</v>
      </c>
      <c r="G241" s="101">
        <v>65</v>
      </c>
      <c r="H241" s="104">
        <v>70</v>
      </c>
      <c r="I241" t="s">
        <v>1109</v>
      </c>
    </row>
    <row r="242" spans="1:9" x14ac:dyDescent="0.25">
      <c r="A242" t="s">
        <v>1148</v>
      </c>
      <c r="B242" t="s">
        <v>436</v>
      </c>
      <c r="C242" t="s">
        <v>437</v>
      </c>
      <c r="D242" t="s">
        <v>438</v>
      </c>
      <c r="E242" t="s">
        <v>532</v>
      </c>
      <c r="F242" s="69">
        <v>0.75</v>
      </c>
      <c r="G242" s="101">
        <v>50</v>
      </c>
      <c r="H242" s="104">
        <v>55</v>
      </c>
      <c r="I242" t="s">
        <v>1149</v>
      </c>
    </row>
  </sheetData>
  <sheetProtection sheet="1" autoFilter="0"/>
  <sortState ref="A1:G657">
    <sortCondition ref="A1:A657"/>
  </sortState>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B1:AI17"/>
  <sheetViews>
    <sheetView topLeftCell="K1" workbookViewId="0">
      <selection activeCell="N27" sqref="N27"/>
    </sheetView>
  </sheetViews>
  <sheetFormatPr defaultRowHeight="13.2" x14ac:dyDescent="0.25"/>
  <cols>
    <col min="1" max="1" width="6.6640625" customWidth="1"/>
    <col min="2" max="2" width="27.33203125" customWidth="1"/>
    <col min="3" max="3" width="25.77734375" bestFit="1" customWidth="1"/>
    <col min="4" max="4" width="26.6640625" bestFit="1" customWidth="1"/>
    <col min="5" max="5" width="29.109375" bestFit="1" customWidth="1"/>
    <col min="6" max="6" width="31.33203125" customWidth="1"/>
    <col min="7" max="7" width="30.21875" bestFit="1" customWidth="1"/>
    <col min="8" max="8" width="29.88671875" bestFit="1" customWidth="1"/>
    <col min="9" max="9" width="24.33203125" bestFit="1" customWidth="1"/>
    <col min="10" max="10" width="25.33203125" bestFit="1" customWidth="1"/>
    <col min="11" max="11" width="24.44140625" bestFit="1" customWidth="1"/>
    <col min="12" max="12" width="17.6640625" bestFit="1" customWidth="1"/>
    <col min="13" max="13" width="29.109375" bestFit="1" customWidth="1"/>
    <col min="14" max="14" width="23.33203125" bestFit="1" customWidth="1"/>
    <col min="15" max="15" width="17.77734375" bestFit="1" customWidth="1"/>
    <col min="16" max="16" width="18.5546875" bestFit="1" customWidth="1"/>
    <col min="17" max="17" width="21.6640625" bestFit="1" customWidth="1"/>
    <col min="18" max="19" width="21.6640625" customWidth="1"/>
    <col min="20" max="20" width="36.109375" bestFit="1" customWidth="1"/>
    <col min="21" max="21" width="30.109375" bestFit="1" customWidth="1"/>
    <col min="22" max="22" width="27.44140625" bestFit="1" customWidth="1"/>
    <col min="23" max="23" width="24.5546875" bestFit="1" customWidth="1"/>
    <col min="24" max="24" width="23" bestFit="1" customWidth="1"/>
    <col min="25" max="25" width="24.5546875" customWidth="1"/>
    <col min="26" max="26" width="27.109375" bestFit="1" customWidth="1"/>
    <col min="27" max="27" width="25.21875" bestFit="1" customWidth="1"/>
    <col min="28" max="28" width="19.44140625" bestFit="1" customWidth="1"/>
    <col min="29" max="29" width="30.6640625" bestFit="1" customWidth="1"/>
    <col min="30" max="30" width="22.5546875" bestFit="1" customWidth="1"/>
    <col min="31" max="31" width="31.33203125" bestFit="1" customWidth="1"/>
    <col min="32" max="32" width="25.21875" customWidth="1"/>
    <col min="33" max="33" width="27.77734375" bestFit="1" customWidth="1"/>
    <col min="34" max="34" width="28" bestFit="1" customWidth="1"/>
    <col min="35" max="35" width="20.44140625" bestFit="1" customWidth="1"/>
  </cols>
  <sheetData>
    <row r="1" spans="2:35" x14ac:dyDescent="0.25">
      <c r="B1" s="23" t="s">
        <v>622</v>
      </c>
      <c r="C1" s="23" t="s">
        <v>627</v>
      </c>
      <c r="D1" s="23" t="s">
        <v>631</v>
      </c>
      <c r="E1" s="23" t="s">
        <v>637</v>
      </c>
      <c r="F1" s="23" t="s">
        <v>640</v>
      </c>
      <c r="G1" s="23" t="s">
        <v>651</v>
      </c>
      <c r="H1" s="23" t="s">
        <v>650</v>
      </c>
      <c r="I1" s="23" t="s">
        <v>655</v>
      </c>
      <c r="J1" s="23" t="s">
        <v>658</v>
      </c>
      <c r="K1" s="23" t="s">
        <v>662</v>
      </c>
      <c r="L1" s="23" t="s">
        <v>666</v>
      </c>
      <c r="M1" s="23" t="s">
        <v>670</v>
      </c>
      <c r="N1" s="23" t="s">
        <v>674</v>
      </c>
      <c r="O1" s="23" t="s">
        <v>678</v>
      </c>
      <c r="P1" s="23" t="s">
        <v>682</v>
      </c>
      <c r="Q1" s="23" t="s">
        <v>686</v>
      </c>
      <c r="R1" s="23" t="s">
        <v>691</v>
      </c>
      <c r="S1" s="23" t="s">
        <v>696</v>
      </c>
      <c r="T1" s="23" t="s">
        <v>699</v>
      </c>
      <c r="U1" s="23" t="s">
        <v>703</v>
      </c>
      <c r="V1" s="23" t="s">
        <v>707</v>
      </c>
      <c r="W1" s="23" t="s">
        <v>716</v>
      </c>
      <c r="X1" s="23" t="s">
        <v>721</v>
      </c>
      <c r="Y1" s="23" t="s">
        <v>728</v>
      </c>
      <c r="Z1" s="23" t="s">
        <v>732</v>
      </c>
      <c r="AA1" s="23" t="s">
        <v>736</v>
      </c>
      <c r="AB1" s="23" t="s">
        <v>741</v>
      </c>
      <c r="AC1" s="23" t="s">
        <v>750</v>
      </c>
      <c r="AD1" s="23" t="s">
        <v>754</v>
      </c>
      <c r="AE1" s="23" t="s">
        <v>758</v>
      </c>
      <c r="AF1" s="23" t="s">
        <v>762</v>
      </c>
      <c r="AG1" s="23" t="s">
        <v>765</v>
      </c>
      <c r="AH1" s="23" t="s">
        <v>768</v>
      </c>
      <c r="AI1" s="23" t="s">
        <v>771</v>
      </c>
    </row>
    <row r="2" spans="2:35" x14ac:dyDescent="0.25">
      <c r="B2" s="23" t="s">
        <v>623</v>
      </c>
      <c r="C2" s="23" t="s">
        <v>628</v>
      </c>
      <c r="D2" s="23" t="s">
        <v>632</v>
      </c>
      <c r="E2" s="23" t="s">
        <v>636</v>
      </c>
      <c r="F2" s="23" t="s">
        <v>641</v>
      </c>
      <c r="G2" s="23" t="s">
        <v>652</v>
      </c>
      <c r="H2" s="23" t="s">
        <v>645</v>
      </c>
      <c r="I2" s="23" t="s">
        <v>656</v>
      </c>
      <c r="J2" s="23" t="s">
        <v>659</v>
      </c>
      <c r="K2" s="23" t="s">
        <v>663</v>
      </c>
      <c r="L2" s="23" t="s">
        <v>667</v>
      </c>
      <c r="M2" s="23" t="s">
        <v>671</v>
      </c>
      <c r="N2" s="23" t="s">
        <v>675</v>
      </c>
      <c r="O2" s="23" t="s">
        <v>679</v>
      </c>
      <c r="P2" s="23" t="s">
        <v>683</v>
      </c>
      <c r="Q2" s="23" t="s">
        <v>687</v>
      </c>
      <c r="R2" s="23" t="s">
        <v>692</v>
      </c>
      <c r="S2" s="23" t="s">
        <v>697</v>
      </c>
      <c r="T2" s="23" t="s">
        <v>700</v>
      </c>
      <c r="U2" s="23" t="s">
        <v>704</v>
      </c>
      <c r="V2" s="23" t="s">
        <v>708</v>
      </c>
      <c r="W2" s="23" t="s">
        <v>717</v>
      </c>
      <c r="X2" s="23" t="s">
        <v>722</v>
      </c>
      <c r="Y2" s="23" t="s">
        <v>729</v>
      </c>
      <c r="Z2" s="23" t="s">
        <v>733</v>
      </c>
      <c r="AA2" s="23" t="s">
        <v>737</v>
      </c>
      <c r="AB2" s="23" t="s">
        <v>742</v>
      </c>
      <c r="AC2" s="23" t="s">
        <v>751</v>
      </c>
      <c r="AD2" s="23" t="s">
        <v>755</v>
      </c>
      <c r="AE2" s="23" t="s">
        <v>759</v>
      </c>
      <c r="AF2" s="23" t="s">
        <v>763</v>
      </c>
      <c r="AG2" s="23" t="s">
        <v>766</v>
      </c>
      <c r="AH2" s="23" t="s">
        <v>769</v>
      </c>
      <c r="AI2" s="23" t="s">
        <v>772</v>
      </c>
    </row>
    <row r="3" spans="2:35" x14ac:dyDescent="0.25">
      <c r="B3" s="23" t="s">
        <v>624</v>
      </c>
      <c r="C3" s="23" t="s">
        <v>629</v>
      </c>
      <c r="D3" s="23" t="s">
        <v>633</v>
      </c>
      <c r="E3" s="23" t="s">
        <v>638</v>
      </c>
      <c r="F3" s="23" t="s">
        <v>642</v>
      </c>
      <c r="G3" s="23" t="s">
        <v>653</v>
      </c>
      <c r="H3" s="23" t="s">
        <v>646</v>
      </c>
      <c r="I3" s="23" t="s">
        <v>657</v>
      </c>
      <c r="J3" s="23" t="s">
        <v>660</v>
      </c>
      <c r="K3" s="23" t="s">
        <v>664</v>
      </c>
      <c r="L3" s="23" t="s">
        <v>668</v>
      </c>
      <c r="M3" s="23" t="s">
        <v>672</v>
      </c>
      <c r="N3" s="23" t="s">
        <v>676</v>
      </c>
      <c r="O3" s="23" t="s">
        <v>680</v>
      </c>
      <c r="P3" s="23" t="s">
        <v>684</v>
      </c>
      <c r="Q3" s="23" t="s">
        <v>688</v>
      </c>
      <c r="R3" s="23" t="s">
        <v>693</v>
      </c>
      <c r="S3" s="23" t="s">
        <v>698</v>
      </c>
      <c r="T3" s="23" t="s">
        <v>701</v>
      </c>
      <c r="U3" s="23" t="s">
        <v>705</v>
      </c>
      <c r="V3" s="23" t="s">
        <v>709</v>
      </c>
      <c r="W3" s="23" t="s">
        <v>718</v>
      </c>
      <c r="X3" s="23" t="s">
        <v>723</v>
      </c>
      <c r="Y3" s="23" t="s">
        <v>730</v>
      </c>
      <c r="Z3" s="23" t="s">
        <v>734</v>
      </c>
      <c r="AA3" s="23" t="s">
        <v>738</v>
      </c>
      <c r="AB3" s="23" t="s">
        <v>743</v>
      </c>
      <c r="AC3" s="23" t="s">
        <v>752</v>
      </c>
      <c r="AD3" s="23" t="s">
        <v>756</v>
      </c>
      <c r="AE3" s="23" t="s">
        <v>760</v>
      </c>
      <c r="AF3" s="23" t="s">
        <v>764</v>
      </c>
      <c r="AG3" s="23" t="s">
        <v>767</v>
      </c>
      <c r="AH3" s="23" t="s">
        <v>770</v>
      </c>
      <c r="AI3" s="23" t="s">
        <v>773</v>
      </c>
    </row>
    <row r="4" spans="2:35" x14ac:dyDescent="0.25">
      <c r="B4" s="23" t="s">
        <v>625</v>
      </c>
      <c r="C4" s="23" t="s">
        <v>630</v>
      </c>
      <c r="D4" s="23" t="s">
        <v>634</v>
      </c>
      <c r="E4" s="23" t="s">
        <v>639</v>
      </c>
      <c r="F4" s="23" t="s">
        <v>643</v>
      </c>
      <c r="G4" s="23" t="s">
        <v>654</v>
      </c>
      <c r="H4" s="23" t="s">
        <v>647</v>
      </c>
      <c r="I4" s="23"/>
      <c r="J4" s="23" t="s">
        <v>661</v>
      </c>
      <c r="K4" s="23" t="s">
        <v>665</v>
      </c>
      <c r="L4" s="23" t="s">
        <v>669</v>
      </c>
      <c r="M4" s="23" t="s">
        <v>673</v>
      </c>
      <c r="N4" s="23" t="s">
        <v>677</v>
      </c>
      <c r="O4" s="23" t="s">
        <v>681</v>
      </c>
      <c r="P4" s="23" t="s">
        <v>685</v>
      </c>
      <c r="Q4" s="23" t="s">
        <v>689</v>
      </c>
      <c r="R4" s="23" t="s">
        <v>694</v>
      </c>
      <c r="S4" s="23"/>
      <c r="T4" s="23" t="s">
        <v>702</v>
      </c>
      <c r="U4" s="23" t="s">
        <v>706</v>
      </c>
      <c r="V4" s="23" t="s">
        <v>710</v>
      </c>
      <c r="W4" s="23" t="s">
        <v>719</v>
      </c>
      <c r="X4" s="23" t="s">
        <v>724</v>
      </c>
      <c r="Y4" s="23" t="s">
        <v>731</v>
      </c>
      <c r="Z4" s="23" t="s">
        <v>735</v>
      </c>
      <c r="AA4" s="23" t="s">
        <v>739</v>
      </c>
      <c r="AB4" s="23" t="s">
        <v>744</v>
      </c>
      <c r="AC4" s="23" t="s">
        <v>753</v>
      </c>
      <c r="AD4" s="23" t="s">
        <v>757</v>
      </c>
      <c r="AE4" s="23" t="s">
        <v>761</v>
      </c>
      <c r="AF4" s="23"/>
      <c r="AG4" s="23"/>
      <c r="AH4" s="23"/>
      <c r="AI4" s="23" t="s">
        <v>774</v>
      </c>
    </row>
    <row r="5" spans="2:35" x14ac:dyDescent="0.25">
      <c r="B5" s="23" t="s">
        <v>626</v>
      </c>
      <c r="D5" s="23" t="s">
        <v>635</v>
      </c>
      <c r="E5" s="23"/>
      <c r="F5" s="23" t="s">
        <v>644</v>
      </c>
      <c r="G5" s="23"/>
      <c r="H5" s="23" t="s">
        <v>648</v>
      </c>
      <c r="I5" s="23"/>
      <c r="J5" s="23"/>
      <c r="K5" s="23"/>
      <c r="L5" s="23"/>
      <c r="M5" s="23"/>
      <c r="N5" s="23"/>
      <c r="O5" s="23"/>
      <c r="P5" s="23"/>
      <c r="Q5" s="23" t="s">
        <v>690</v>
      </c>
      <c r="R5" s="23" t="s">
        <v>695</v>
      </c>
      <c r="S5" s="23"/>
      <c r="T5" s="23"/>
      <c r="U5" s="23"/>
      <c r="V5" s="23" t="s">
        <v>711</v>
      </c>
      <c r="W5" s="23" t="s">
        <v>720</v>
      </c>
      <c r="X5" s="23" t="s">
        <v>725</v>
      </c>
      <c r="Y5" s="23"/>
      <c r="Z5" s="23"/>
      <c r="AA5" s="23" t="s">
        <v>740</v>
      </c>
      <c r="AB5" s="23" t="s">
        <v>745</v>
      </c>
      <c r="AC5" s="23"/>
      <c r="AD5" s="23"/>
      <c r="AE5" s="23"/>
      <c r="AF5" s="23"/>
      <c r="AG5" s="23"/>
      <c r="AH5" s="23"/>
      <c r="AI5" s="23"/>
    </row>
    <row r="6" spans="2:35" x14ac:dyDescent="0.25">
      <c r="B6" s="23"/>
      <c r="D6" s="23"/>
      <c r="E6" s="23"/>
      <c r="F6" s="23"/>
      <c r="G6" s="23"/>
      <c r="H6" s="23" t="s">
        <v>649</v>
      </c>
      <c r="I6" s="23"/>
      <c r="J6" s="23"/>
      <c r="K6" s="23"/>
      <c r="L6" s="23"/>
      <c r="M6" s="23"/>
      <c r="N6" s="23"/>
      <c r="O6" s="23"/>
      <c r="P6" s="23"/>
      <c r="Q6" s="23"/>
      <c r="R6" s="23"/>
      <c r="S6" s="23"/>
      <c r="T6" s="23"/>
      <c r="U6" s="23"/>
      <c r="V6" s="23" t="s">
        <v>712</v>
      </c>
      <c r="W6" s="23"/>
      <c r="X6" s="23" t="s">
        <v>726</v>
      </c>
      <c r="Y6" s="23"/>
      <c r="Z6" s="23"/>
      <c r="AA6" s="23"/>
      <c r="AB6" s="23" t="s">
        <v>746</v>
      </c>
      <c r="AC6" s="23"/>
      <c r="AD6" s="23"/>
      <c r="AE6" s="23"/>
      <c r="AF6" s="23"/>
      <c r="AG6" s="23"/>
      <c r="AH6" s="23"/>
      <c r="AI6" s="23"/>
    </row>
    <row r="7" spans="2:35" x14ac:dyDescent="0.25">
      <c r="B7" s="23"/>
      <c r="D7" s="23"/>
      <c r="E7" s="23"/>
      <c r="F7" s="23"/>
      <c r="G7" s="23"/>
      <c r="H7" s="23"/>
      <c r="I7" s="23"/>
      <c r="J7" s="23"/>
      <c r="K7" s="23"/>
      <c r="L7" s="23"/>
      <c r="M7" s="23"/>
      <c r="N7" s="23"/>
      <c r="O7" s="23"/>
      <c r="P7" s="23"/>
      <c r="Q7" s="23"/>
      <c r="R7" s="23"/>
      <c r="S7" s="23"/>
      <c r="T7" s="23"/>
      <c r="U7" s="23"/>
      <c r="V7" s="23" t="s">
        <v>713</v>
      </c>
      <c r="W7" s="23"/>
      <c r="X7" s="23" t="s">
        <v>727</v>
      </c>
      <c r="Y7" s="23"/>
      <c r="Z7" s="23"/>
      <c r="AA7" s="23"/>
      <c r="AB7" s="23" t="s">
        <v>747</v>
      </c>
      <c r="AC7" s="23"/>
      <c r="AD7" s="23"/>
      <c r="AE7" s="23"/>
      <c r="AF7" s="23"/>
      <c r="AG7" s="23"/>
      <c r="AH7" s="23"/>
      <c r="AI7" s="23"/>
    </row>
    <row r="8" spans="2:35" x14ac:dyDescent="0.25">
      <c r="B8" s="23"/>
      <c r="D8" s="23"/>
      <c r="E8" s="23"/>
      <c r="F8" s="23"/>
      <c r="G8" s="23"/>
      <c r="H8" s="23"/>
      <c r="I8" s="23"/>
      <c r="J8" s="23"/>
      <c r="K8" s="23"/>
      <c r="L8" s="23"/>
      <c r="M8" s="23"/>
      <c r="N8" s="23"/>
      <c r="O8" s="23"/>
      <c r="P8" s="23"/>
      <c r="Q8" s="23"/>
      <c r="R8" s="23"/>
      <c r="S8" s="23"/>
      <c r="T8" s="23"/>
      <c r="U8" s="23"/>
      <c r="V8" s="23" t="s">
        <v>714</v>
      </c>
      <c r="W8" s="23"/>
      <c r="X8" s="23"/>
      <c r="Y8" s="23"/>
      <c r="Z8" s="23"/>
      <c r="AA8" s="23"/>
      <c r="AB8" s="23" t="s">
        <v>748</v>
      </c>
      <c r="AC8" s="23"/>
      <c r="AD8" s="23"/>
      <c r="AE8" s="23"/>
      <c r="AF8" s="23"/>
      <c r="AG8" s="23"/>
      <c r="AH8" s="23"/>
      <c r="AI8" s="23"/>
    </row>
    <row r="9" spans="2:35" x14ac:dyDescent="0.25">
      <c r="B9" s="23"/>
      <c r="D9" s="23"/>
      <c r="E9" s="23"/>
      <c r="F9" s="23"/>
      <c r="G9" s="23"/>
      <c r="H9" s="23"/>
      <c r="I9" s="23"/>
      <c r="J9" s="23"/>
      <c r="K9" s="23"/>
      <c r="L9" s="23"/>
      <c r="M9" s="23"/>
      <c r="N9" s="23"/>
      <c r="O9" s="23"/>
      <c r="P9" s="23"/>
      <c r="Q9" s="23"/>
      <c r="R9" s="23"/>
      <c r="S9" s="23"/>
      <c r="T9" s="23"/>
      <c r="U9" s="23"/>
      <c r="V9" s="23" t="s">
        <v>715</v>
      </c>
      <c r="W9" s="23"/>
      <c r="X9" s="23"/>
      <c r="Y9" s="23"/>
      <c r="Z9" s="23"/>
      <c r="AA9" s="23"/>
      <c r="AB9" s="23" t="s">
        <v>749</v>
      </c>
      <c r="AC9" s="23"/>
      <c r="AD9" s="23"/>
      <c r="AE9" s="23"/>
      <c r="AF9" s="23"/>
      <c r="AG9" s="23"/>
      <c r="AH9" s="23"/>
      <c r="AI9" s="23"/>
    </row>
    <row r="10" spans="2:35" x14ac:dyDescent="0.25">
      <c r="B10" s="23"/>
      <c r="D10" s="23"/>
      <c r="E10" s="23"/>
      <c r="F10" s="23"/>
      <c r="G10" s="23"/>
      <c r="H10" s="23"/>
      <c r="I10" s="23"/>
      <c r="J10" s="23"/>
      <c r="K10" s="23"/>
      <c r="L10" s="23"/>
      <c r="M10" s="23"/>
      <c r="N10" s="23"/>
      <c r="O10" s="23"/>
      <c r="P10" s="23"/>
      <c r="Q10" s="23"/>
      <c r="R10" s="23"/>
      <c r="S10" s="23"/>
      <c r="T10" s="23"/>
      <c r="U10" s="23"/>
      <c r="V10" s="23"/>
      <c r="W10" s="23"/>
      <c r="X10" s="23"/>
      <c r="Y10" s="23"/>
      <c r="Z10" s="23"/>
      <c r="AA10" s="23"/>
      <c r="AE10" s="23"/>
    </row>
    <row r="17" spans="2:2" x14ac:dyDescent="0.25">
      <c r="B17" s="53" t="s">
        <v>621</v>
      </c>
    </row>
  </sheetData>
  <sheetProtection sheet="1" objects="1" scenarios="1"/>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workbookViewId="0">
      <selection activeCell="C12" sqref="C12"/>
    </sheetView>
  </sheetViews>
  <sheetFormatPr defaultRowHeight="13.2" x14ac:dyDescent="0.25"/>
  <cols>
    <col min="3" max="3" width="9.44140625" customWidth="1"/>
    <col min="4" max="4" width="32.88671875" bestFit="1" customWidth="1"/>
    <col min="5" max="5" width="93.21875" customWidth="1"/>
  </cols>
  <sheetData>
    <row r="2" spans="2:5" x14ac:dyDescent="0.25">
      <c r="B2" s="878" t="s">
        <v>1668</v>
      </c>
      <c r="C2" s="879"/>
      <c r="D2" s="880"/>
      <c r="E2" s="48" t="s">
        <v>1669</v>
      </c>
    </row>
    <row r="3" spans="2:5" x14ac:dyDescent="0.25">
      <c r="B3" s="152" t="s">
        <v>1650</v>
      </c>
      <c r="C3" s="152" t="s">
        <v>104</v>
      </c>
      <c r="D3" s="152" t="s">
        <v>67</v>
      </c>
      <c r="E3" s="160" t="s">
        <v>1672</v>
      </c>
    </row>
    <row r="4" spans="2:5" x14ac:dyDescent="0.25">
      <c r="B4" s="154" t="s">
        <v>1651</v>
      </c>
      <c r="C4" s="41">
        <v>0.79</v>
      </c>
      <c r="D4" s="16" t="s">
        <v>1652</v>
      </c>
      <c r="E4" s="153" t="s">
        <v>1670</v>
      </c>
    </row>
    <row r="5" spans="2:5" x14ac:dyDescent="0.25">
      <c r="B5" s="155" t="s">
        <v>1647</v>
      </c>
      <c r="C5" s="41">
        <v>4.2000000000000003E-2</v>
      </c>
      <c r="D5" s="1" t="s">
        <v>1354</v>
      </c>
      <c r="E5" s="153" t="s">
        <v>1671</v>
      </c>
    </row>
    <row r="6" spans="2:5" x14ac:dyDescent="0.25">
      <c r="B6" s="155" t="s">
        <v>1648</v>
      </c>
      <c r="C6" s="158">
        <f>((C4-C5-0.002)*46.214)/1000+1</f>
        <v>1.034475644</v>
      </c>
      <c r="D6" s="1" t="s">
        <v>1649</v>
      </c>
    </row>
    <row r="8" spans="2:5" x14ac:dyDescent="0.25">
      <c r="B8" s="878" t="s">
        <v>1667</v>
      </c>
      <c r="C8" s="879"/>
      <c r="D8" s="880"/>
      <c r="E8" s="48" t="s">
        <v>1669</v>
      </c>
    </row>
    <row r="9" spans="2:5" x14ac:dyDescent="0.25">
      <c r="B9" s="148" t="s">
        <v>1650</v>
      </c>
      <c r="C9" s="148" t="s">
        <v>104</v>
      </c>
      <c r="D9" s="148" t="s">
        <v>67</v>
      </c>
      <c r="E9" s="23" t="s">
        <v>1673</v>
      </c>
    </row>
    <row r="10" spans="2:5" x14ac:dyDescent="0.25">
      <c r="B10" s="150" t="s">
        <v>1651</v>
      </c>
      <c r="C10" s="41">
        <v>0.79</v>
      </c>
      <c r="D10" s="16" t="s">
        <v>1652</v>
      </c>
    </row>
    <row r="11" spans="2:5" x14ac:dyDescent="0.25">
      <c r="B11" s="151"/>
      <c r="C11" s="161"/>
      <c r="D11" s="1"/>
    </row>
    <row r="12" spans="2:5" x14ac:dyDescent="0.25">
      <c r="B12" s="151" t="s">
        <v>1648</v>
      </c>
      <c r="C12" s="158">
        <f>((C10)*46.214)/1000+1</f>
        <v>1.03650906</v>
      </c>
      <c r="D12" s="1" t="s">
        <v>1649</v>
      </c>
    </row>
  </sheetData>
  <sheetProtection sheet="1" objects="1" scenario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workbookViewId="0">
      <selection activeCell="T8" sqref="T8"/>
    </sheetView>
  </sheetViews>
  <sheetFormatPr defaultRowHeight="13.2" x14ac:dyDescent="0.25"/>
  <cols>
    <col min="1" max="1" width="19.88671875" customWidth="1"/>
    <col min="2" max="2" width="6.6640625" customWidth="1"/>
    <col min="3" max="3" width="10.6640625" customWidth="1"/>
    <col min="4" max="4" width="2.88671875" customWidth="1"/>
    <col min="5" max="5" width="18" customWidth="1"/>
    <col min="6" max="6" width="8.44140625" customWidth="1"/>
    <col min="7" max="7" width="14.5546875" customWidth="1"/>
    <col min="8" max="8" width="4.21875" customWidth="1"/>
    <col min="9" max="9" width="18" customWidth="1"/>
    <col min="10" max="10" width="10.6640625" customWidth="1"/>
    <col min="11" max="11" width="13.5546875" customWidth="1"/>
    <col min="12" max="12" width="6.77734375" customWidth="1"/>
    <col min="13" max="13" width="4.88671875" customWidth="1"/>
    <col min="14" max="14" width="2.6640625" customWidth="1"/>
    <col min="15" max="15" width="9.109375" customWidth="1"/>
    <col min="17" max="17" width="8.5546875" customWidth="1"/>
    <col min="18" max="18" width="8.77734375" customWidth="1"/>
    <col min="19" max="19" width="2.88671875" customWidth="1"/>
    <col min="20" max="20" width="18.109375" customWidth="1"/>
    <col min="21" max="21" width="7.88671875" bestFit="1" customWidth="1"/>
    <col min="22" max="22" width="9" customWidth="1"/>
  </cols>
  <sheetData>
    <row r="1" spans="1:22" ht="15.6" x14ac:dyDescent="0.25">
      <c r="A1" s="881" t="s">
        <v>64</v>
      </c>
      <c r="B1" s="882"/>
      <c r="C1" s="882"/>
      <c r="E1" s="881" t="s">
        <v>61</v>
      </c>
      <c r="F1" s="882"/>
      <c r="G1" s="882"/>
      <c r="I1" s="881" t="s">
        <v>1764</v>
      </c>
      <c r="J1" s="882"/>
      <c r="K1" s="882"/>
      <c r="O1" s="881" t="s">
        <v>37</v>
      </c>
      <c r="P1" s="882"/>
      <c r="Q1" s="882"/>
      <c r="R1" s="883"/>
      <c r="T1" s="881" t="s">
        <v>28</v>
      </c>
      <c r="U1" s="882"/>
      <c r="V1" s="882"/>
    </row>
    <row r="2" spans="1:22" ht="15.6" x14ac:dyDescent="0.35">
      <c r="A2" s="5" t="s">
        <v>38</v>
      </c>
      <c r="B2" s="75">
        <v>0.88</v>
      </c>
      <c r="C2" s="2" t="s">
        <v>15</v>
      </c>
      <c r="E2" s="5" t="s">
        <v>53</v>
      </c>
      <c r="F2" s="75">
        <v>1.73</v>
      </c>
      <c r="G2" s="178" t="s">
        <v>55</v>
      </c>
      <c r="I2" s="5" t="s">
        <v>53</v>
      </c>
      <c r="J2" s="75">
        <v>1.73</v>
      </c>
      <c r="K2" s="178" t="s">
        <v>55</v>
      </c>
      <c r="O2" s="877" t="s">
        <v>19</v>
      </c>
      <c r="P2" s="877"/>
      <c r="Q2" s="893" t="s">
        <v>46</v>
      </c>
      <c r="R2" s="892" t="s">
        <v>65</v>
      </c>
      <c r="T2" s="877" t="s">
        <v>21</v>
      </c>
      <c r="U2" s="888" t="s">
        <v>45</v>
      </c>
      <c r="V2" s="892" t="s">
        <v>35</v>
      </c>
    </row>
    <row r="3" spans="1:22" ht="15.6" x14ac:dyDescent="0.35">
      <c r="A3" s="5" t="s">
        <v>36</v>
      </c>
      <c r="B3" s="75">
        <v>3.6</v>
      </c>
      <c r="C3" s="2" t="s">
        <v>15</v>
      </c>
      <c r="E3" s="5" t="s">
        <v>54</v>
      </c>
      <c r="F3" s="75">
        <v>6.5</v>
      </c>
      <c r="G3" s="178" t="s">
        <v>55</v>
      </c>
      <c r="I3" s="5" t="s">
        <v>54</v>
      </c>
      <c r="J3" s="75">
        <v>6.5</v>
      </c>
      <c r="K3" s="178" t="s">
        <v>55</v>
      </c>
      <c r="O3" s="2" t="s">
        <v>18</v>
      </c>
      <c r="P3" s="2" t="s">
        <v>20</v>
      </c>
      <c r="Q3" s="894"/>
      <c r="R3" s="892"/>
      <c r="T3" s="877"/>
      <c r="U3" s="891"/>
      <c r="V3" s="892"/>
    </row>
    <row r="4" spans="1:22" ht="30" customHeight="1" x14ac:dyDescent="0.25">
      <c r="A4" s="179" t="s">
        <v>1761</v>
      </c>
      <c r="B4" s="180">
        <f>'Recipe Sheet'!AE50</f>
        <v>0</v>
      </c>
      <c r="C4" s="180" t="str">
        <f>'Brewhouse Setup &amp; Calcs'!C12</f>
        <v>qt</v>
      </c>
      <c r="E4" s="179" t="s">
        <v>1761</v>
      </c>
      <c r="F4" s="180">
        <f>'Recipe Sheet'!AE50</f>
        <v>0</v>
      </c>
      <c r="G4" s="180" t="str">
        <f>'Brewhouse Setup &amp; Calcs'!C12</f>
        <v>qt</v>
      </c>
      <c r="I4" s="179" t="s">
        <v>1761</v>
      </c>
      <c r="J4" s="180">
        <f>'Recipe Sheet'!AE50</f>
        <v>0</v>
      </c>
      <c r="K4" s="180" t="str">
        <f>'Brewhouse Setup &amp; Calcs'!C12</f>
        <v>qt</v>
      </c>
      <c r="O4" s="2">
        <v>0</v>
      </c>
      <c r="P4" s="7">
        <f t="shared" ref="P4:P15" si="0">O4*9/5+32</f>
        <v>32</v>
      </c>
      <c r="Q4" s="6">
        <v>3.34</v>
      </c>
      <c r="R4" s="6">
        <v>1.7</v>
      </c>
      <c r="T4" s="1" t="s">
        <v>22</v>
      </c>
      <c r="U4" s="2" t="s">
        <v>47</v>
      </c>
      <c r="V4" s="17" t="s">
        <v>70</v>
      </c>
    </row>
    <row r="5" spans="1:22" ht="16.2" customHeight="1" thickBot="1" x14ac:dyDescent="0.4">
      <c r="A5" s="888" t="s">
        <v>56</v>
      </c>
      <c r="B5" s="181">
        <f>(B3-B2)*'Common Variables'!C14/(2*('Common Variables'!D6*'Common Variables'!D7/'Common Variables'!D8))</f>
        <v>10.18538810444088</v>
      </c>
      <c r="C5" s="182" t="s">
        <v>16</v>
      </c>
      <c r="E5" s="888" t="s">
        <v>56</v>
      </c>
      <c r="F5" s="180">
        <f>(F3-F2)*2.16</f>
        <v>10.3032</v>
      </c>
      <c r="G5" s="178" t="s">
        <v>16</v>
      </c>
      <c r="I5" s="896" t="s">
        <v>1766</v>
      </c>
      <c r="J5" s="181">
        <f>(J$3-J$2)/(0.5*0.91)</f>
        <v>10.483516483516482</v>
      </c>
      <c r="K5" s="182" t="s">
        <v>16</v>
      </c>
      <c r="O5" s="2">
        <v>2</v>
      </c>
      <c r="P5" s="7">
        <f t="shared" si="0"/>
        <v>35.6</v>
      </c>
      <c r="Q5" s="6">
        <v>3.14</v>
      </c>
      <c r="R5" s="6">
        <v>1.6</v>
      </c>
      <c r="T5" s="1" t="s">
        <v>31</v>
      </c>
      <c r="U5" s="2" t="s">
        <v>27</v>
      </c>
      <c r="V5" s="2" t="s">
        <v>23</v>
      </c>
    </row>
    <row r="6" spans="1:22" ht="13.8" thickBot="1" x14ac:dyDescent="0.3">
      <c r="A6" s="889"/>
      <c r="B6" s="185">
        <f>B5*$B$4</f>
        <v>0</v>
      </c>
      <c r="C6" s="175" t="s">
        <v>1763</v>
      </c>
      <c r="E6" s="890"/>
      <c r="F6" s="185">
        <f>F5*$B$4</f>
        <v>0</v>
      </c>
      <c r="G6" s="175" t="s">
        <v>1763</v>
      </c>
      <c r="I6" s="889"/>
      <c r="J6" s="185">
        <f>J5*$B$4</f>
        <v>0</v>
      </c>
      <c r="K6" s="175" t="s">
        <v>1763</v>
      </c>
      <c r="O6" s="2">
        <v>4</v>
      </c>
      <c r="P6" s="7">
        <f t="shared" si="0"/>
        <v>39.200000000000003</v>
      </c>
      <c r="Q6" s="6">
        <v>2.95</v>
      </c>
      <c r="R6" s="6">
        <v>1.5</v>
      </c>
      <c r="T6" s="1" t="s">
        <v>30</v>
      </c>
      <c r="U6" s="2" t="s">
        <v>48</v>
      </c>
      <c r="V6" s="2" t="s">
        <v>24</v>
      </c>
    </row>
    <row r="7" spans="1:22" ht="13.8" thickBot="1" x14ac:dyDescent="0.3">
      <c r="A7" s="890"/>
      <c r="B7" s="183">
        <f>B5/28.34952/1.056688</f>
        <v>0.34000483779648361</v>
      </c>
      <c r="C7" s="177" t="s">
        <v>1762</v>
      </c>
      <c r="E7" s="890"/>
      <c r="F7" s="183">
        <f>F5/28.34952/1.056688</f>
        <v>0.34393759068025542</v>
      </c>
      <c r="G7" s="177" t="s">
        <v>1762</v>
      </c>
      <c r="I7" s="890"/>
      <c r="J7" s="183">
        <f>J5/28.34952/1.056688</f>
        <v>0.34995684847400826</v>
      </c>
      <c r="K7" s="177" t="s">
        <v>1762</v>
      </c>
      <c r="O7" s="2">
        <v>6</v>
      </c>
      <c r="P7" s="7">
        <f t="shared" si="0"/>
        <v>42.8</v>
      </c>
      <c r="Q7" s="6">
        <v>2.75</v>
      </c>
      <c r="R7" s="6">
        <v>1.4</v>
      </c>
      <c r="T7" s="1" t="s">
        <v>29</v>
      </c>
      <c r="U7" s="2" t="s">
        <v>49</v>
      </c>
      <c r="V7" s="17" t="s">
        <v>74</v>
      </c>
    </row>
    <row r="8" spans="1:22" ht="13.8" thickBot="1" x14ac:dyDescent="0.3">
      <c r="A8" s="889"/>
      <c r="B8" s="186">
        <f>$B$4*B7</f>
        <v>0</v>
      </c>
      <c r="C8" s="175" t="s">
        <v>1759</v>
      </c>
      <c r="E8" s="891"/>
      <c r="F8" s="186">
        <f>$B$4*F7</f>
        <v>0</v>
      </c>
      <c r="G8" s="177" t="s">
        <v>1759</v>
      </c>
      <c r="I8" s="889"/>
      <c r="J8" s="186">
        <f>$B$4*J7</f>
        <v>0</v>
      </c>
      <c r="K8" s="175" t="s">
        <v>1759</v>
      </c>
      <c r="O8" s="2">
        <v>8</v>
      </c>
      <c r="P8" s="7">
        <f t="shared" si="0"/>
        <v>46.4</v>
      </c>
      <c r="Q8" s="6">
        <v>2.5499999999999998</v>
      </c>
      <c r="R8" s="6">
        <v>1.3</v>
      </c>
      <c r="T8" s="16" t="s">
        <v>68</v>
      </c>
      <c r="U8" s="2" t="s">
        <v>50</v>
      </c>
      <c r="V8" s="17" t="s">
        <v>72</v>
      </c>
    </row>
    <row r="9" spans="1:22" ht="16.2" customHeight="1" thickBot="1" x14ac:dyDescent="0.4">
      <c r="A9" s="888" t="s">
        <v>57</v>
      </c>
      <c r="B9" s="184">
        <f>B5*1.15</f>
        <v>11.713196320107011</v>
      </c>
      <c r="C9" s="178" t="s">
        <v>16</v>
      </c>
      <c r="E9" s="888" t="s">
        <v>57</v>
      </c>
      <c r="F9" s="180">
        <f>F5*1.15</f>
        <v>11.84868</v>
      </c>
      <c r="G9" s="178" t="s">
        <v>16</v>
      </c>
      <c r="I9" s="897" t="s">
        <v>1767</v>
      </c>
      <c r="J9" s="181">
        <f>(J$3-J$2)/(0.5*0.82*0.8)</f>
        <v>14.542682926829267</v>
      </c>
      <c r="K9" s="178" t="s">
        <v>16</v>
      </c>
      <c r="O9" s="2">
        <v>10</v>
      </c>
      <c r="P9" s="7">
        <f t="shared" si="0"/>
        <v>50</v>
      </c>
      <c r="Q9" s="6">
        <v>2.36</v>
      </c>
      <c r="R9" s="6">
        <v>1.2</v>
      </c>
      <c r="T9" s="16" t="s">
        <v>69</v>
      </c>
      <c r="U9" s="15"/>
      <c r="V9" s="17" t="s">
        <v>73</v>
      </c>
    </row>
    <row r="10" spans="1:22" ht="13.8" thickBot="1" x14ac:dyDescent="0.3">
      <c r="A10" s="890"/>
      <c r="B10" s="185">
        <f>B9*$B$4</f>
        <v>0</v>
      </c>
      <c r="C10" s="177" t="s">
        <v>1763</v>
      </c>
      <c r="E10" s="890"/>
      <c r="F10" s="185">
        <f>F9*$B$4</f>
        <v>0</v>
      </c>
      <c r="G10" s="177" t="s">
        <v>1763</v>
      </c>
      <c r="I10" s="885"/>
      <c r="J10" s="185">
        <f>J9*$B$4</f>
        <v>0</v>
      </c>
      <c r="K10" s="177" t="s">
        <v>1763</v>
      </c>
      <c r="O10" s="2">
        <v>12</v>
      </c>
      <c r="P10" s="7">
        <f t="shared" si="0"/>
        <v>53.6</v>
      </c>
      <c r="Q10" s="6">
        <v>2.2000000000000002</v>
      </c>
      <c r="R10" s="6">
        <v>1.1200000000000001</v>
      </c>
      <c r="T10" s="1" t="s">
        <v>32</v>
      </c>
      <c r="U10" s="2" t="s">
        <v>50</v>
      </c>
      <c r="V10" s="2" t="s">
        <v>25</v>
      </c>
    </row>
    <row r="11" spans="1:22" ht="13.8" thickBot="1" x14ac:dyDescent="0.3">
      <c r="A11" s="890"/>
      <c r="B11" s="80">
        <f>B9/28.34952/1.056688</f>
        <v>0.39100556346595611</v>
      </c>
      <c r="C11" s="177" t="s">
        <v>1762</v>
      </c>
      <c r="E11" s="890"/>
      <c r="F11" s="80">
        <f>F9/28.34952/1.056688</f>
        <v>0.3955282292822937</v>
      </c>
      <c r="G11" s="177" t="s">
        <v>1762</v>
      </c>
      <c r="I11" s="885"/>
      <c r="J11" s="80">
        <f>J9/28.34952/1.056688</f>
        <v>0.48545843309656644</v>
      </c>
      <c r="K11" s="177" t="s">
        <v>1762</v>
      </c>
      <c r="O11" s="2">
        <v>14</v>
      </c>
      <c r="P11" s="7">
        <f t="shared" si="0"/>
        <v>57.2</v>
      </c>
      <c r="Q11" s="6">
        <v>2.06</v>
      </c>
      <c r="R11" s="6">
        <v>1.05</v>
      </c>
      <c r="T11" s="1" t="s">
        <v>33</v>
      </c>
      <c r="U11" s="2" t="s">
        <v>52</v>
      </c>
      <c r="V11" s="2" t="s">
        <v>26</v>
      </c>
    </row>
    <row r="12" spans="1:22" ht="13.8" thickBot="1" x14ac:dyDescent="0.3">
      <c r="A12" s="891"/>
      <c r="B12" s="186">
        <f>$B$4*B11</f>
        <v>0</v>
      </c>
      <c r="C12" s="175" t="s">
        <v>1759</v>
      </c>
      <c r="E12" s="891"/>
      <c r="F12" s="186">
        <f>$B$4*F11</f>
        <v>0</v>
      </c>
      <c r="G12" s="175" t="s">
        <v>1759</v>
      </c>
      <c r="I12" s="886"/>
      <c r="J12" s="186">
        <f>$B$4*J11</f>
        <v>0</v>
      </c>
      <c r="K12" s="175" t="s">
        <v>1759</v>
      </c>
      <c r="O12" s="2">
        <v>16</v>
      </c>
      <c r="P12" s="7">
        <f t="shared" si="0"/>
        <v>60.8</v>
      </c>
      <c r="Q12" s="6">
        <v>1.94</v>
      </c>
      <c r="R12" s="6">
        <v>0.99</v>
      </c>
      <c r="T12" s="1" t="s">
        <v>34</v>
      </c>
      <c r="U12" s="2" t="s">
        <v>51</v>
      </c>
      <c r="V12" s="17" t="s">
        <v>71</v>
      </c>
    </row>
    <row r="13" spans="1:22" ht="15" customHeight="1" thickBot="1" x14ac:dyDescent="0.4">
      <c r="A13" s="884" t="s">
        <v>62</v>
      </c>
      <c r="B13" s="180">
        <f>B5*1.3</f>
        <v>13.241004535773145</v>
      </c>
      <c r="C13" s="178" t="s">
        <v>16</v>
      </c>
      <c r="E13" s="884" t="s">
        <v>62</v>
      </c>
      <c r="F13" s="180">
        <f>F5*1.3</f>
        <v>13.394160000000001</v>
      </c>
      <c r="G13" s="178" t="s">
        <v>16</v>
      </c>
      <c r="O13" s="2">
        <v>18</v>
      </c>
      <c r="P13" s="7">
        <f t="shared" si="0"/>
        <v>64.400000000000006</v>
      </c>
      <c r="Q13" s="6">
        <v>1.83</v>
      </c>
      <c r="R13" s="6">
        <v>0.93</v>
      </c>
      <c r="T13" s="1"/>
      <c r="U13" s="178"/>
      <c r="V13" s="178"/>
    </row>
    <row r="14" spans="1:22" ht="15" customHeight="1" thickBot="1" x14ac:dyDescent="0.3">
      <c r="A14" s="885"/>
      <c r="B14" s="185">
        <f>B13*$B$4</f>
        <v>0</v>
      </c>
      <c r="C14" s="175" t="s">
        <v>1763</v>
      </c>
      <c r="E14" s="885"/>
      <c r="F14" s="185">
        <f>F13*$B$4</f>
        <v>0</v>
      </c>
      <c r="G14" s="175" t="s">
        <v>1763</v>
      </c>
      <c r="O14" s="2">
        <v>20</v>
      </c>
      <c r="P14" s="7">
        <f t="shared" si="0"/>
        <v>68</v>
      </c>
      <c r="Q14" s="6">
        <v>1.73</v>
      </c>
      <c r="R14" s="6">
        <v>0.88</v>
      </c>
      <c r="T14" s="1"/>
      <c r="U14" s="178"/>
      <c r="V14" s="178"/>
    </row>
    <row r="15" spans="1:22" ht="13.8" thickBot="1" x14ac:dyDescent="0.3">
      <c r="A15" s="885"/>
      <c r="B15" s="80">
        <f>B13/28.34952/1.056688</f>
        <v>0.44200628913542872</v>
      </c>
      <c r="C15" s="177" t="s">
        <v>1762</v>
      </c>
      <c r="E15" s="885"/>
      <c r="F15" s="80">
        <f>F13/28.34952/1.056688</f>
        <v>0.44711886788433203</v>
      </c>
      <c r="G15" s="177" t="s">
        <v>1762</v>
      </c>
      <c r="O15" s="2">
        <v>22</v>
      </c>
      <c r="P15" s="7">
        <f t="shared" si="0"/>
        <v>71.599999999999994</v>
      </c>
      <c r="Q15" s="6">
        <v>1.63</v>
      </c>
      <c r="R15" s="6">
        <v>0.83</v>
      </c>
    </row>
    <row r="16" spans="1:22" ht="13.8" thickBot="1" x14ac:dyDescent="0.3">
      <c r="A16" s="886"/>
      <c r="B16" s="186">
        <f>$B$4*B15</f>
        <v>0</v>
      </c>
      <c r="C16" s="175" t="s">
        <v>1759</v>
      </c>
      <c r="E16" s="886"/>
      <c r="F16" s="186">
        <f>$B$4*F15</f>
        <v>0</v>
      </c>
      <c r="G16" s="175" t="s">
        <v>1759</v>
      </c>
    </row>
    <row r="17" spans="1:17" ht="16.2" thickBot="1" x14ac:dyDescent="0.4">
      <c r="A17" s="887" t="s">
        <v>63</v>
      </c>
      <c r="B17" s="180">
        <f>B5*1.4</f>
        <v>14.259543346217232</v>
      </c>
      <c r="C17" s="178" t="s">
        <v>16</v>
      </c>
      <c r="E17" s="887" t="s">
        <v>63</v>
      </c>
      <c r="F17" s="180">
        <f>F5*1.4</f>
        <v>14.424479999999999</v>
      </c>
      <c r="G17" s="178" t="s">
        <v>16</v>
      </c>
      <c r="Q17" s="4"/>
    </row>
    <row r="18" spans="1:17" ht="13.8" thickBot="1" x14ac:dyDescent="0.3">
      <c r="A18" s="887"/>
      <c r="B18" s="185">
        <f>B17*$B$4</f>
        <v>0</v>
      </c>
      <c r="C18" s="175" t="s">
        <v>1763</v>
      </c>
      <c r="E18" s="887"/>
      <c r="F18" s="185">
        <f>F17*$B$4</f>
        <v>0</v>
      </c>
      <c r="G18" s="175" t="s">
        <v>1763</v>
      </c>
      <c r="Q18" s="176"/>
    </row>
    <row r="19" spans="1:17" ht="13.8" thickBot="1" x14ac:dyDescent="0.3">
      <c r="A19" s="887"/>
      <c r="B19" s="80">
        <f>B17/28.34952/1.056688</f>
        <v>0.47600677291507704</v>
      </c>
      <c r="C19" s="178" t="s">
        <v>17</v>
      </c>
      <c r="E19" s="887"/>
      <c r="F19" s="80">
        <f>F17/28.34952/1.056688</f>
        <v>0.48151262695235753</v>
      </c>
      <c r="G19" s="178" t="s">
        <v>17</v>
      </c>
    </row>
    <row r="20" spans="1:17" ht="13.8" thickBot="1" x14ac:dyDescent="0.3">
      <c r="A20" s="887"/>
      <c r="B20" s="186">
        <f>$B$4*B19</f>
        <v>0</v>
      </c>
      <c r="C20" s="175" t="s">
        <v>1759</v>
      </c>
      <c r="E20" s="887"/>
      <c r="F20" s="186">
        <f>$B$4*F19</f>
        <v>0</v>
      </c>
      <c r="G20" s="175" t="s">
        <v>1759</v>
      </c>
    </row>
    <row r="22" spans="1:17" ht="15.6" x14ac:dyDescent="0.25">
      <c r="A22" s="14" t="s">
        <v>58</v>
      </c>
    </row>
    <row r="23" spans="1:17" ht="15.6" x14ac:dyDescent="0.25">
      <c r="A23" s="14" t="s">
        <v>59</v>
      </c>
    </row>
    <row r="24" spans="1:17" ht="15.6" x14ac:dyDescent="0.25">
      <c r="A24" s="14" t="s">
        <v>60</v>
      </c>
    </row>
    <row r="25" spans="1:17" ht="15.6" x14ac:dyDescent="0.25">
      <c r="A25" s="14" t="s">
        <v>1765</v>
      </c>
    </row>
    <row r="32" spans="1:17" x14ac:dyDescent="0.25">
      <c r="E32" s="755" t="s">
        <v>1638</v>
      </c>
      <c r="F32" s="755"/>
      <c r="G32" s="755"/>
    </row>
    <row r="33" spans="5:7" x14ac:dyDescent="0.25">
      <c r="E33" s="895" t="s">
        <v>1639</v>
      </c>
      <c r="F33" s="895"/>
      <c r="G33" s="145">
        <v>2.8</v>
      </c>
    </row>
    <row r="34" spans="5:7" x14ac:dyDescent="0.25">
      <c r="E34" s="895" t="s">
        <v>1640</v>
      </c>
      <c r="F34" s="895"/>
      <c r="G34" s="146">
        <v>38</v>
      </c>
    </row>
    <row r="35" spans="5:7" x14ac:dyDescent="0.25">
      <c r="E35" s="895" t="s">
        <v>1641</v>
      </c>
      <c r="F35" s="895"/>
      <c r="G35" s="147">
        <f xml:space="preserve"> -16.6999 - 0.0101059*G34 + 0.00116512*G34^2 + 0.173354*G34*G33 + 4.24267*G33 - 0.0684226*G33^2</f>
        <v>14.386417496000002</v>
      </c>
    </row>
    <row r="36" spans="5:7" x14ac:dyDescent="0.25">
      <c r="E36" s="133" t="s">
        <v>1642</v>
      </c>
    </row>
  </sheetData>
  <sheetProtection sheet="1" objects="1" scenarios="1"/>
  <mergeCells count="25">
    <mergeCell ref="E32:G32"/>
    <mergeCell ref="E33:F33"/>
    <mergeCell ref="E34:F34"/>
    <mergeCell ref="E35:F35"/>
    <mergeCell ref="T1:V1"/>
    <mergeCell ref="V2:V3"/>
    <mergeCell ref="T2:T3"/>
    <mergeCell ref="U2:U3"/>
    <mergeCell ref="I1:K1"/>
    <mergeCell ref="I5:I8"/>
    <mergeCell ref="I9:I12"/>
    <mergeCell ref="A1:C1"/>
    <mergeCell ref="O1:R1"/>
    <mergeCell ref="A13:A16"/>
    <mergeCell ref="A17:A20"/>
    <mergeCell ref="A5:A8"/>
    <mergeCell ref="A9:A12"/>
    <mergeCell ref="R2:R3"/>
    <mergeCell ref="E1:G1"/>
    <mergeCell ref="E5:E8"/>
    <mergeCell ref="E9:E12"/>
    <mergeCell ref="E13:E16"/>
    <mergeCell ref="E17:E20"/>
    <mergeCell ref="Q2:Q3"/>
    <mergeCell ref="O2:P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workbookViewId="0">
      <selection activeCell="L11" sqref="L11"/>
    </sheetView>
  </sheetViews>
  <sheetFormatPr defaultRowHeight="13.2" x14ac:dyDescent="0.25"/>
  <cols>
    <col min="1" max="1" width="13.88671875" bestFit="1" customWidth="1"/>
    <col min="2" max="2" width="3.33203125" customWidth="1"/>
    <col min="3" max="3" width="8.33203125" bestFit="1" customWidth="1"/>
    <col min="4" max="4" width="8.5546875" bestFit="1" customWidth="1"/>
    <col min="5" max="5" width="6.33203125" customWidth="1"/>
    <col min="6" max="6" width="16.44140625" customWidth="1"/>
    <col min="7" max="7" width="18.77734375" style="92" bestFit="1" customWidth="1"/>
    <col min="8" max="8" width="13.6640625" customWidth="1"/>
    <col min="12" max="12" width="32.88671875" bestFit="1" customWidth="1"/>
  </cols>
  <sheetData>
    <row r="1" spans="1:8" x14ac:dyDescent="0.25">
      <c r="A1" s="877" t="s">
        <v>78</v>
      </c>
      <c r="B1" s="877"/>
      <c r="C1" s="877"/>
      <c r="D1" s="877"/>
    </row>
    <row r="2" spans="1:8" x14ac:dyDescent="0.25">
      <c r="A2" s="19" t="s">
        <v>76</v>
      </c>
      <c r="B2" s="3"/>
      <c r="C2" s="22" t="s">
        <v>79</v>
      </c>
      <c r="D2" s="3" t="s">
        <v>80</v>
      </c>
      <c r="F2" s="90" t="s">
        <v>1218</v>
      </c>
      <c r="G2" s="92">
        <v>0.45359237000000002</v>
      </c>
    </row>
    <row r="3" spans="1:8" x14ac:dyDescent="0.25">
      <c r="A3" s="76">
        <v>8.73</v>
      </c>
      <c r="B3" s="18" t="s">
        <v>0</v>
      </c>
      <c r="C3" s="21">
        <f>A3*0.8125</f>
        <v>7.0931250000000006</v>
      </c>
      <c r="D3" s="21">
        <f>A3*0.6875</f>
        <v>6.0018750000000001</v>
      </c>
      <c r="F3" s="51" t="s">
        <v>1219</v>
      </c>
      <c r="G3" s="92">
        <v>2.20462262185</v>
      </c>
    </row>
    <row r="4" spans="1:8" ht="26.4" x14ac:dyDescent="0.25">
      <c r="A4" s="19" t="s">
        <v>77</v>
      </c>
      <c r="B4" s="3"/>
      <c r="C4" s="22" t="s">
        <v>81</v>
      </c>
      <c r="D4" s="3" t="s">
        <v>82</v>
      </c>
      <c r="F4" s="90" t="s">
        <v>1220</v>
      </c>
      <c r="G4" s="92">
        <v>1.0566882049699999</v>
      </c>
    </row>
    <row r="5" spans="1:8" x14ac:dyDescent="0.25">
      <c r="A5" s="76">
        <v>7.57</v>
      </c>
      <c r="B5" s="18" t="s">
        <v>0</v>
      </c>
      <c r="C5" s="21">
        <f>A5*0.937</f>
        <v>7.093090000000001</v>
      </c>
      <c r="D5" s="21">
        <f>A5*0.7929</f>
        <v>6.0022530000000005</v>
      </c>
      <c r="F5" s="51" t="s">
        <v>1221</v>
      </c>
      <c r="G5" s="92">
        <v>0.94635294999999997</v>
      </c>
    </row>
    <row r="6" spans="1:8" x14ac:dyDescent="0.25">
      <c r="F6" s="91" t="s">
        <v>1222</v>
      </c>
      <c r="G6" s="92">
        <v>2.0863511218233199</v>
      </c>
    </row>
    <row r="7" spans="1:8" x14ac:dyDescent="0.25">
      <c r="A7" s="877" t="s">
        <v>75</v>
      </c>
      <c r="B7" s="877"/>
      <c r="C7" s="877"/>
      <c r="D7" s="877"/>
      <c r="F7" s="96" t="s">
        <v>1223</v>
      </c>
      <c r="G7" s="93">
        <v>154</v>
      </c>
      <c r="H7" s="94">
        <f>5/9*(G7-32)</f>
        <v>67.777777777777786</v>
      </c>
    </row>
    <row r="8" spans="1:8" x14ac:dyDescent="0.25">
      <c r="A8" s="20" t="s">
        <v>79</v>
      </c>
      <c r="B8" s="3"/>
      <c r="C8" s="900" t="s">
        <v>76</v>
      </c>
      <c r="D8" s="901"/>
      <c r="F8" s="91" t="s">
        <v>1224</v>
      </c>
      <c r="G8" s="92">
        <v>28.349519999999998</v>
      </c>
    </row>
    <row r="9" spans="1:8" x14ac:dyDescent="0.25">
      <c r="A9" s="76">
        <v>6.6</v>
      </c>
      <c r="B9" s="18" t="s">
        <v>0</v>
      </c>
      <c r="C9" s="898">
        <f>A9/0.8125</f>
        <v>8.1230769230769226</v>
      </c>
      <c r="D9" s="899"/>
      <c r="F9" s="96" t="s">
        <v>1225</v>
      </c>
      <c r="G9" s="92">
        <v>0.26417205124199999</v>
      </c>
    </row>
    <row r="10" spans="1:8" ht="26.4" x14ac:dyDescent="0.25">
      <c r="A10" s="20" t="s">
        <v>80</v>
      </c>
      <c r="B10" s="3"/>
      <c r="C10" s="900" t="s">
        <v>76</v>
      </c>
      <c r="D10" s="901"/>
      <c r="F10" s="95" t="s">
        <v>1227</v>
      </c>
      <c r="G10" s="92">
        <v>4.5100000000000001E-4</v>
      </c>
    </row>
    <row r="11" spans="1:8" ht="26.4" x14ac:dyDescent="0.25">
      <c r="A11" s="76">
        <v>6</v>
      </c>
      <c r="B11" s="18" t="s">
        <v>0</v>
      </c>
      <c r="C11" s="898">
        <f>A11/0.6875</f>
        <v>8.7272727272727266</v>
      </c>
      <c r="D11" s="899"/>
      <c r="F11" s="95" t="s">
        <v>1226</v>
      </c>
      <c r="G11" s="92">
        <f>G10*17.22</f>
        <v>7.7662199999999999E-3</v>
      </c>
    </row>
    <row r="12" spans="1:8" x14ac:dyDescent="0.25">
      <c r="A12" s="20" t="s">
        <v>81</v>
      </c>
      <c r="B12" s="3"/>
      <c r="C12" s="900" t="s">
        <v>76</v>
      </c>
      <c r="D12" s="901"/>
    </row>
    <row r="13" spans="1:8" x14ac:dyDescent="0.25">
      <c r="A13" s="76">
        <v>6</v>
      </c>
      <c r="B13" s="18" t="s">
        <v>0</v>
      </c>
      <c r="C13" s="898">
        <f>A13/0.937</f>
        <v>6.4034151547491991</v>
      </c>
      <c r="D13" s="899"/>
      <c r="F13" s="54" t="s">
        <v>1344</v>
      </c>
      <c r="G13" s="129" t="s">
        <v>89</v>
      </c>
    </row>
    <row r="14" spans="1:8" x14ac:dyDescent="0.25">
      <c r="A14" s="20" t="s">
        <v>82</v>
      </c>
      <c r="B14" s="3"/>
      <c r="C14" s="900" t="s">
        <v>76</v>
      </c>
      <c r="D14" s="901"/>
      <c r="G14" s="129">
        <v>1.6</v>
      </c>
      <c r="H14" s="23" t="s">
        <v>1345</v>
      </c>
    </row>
    <row r="15" spans="1:8" x14ac:dyDescent="0.25">
      <c r="A15" s="76">
        <v>6</v>
      </c>
      <c r="B15" s="18" t="s">
        <v>0</v>
      </c>
      <c r="C15" s="898">
        <f>A15/0.7929</f>
        <v>7.567158531971244</v>
      </c>
      <c r="D15" s="899"/>
      <c r="G15" s="92">
        <v>0.38</v>
      </c>
      <c r="H15" s="23" t="s">
        <v>1346</v>
      </c>
    </row>
    <row r="16" spans="1:8" x14ac:dyDescent="0.25">
      <c r="G16" s="129" t="s">
        <v>1347</v>
      </c>
    </row>
    <row r="17" spans="1:8" x14ac:dyDescent="0.25">
      <c r="A17" s="23" t="s">
        <v>84</v>
      </c>
      <c r="G17" s="92">
        <v>4.18</v>
      </c>
      <c r="H17" s="23" t="s">
        <v>1345</v>
      </c>
    </row>
    <row r="18" spans="1:8" x14ac:dyDescent="0.25">
      <c r="A18" s="23" t="s">
        <v>83</v>
      </c>
      <c r="G18" s="92">
        <v>0.99904397700000003</v>
      </c>
      <c r="H18" s="23" t="s">
        <v>1346</v>
      </c>
    </row>
    <row r="19" spans="1:8" x14ac:dyDescent="0.25">
      <c r="A19" s="23" t="s">
        <v>85</v>
      </c>
    </row>
    <row r="20" spans="1:8" x14ac:dyDescent="0.25">
      <c r="A20" s="23" t="s">
        <v>86</v>
      </c>
    </row>
    <row r="23" spans="1:8" x14ac:dyDescent="0.25">
      <c r="B23" s="23"/>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D8" sqref="D6:D8"/>
    </sheetView>
  </sheetViews>
  <sheetFormatPr defaultRowHeight="13.2" x14ac:dyDescent="0.25"/>
  <cols>
    <col min="2" max="2" width="2.33203125" bestFit="1" customWidth="1"/>
    <col min="3" max="3" width="12" customWidth="1"/>
    <col min="4" max="4" width="11.6640625" customWidth="1"/>
    <col min="5" max="5" width="16" customWidth="1"/>
    <col min="6" max="6" width="4.6640625" customWidth="1"/>
  </cols>
  <sheetData>
    <row r="1" spans="1:8" x14ac:dyDescent="0.25">
      <c r="C1" s="877" t="s">
        <v>13</v>
      </c>
      <c r="D1" s="877"/>
      <c r="E1" s="877"/>
    </row>
    <row r="2" spans="1:8" x14ac:dyDescent="0.25">
      <c r="C2" s="1" t="s">
        <v>2</v>
      </c>
      <c r="D2" s="9">
        <v>12.0107</v>
      </c>
      <c r="E2" s="2" t="s">
        <v>1</v>
      </c>
    </row>
    <row r="3" spans="1:8" x14ac:dyDescent="0.25">
      <c r="C3" s="1" t="s">
        <v>3</v>
      </c>
      <c r="D3" s="9">
        <v>15.9994</v>
      </c>
      <c r="E3" s="2" t="s">
        <v>1</v>
      </c>
    </row>
    <row r="4" spans="1:8" x14ac:dyDescent="0.25">
      <c r="C4" s="1" t="s">
        <v>4</v>
      </c>
      <c r="D4" s="9">
        <v>1.0079400000000001</v>
      </c>
      <c r="E4" s="2" t="s">
        <v>1</v>
      </c>
    </row>
    <row r="5" spans="1:8" ht="23.25" customHeight="1" x14ac:dyDescent="0.25">
      <c r="C5" s="1" t="s">
        <v>5</v>
      </c>
      <c r="D5" s="10">
        <f>6.022*10^23</f>
        <v>6.0219999999999996E+23</v>
      </c>
      <c r="E5" s="10"/>
    </row>
    <row r="6" spans="1:8" ht="15.6" x14ac:dyDescent="0.25">
      <c r="C6" s="1" t="s">
        <v>8</v>
      </c>
      <c r="D6" s="11">
        <v>8.20578E-2</v>
      </c>
      <c r="E6" s="12" t="s">
        <v>9</v>
      </c>
    </row>
    <row r="7" spans="1:8" x14ac:dyDescent="0.25">
      <c r="C7" s="1" t="s">
        <v>10</v>
      </c>
      <c r="D7" s="13">
        <v>293.14999999999998</v>
      </c>
      <c r="E7" s="2" t="s">
        <v>14</v>
      </c>
    </row>
    <row r="8" spans="1:8" x14ac:dyDescent="0.25">
      <c r="C8" s="1" t="s">
        <v>11</v>
      </c>
      <c r="D8" s="11">
        <v>1</v>
      </c>
      <c r="E8" s="2" t="s">
        <v>12</v>
      </c>
    </row>
    <row r="11" spans="1:8" ht="15.6" x14ac:dyDescent="0.35">
      <c r="A11" s="902" t="s">
        <v>1685</v>
      </c>
      <c r="B11" s="902"/>
      <c r="C11" s="902"/>
      <c r="D11" s="902"/>
      <c r="E11" s="902"/>
      <c r="F11" s="902"/>
      <c r="G11" s="902"/>
      <c r="H11" s="902"/>
    </row>
    <row r="12" spans="1:8" ht="20.25" customHeight="1" x14ac:dyDescent="0.25">
      <c r="C12" s="4" t="s">
        <v>43</v>
      </c>
      <c r="D12" s="4"/>
      <c r="E12" s="4" t="s">
        <v>7</v>
      </c>
      <c r="G12" t="s">
        <v>44</v>
      </c>
    </row>
    <row r="13" spans="1:8" ht="24" customHeight="1" x14ac:dyDescent="0.25">
      <c r="C13" s="8" t="s">
        <v>39</v>
      </c>
      <c r="D13" s="8" t="s">
        <v>42</v>
      </c>
      <c r="E13" s="8" t="s">
        <v>40</v>
      </c>
      <c r="G13" s="8" t="s">
        <v>41</v>
      </c>
    </row>
    <row r="14" spans="1:8" ht="15" x14ac:dyDescent="0.25">
      <c r="C14" s="4">
        <f>D2*6+D4*12+D3*6</f>
        <v>180.15588</v>
      </c>
      <c r="D14" s="8" t="s">
        <v>42</v>
      </c>
      <c r="E14" s="4">
        <f>2*(D2+D4*3+D2+D4*2+D3+D4)</f>
        <v>92.136879999999991</v>
      </c>
      <c r="F14" s="4" t="s">
        <v>6</v>
      </c>
      <c r="G14" s="4">
        <f>2*(D2+D3*2)</f>
        <v>88.019000000000005</v>
      </c>
      <c r="H14" s="4" t="s">
        <v>1</v>
      </c>
    </row>
    <row r="17" spans="1:7" x14ac:dyDescent="0.25">
      <c r="A17" s="23" t="s">
        <v>1679</v>
      </c>
      <c r="C17" s="51" t="s">
        <v>1680</v>
      </c>
      <c r="E17" s="163" t="s">
        <v>7</v>
      </c>
      <c r="G17" t="s">
        <v>44</v>
      </c>
    </row>
    <row r="18" spans="1:7" ht="18.600000000000001" x14ac:dyDescent="0.25">
      <c r="A18" s="8" t="s">
        <v>1681</v>
      </c>
      <c r="B18" s="8" t="s">
        <v>6</v>
      </c>
      <c r="C18" s="8" t="s">
        <v>1682</v>
      </c>
      <c r="D18" s="8" t="s">
        <v>42</v>
      </c>
      <c r="E18" s="8" t="s">
        <v>1683</v>
      </c>
      <c r="F18" s="8" t="s">
        <v>6</v>
      </c>
      <c r="G18" s="8" t="s">
        <v>1684</v>
      </c>
    </row>
    <row r="19" spans="1:7" x14ac:dyDescent="0.25">
      <c r="A19" s="163">
        <f>D4*2+D3</f>
        <v>18.015280000000001</v>
      </c>
      <c r="C19" s="163">
        <f>D2*12+D4*22+D3*11</f>
        <v>342.29647999999997</v>
      </c>
      <c r="E19" s="163">
        <f>4*(D2*2+D4*5+D3+D4)</f>
        <v>184.27375999999998</v>
      </c>
      <c r="G19" s="163">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H57"/>
  <sheetViews>
    <sheetView zoomScaleNormal="100" workbookViewId="0">
      <selection activeCell="T37" sqref="T37"/>
    </sheetView>
  </sheetViews>
  <sheetFormatPr defaultRowHeight="13.2" x14ac:dyDescent="0.25"/>
  <cols>
    <col min="1" max="1" width="8.5546875" customWidth="1"/>
    <col min="2" max="2" width="9.44140625" customWidth="1"/>
    <col min="3" max="3" width="5" customWidth="1"/>
    <col min="4" max="4" width="11.109375" customWidth="1"/>
    <col min="5" max="6" width="6" customWidth="1"/>
    <col min="7" max="7" width="0.88671875" customWidth="1"/>
    <col min="8" max="8" width="5.44140625" customWidth="1"/>
    <col min="9" max="9" width="5" customWidth="1"/>
    <col min="10" max="11" width="6" customWidth="1"/>
    <col min="12" max="12" width="0.88671875" customWidth="1"/>
    <col min="13" max="13" width="10.33203125" customWidth="1"/>
    <col min="14" max="15" width="5.88671875" customWidth="1"/>
    <col min="16" max="16" width="0.88671875" customWidth="1"/>
    <col min="17" max="17" width="6.109375" customWidth="1"/>
    <col min="18" max="18" width="10.33203125" customWidth="1"/>
    <col min="19" max="19" width="7.33203125" bestFit="1" customWidth="1"/>
    <col min="20" max="20" width="7.33203125" customWidth="1"/>
    <col min="21" max="21" width="7.88671875" customWidth="1"/>
    <col min="22" max="22" width="1.5546875" customWidth="1"/>
    <col min="23" max="24" width="7.33203125" customWidth="1"/>
    <col min="25" max="25" width="7.88671875" bestFit="1" customWidth="1"/>
    <col min="26" max="30" width="4.77734375" customWidth="1"/>
    <col min="31" max="31" width="6.5546875" customWidth="1"/>
    <col min="32" max="32" width="4.88671875" customWidth="1"/>
    <col min="33" max="33" width="4.44140625" customWidth="1"/>
  </cols>
  <sheetData>
    <row r="1" spans="1:33" x14ac:dyDescent="0.25">
      <c r="A1" s="201" t="s">
        <v>148</v>
      </c>
      <c r="B1" s="680" t="s">
        <v>707</v>
      </c>
      <c r="C1" s="680"/>
      <c r="D1" s="680"/>
      <c r="E1" s="680"/>
      <c r="F1" s="202"/>
      <c r="G1" s="202"/>
      <c r="H1" s="201" t="s">
        <v>128</v>
      </c>
      <c r="I1" s="680" t="s">
        <v>135</v>
      </c>
      <c r="J1" s="680"/>
      <c r="K1" s="680"/>
      <c r="L1" s="680"/>
      <c r="M1" s="680"/>
      <c r="P1" s="202"/>
      <c r="Q1" s="643" t="s">
        <v>143</v>
      </c>
      <c r="R1" s="644"/>
      <c r="S1" s="644"/>
      <c r="T1" s="644"/>
      <c r="U1" s="645"/>
      <c r="V1" s="235"/>
      <c r="W1" s="564"/>
      <c r="X1" s="564"/>
      <c r="Y1" s="564"/>
      <c r="Z1" s="165"/>
    </row>
    <row r="2" spans="1:33" ht="13.2" customHeight="1" x14ac:dyDescent="0.25">
      <c r="A2" s="203" t="s">
        <v>127</v>
      </c>
      <c r="B2" s="686" t="s">
        <v>708</v>
      </c>
      <c r="C2" s="686"/>
      <c r="D2" s="686"/>
      <c r="E2" s="686"/>
      <c r="F2" s="202"/>
      <c r="G2" s="202"/>
      <c r="H2" s="201" t="s">
        <v>129</v>
      </c>
      <c r="I2" s="681">
        <v>43460</v>
      </c>
      <c r="J2" s="681"/>
      <c r="K2" s="681"/>
      <c r="L2" s="681"/>
      <c r="M2" s="681"/>
      <c r="P2" s="202"/>
      <c r="Q2" s="646" t="s">
        <v>142</v>
      </c>
      <c r="R2" s="647"/>
      <c r="S2" s="647"/>
      <c r="T2" s="647"/>
      <c r="U2" s="648"/>
    </row>
    <row r="3" spans="1:33" ht="7.2" customHeight="1" x14ac:dyDescent="0.25">
      <c r="A3" s="202"/>
      <c r="B3" s="202"/>
      <c r="C3" s="202"/>
      <c r="D3" s="202"/>
      <c r="E3" s="202"/>
      <c r="F3" s="202"/>
      <c r="G3" s="202"/>
      <c r="H3" s="202"/>
      <c r="I3" s="202"/>
      <c r="J3" s="202"/>
      <c r="K3" s="202"/>
      <c r="L3" s="202"/>
      <c r="M3" s="202"/>
      <c r="N3" s="202"/>
      <c r="O3" s="202"/>
      <c r="P3" s="202"/>
      <c r="Q3" s="202"/>
      <c r="R3" s="202"/>
      <c r="S3" s="202"/>
      <c r="T3" s="202"/>
      <c r="U3" s="202"/>
    </row>
    <row r="4" spans="1:33" x14ac:dyDescent="0.25">
      <c r="A4" s="652" t="s">
        <v>1170</v>
      </c>
      <c r="B4" s="653"/>
      <c r="C4" s="653"/>
      <c r="D4" s="653"/>
      <c r="E4" s="653"/>
      <c r="F4" s="654"/>
      <c r="G4" s="202"/>
      <c r="H4" s="656" t="s">
        <v>1824</v>
      </c>
      <c r="I4" s="656"/>
      <c r="J4" s="656"/>
      <c r="K4" s="656"/>
      <c r="L4" s="206"/>
      <c r="M4" s="656" t="s">
        <v>2023</v>
      </c>
      <c r="N4" s="656"/>
      <c r="O4" s="656"/>
      <c r="P4" s="202"/>
      <c r="Q4" s="652" t="s">
        <v>1806</v>
      </c>
      <c r="R4" s="653"/>
      <c r="S4" s="653"/>
      <c r="T4" s="653"/>
      <c r="U4" s="654"/>
    </row>
    <row r="5" spans="1:33" ht="13.2" customHeight="1" x14ac:dyDescent="0.25">
      <c r="A5" s="659" t="s">
        <v>66</v>
      </c>
      <c r="B5" s="687"/>
      <c r="C5" s="687"/>
      <c r="D5" s="660"/>
      <c r="E5" s="246" t="s">
        <v>145</v>
      </c>
      <c r="F5" s="677" t="s">
        <v>1191</v>
      </c>
      <c r="G5" s="202"/>
      <c r="H5" s="590"/>
      <c r="I5" s="591"/>
      <c r="J5" s="592" t="s">
        <v>1197</v>
      </c>
      <c r="K5" s="593" t="s">
        <v>139</v>
      </c>
      <c r="L5" s="586"/>
      <c r="M5" s="682" t="s">
        <v>1788</v>
      </c>
      <c r="N5" s="682"/>
      <c r="O5" s="682"/>
      <c r="P5" s="202"/>
      <c r="Q5" s="650" t="s">
        <v>132</v>
      </c>
      <c r="R5" s="651"/>
      <c r="S5" s="227" t="s">
        <v>1798</v>
      </c>
      <c r="T5" s="228" t="s">
        <v>139</v>
      </c>
      <c r="U5" s="227" t="s">
        <v>100</v>
      </c>
      <c r="V5" s="202"/>
      <c r="W5" s="202"/>
      <c r="X5" s="202"/>
      <c r="Y5" s="202"/>
    </row>
    <row r="6" spans="1:33" ht="13.2" customHeight="1" x14ac:dyDescent="0.25">
      <c r="A6" s="688"/>
      <c r="B6" s="689"/>
      <c r="C6" s="689"/>
      <c r="D6" s="690"/>
      <c r="E6" s="205" t="str">
        <f>'Brewhouse Setup &amp; Calcs'!$B$6</f>
        <v>lb</v>
      </c>
      <c r="F6" s="678"/>
      <c r="G6" s="202"/>
      <c r="H6" s="694" t="s">
        <v>1812</v>
      </c>
      <c r="I6" s="695"/>
      <c r="J6" s="229">
        <f>'Grain &amp; Sugar Calcs'!J20</f>
        <v>1.0566824637654366</v>
      </c>
      <c r="K6" s="229">
        <f>IF(S18="Hydrometer",T20,T22)</f>
        <v>1.0565</v>
      </c>
      <c r="M6" s="685" t="s">
        <v>2024</v>
      </c>
      <c r="N6" s="683" t="s">
        <v>2021</v>
      </c>
      <c r="O6" s="683" t="s">
        <v>2022</v>
      </c>
      <c r="P6" s="202"/>
      <c r="Q6" s="627" t="str">
        <f>'Brewhouse Setup &amp; Calcs'!A40</f>
        <v>Total Water Req'd</v>
      </c>
      <c r="R6" s="628"/>
      <c r="S6" s="211">
        <f>'Brewhouse Setup &amp; Calcs'!B40</f>
        <v>35.906708000000002</v>
      </c>
      <c r="T6" s="254">
        <f>T9+T12</f>
        <v>36.25</v>
      </c>
      <c r="U6" s="208" t="str">
        <f>'Brewhouse Setup &amp; Calcs'!$B$5</f>
        <v>qt</v>
      </c>
      <c r="V6" s="202"/>
      <c r="W6" s="202"/>
      <c r="X6" s="202"/>
      <c r="Y6" s="202"/>
    </row>
    <row r="7" spans="1:33" ht="13.2" customHeight="1" x14ac:dyDescent="0.25">
      <c r="A7" s="657" t="str">
        <f>IF(ISBLANK('Grain &amp; Sugar Calcs'!B5),"",'Grain &amp; Sugar Calcs'!B5)</f>
        <v>Pale Malt: Brewers Malt, 2-row (Briess)</v>
      </c>
      <c r="B7" s="691"/>
      <c r="C7" s="691"/>
      <c r="D7" s="658"/>
      <c r="E7" s="209">
        <f>IF(ISBLANK('Grain &amp; Sugar Calcs'!C5),"",'Grain &amp; Sugar Calcs'!C5)</f>
        <v>10.25</v>
      </c>
      <c r="F7" s="210">
        <f>IF('Grain &amp; Sugar Calcs'!D5=0,"",'Grain &amp; Sugar Calcs'!D5)</f>
        <v>0.74545454545454548</v>
      </c>
      <c r="G7" s="202"/>
      <c r="H7" s="214"/>
      <c r="I7" s="247" t="s">
        <v>1819</v>
      </c>
      <c r="J7" s="236">
        <f>'Brewhouse Setup &amp; Calcs'!B17</f>
        <v>0.78600000000000003</v>
      </c>
      <c r="K7" s="236">
        <f>IF(S18="Hydrometer",T23,T24)</f>
        <v>0.78501198716141929</v>
      </c>
      <c r="M7" s="673"/>
      <c r="N7" s="684"/>
      <c r="O7" s="684"/>
      <c r="P7" s="202"/>
      <c r="Q7" s="627" t="str">
        <f>'Brewhouse Setup &amp; Calcs'!A13</f>
        <v>Ambient Grain Temp</v>
      </c>
      <c r="R7" s="628"/>
      <c r="S7" s="207">
        <f>'Brewhouse Setup &amp; Calcs'!B13</f>
        <v>68</v>
      </c>
      <c r="T7" s="222">
        <v>69.5</v>
      </c>
      <c r="U7" s="208" t="str">
        <f>'Brewhouse Setup &amp; Calcs'!$B$4</f>
        <v>°F</v>
      </c>
      <c r="V7" s="202"/>
      <c r="W7" s="202"/>
      <c r="X7" s="202"/>
      <c r="Y7" s="202"/>
    </row>
    <row r="8" spans="1:33" ht="13.2" customHeight="1" x14ac:dyDescent="0.25">
      <c r="A8" s="640" t="str">
        <f>IF(ISBLANK('Grain &amp; Sugar Calcs'!B6),"",'Grain &amp; Sugar Calcs'!B6)</f>
        <v>Pale Ale Malt: Pale Ale Malt (Rahr)</v>
      </c>
      <c r="B8" s="640"/>
      <c r="C8" s="640"/>
      <c r="D8" s="640"/>
      <c r="E8" s="211">
        <f>IF(ISBLANK('Grain &amp; Sugar Calcs'!C6),"",'Grain &amp; Sugar Calcs'!C6)</f>
        <v>3</v>
      </c>
      <c r="F8" s="210">
        <f>IF('Grain &amp; Sugar Calcs'!D6=0,"",'Grain &amp; Sugar Calcs'!D6)</f>
        <v>0.21818181818181817</v>
      </c>
      <c r="G8" s="202"/>
      <c r="H8" s="639" t="s">
        <v>1809</v>
      </c>
      <c r="I8" s="639"/>
      <c r="J8" s="229">
        <f>'Grain &amp; Sugar Calcs'!K20</f>
        <v>1.0646521775647682</v>
      </c>
      <c r="K8" s="229">
        <f>IF(S18="Hydrometer",T28,T30)</f>
        <v>1.0650743379919672</v>
      </c>
      <c r="M8" s="561" t="s">
        <v>1845</v>
      </c>
      <c r="N8" s="218">
        <v>37.200000000000003</v>
      </c>
      <c r="O8" s="238">
        <f>IFERROR(IF('Brewhouse Setup &amp; Calcs'!$B$2="US Customary",'Water-English'!D51,'Water-Metric'!D52),"")</f>
        <v>37.200000000000003</v>
      </c>
      <c r="P8" s="202"/>
      <c r="Q8" s="627" t="str">
        <f>'Brewhouse Setup &amp; Calcs'!A14</f>
        <v>Desired Mash Temp</v>
      </c>
      <c r="R8" s="628"/>
      <c r="S8" s="207">
        <f>'Brewhouse Setup &amp; Calcs'!B14</f>
        <v>150</v>
      </c>
      <c r="T8" s="222">
        <v>151</v>
      </c>
      <c r="U8" s="208" t="str">
        <f>'Brewhouse Setup &amp; Calcs'!$B$4</f>
        <v>°F</v>
      </c>
      <c r="V8" s="202"/>
      <c r="W8" s="202"/>
      <c r="X8" s="202"/>
      <c r="Y8" s="202"/>
      <c r="AF8" s="587"/>
      <c r="AG8" s="587"/>
    </row>
    <row r="9" spans="1:33" x14ac:dyDescent="0.25">
      <c r="A9" s="640" t="str">
        <f>IF(ISBLANK('Grain &amp; Sugar Calcs'!B7),"",'Grain &amp; Sugar Calcs'!B7)</f>
        <v>Caramel Malt: Caramel Malt 40L (Briess)</v>
      </c>
      <c r="B9" s="640"/>
      <c r="C9" s="640"/>
      <c r="D9" s="640"/>
      <c r="E9" s="211">
        <f>IF(ISBLANK('Grain &amp; Sugar Calcs'!C7),"",'Grain &amp; Sugar Calcs'!C7)</f>
        <v>0.5</v>
      </c>
      <c r="F9" s="210">
        <f>IF('Grain &amp; Sugar Calcs'!D7=0,"",'Grain &amp; Sugar Calcs'!D7)</f>
        <v>3.6363636363636362E-2</v>
      </c>
      <c r="G9" s="202"/>
      <c r="H9" s="639" t="s">
        <v>1810</v>
      </c>
      <c r="I9" s="639"/>
      <c r="J9" s="229">
        <f>IF(NOT(ISNUMBER(J10)),"",1+('Grain &amp; Sugar Calcs'!K16*(1-J10)/1000))</f>
        <v>1.0122839137373059</v>
      </c>
      <c r="K9" s="229">
        <f>IF(S18="Hydrometer",T33,T35)</f>
        <v>1.0147934569002313</v>
      </c>
      <c r="M9" s="561" t="s">
        <v>1846</v>
      </c>
      <c r="N9" s="218">
        <v>12.2</v>
      </c>
      <c r="O9" s="238">
        <f>IFERROR(IF('Brewhouse Setup &amp; Calcs'!$B$2="US Customary",'Water-English'!E51,'Water-Metric'!E52),"")</f>
        <v>12.2</v>
      </c>
      <c r="P9" s="202"/>
      <c r="Q9" s="627" t="str">
        <f>'Brewhouse Setup &amp; Calcs'!A43</f>
        <v>Strike Water Volume</v>
      </c>
      <c r="R9" s="628"/>
      <c r="S9" s="211">
        <f>'Brewhouse Setup &amp; Calcs'!B43</f>
        <v>20.625</v>
      </c>
      <c r="T9" s="257">
        <v>21</v>
      </c>
      <c r="U9" s="208" t="str">
        <f>'Brewhouse Setup &amp; Calcs'!$B$5</f>
        <v>qt</v>
      </c>
      <c r="V9" s="202"/>
      <c r="W9" s="202"/>
      <c r="X9" s="202"/>
      <c r="Y9" s="202"/>
      <c r="AE9" s="272"/>
    </row>
    <row r="10" spans="1:33" s="27" customFormat="1" x14ac:dyDescent="0.25">
      <c r="A10" s="640" t="str">
        <f>IF(ISBLANK('Grain &amp; Sugar Calcs'!B8),"",'Grain &amp; Sugar Calcs'!B8)</f>
        <v/>
      </c>
      <c r="B10" s="640"/>
      <c r="C10" s="640"/>
      <c r="D10" s="640"/>
      <c r="E10" s="211" t="str">
        <f>IF(ISBLANK('Grain &amp; Sugar Calcs'!C8),"",'Grain &amp; Sugar Calcs'!C8)</f>
        <v/>
      </c>
      <c r="F10" s="210" t="str">
        <f>IF('Grain &amp; Sugar Calcs'!D8=0,"",'Grain &amp; Sugar Calcs'!D8)</f>
        <v/>
      </c>
      <c r="G10" s="202"/>
      <c r="H10" s="676" t="s">
        <v>1228</v>
      </c>
      <c r="I10" s="676"/>
      <c r="J10" s="237">
        <f>IF(ISBLANK(M27),"",VLOOKUP(M27,yeast_table[#All],6,FALSE))</f>
        <v>0.81</v>
      </c>
      <c r="K10" s="237">
        <f>IF(NOT(ISNUMBER(K9)),"",(K8-K9)/(K8-1))</f>
        <v>0.77266834582232125</v>
      </c>
      <c r="L10"/>
      <c r="M10" s="561" t="s">
        <v>1847</v>
      </c>
      <c r="N10" s="218">
        <v>9.1</v>
      </c>
      <c r="O10" s="238">
        <f>IFERROR(IF('Brewhouse Setup &amp; Calcs'!$B$2="US Customary",'Water-English'!F51,'Water-Metric'!F52),"")</f>
        <v>9.1</v>
      </c>
      <c r="P10" s="212"/>
      <c r="Q10" s="627" t="str">
        <f>'Brewhouse Setup &amp; Calcs'!A44</f>
        <v>Strike Water Temp</v>
      </c>
      <c r="R10" s="628"/>
      <c r="S10" s="207">
        <f>IF(ISBLANK(T7),'Brewhouse Setup &amp; Calcs'!B44,(IF('Brewhouse Setup &amp; Calcs'!B2="US Customary",0.2,0.41)/'Brewhouse Setup &amp; Calcs'!B15)*('Brewhouse Setup &amp; Calcs'!B14-T7)+'Brewhouse Setup &amp; Calcs'!B14)</f>
        <v>160.73333333333332</v>
      </c>
      <c r="T10" s="258">
        <v>161</v>
      </c>
      <c r="U10" s="208" t="str">
        <f>'Brewhouse Setup &amp; Calcs'!$B$4</f>
        <v>°F</v>
      </c>
      <c r="V10" s="202"/>
      <c r="W10" s="202"/>
      <c r="X10" s="202"/>
      <c r="Y10" s="202"/>
      <c r="AE10" s="272"/>
    </row>
    <row r="11" spans="1:33" x14ac:dyDescent="0.25">
      <c r="A11" s="640" t="str">
        <f>IF(ISBLANK('Grain &amp; Sugar Calcs'!B9),"",'Grain &amp; Sugar Calcs'!B9)</f>
        <v/>
      </c>
      <c r="B11" s="640"/>
      <c r="C11" s="640"/>
      <c r="D11" s="640"/>
      <c r="E11" s="211" t="str">
        <f>IF(ISBLANK('Grain &amp; Sugar Calcs'!C9),"",'Grain &amp; Sugar Calcs'!C9)</f>
        <v/>
      </c>
      <c r="F11" s="210" t="str">
        <f>IF('Grain &amp; Sugar Calcs'!D9=0,"",'Grain &amp; Sugar Calcs'!D9)</f>
        <v/>
      </c>
      <c r="G11" s="202"/>
      <c r="H11" s="639" t="s">
        <v>1190</v>
      </c>
      <c r="I11" s="639"/>
      <c r="J11" s="238">
        <f>'Hop Calcs'!K16</f>
        <v>58.513998781528841</v>
      </c>
      <c r="K11" s="238">
        <f>IF(ISBLANK(T26),"",'Hop Calcs'!K16*S26/T26)</f>
        <v>58.163382900829923</v>
      </c>
      <c r="M11" s="561" t="s">
        <v>2020</v>
      </c>
      <c r="N11" s="218">
        <v>16</v>
      </c>
      <c r="O11" s="238">
        <f>IFERROR(IF('Brewhouse Setup &amp; Calcs'!$B$2="US Customary",'Water-English'!G51,'Water-Metric'!G52),"")</f>
        <v>16</v>
      </c>
      <c r="P11" s="202"/>
      <c r="Q11" s="674" t="s">
        <v>1952</v>
      </c>
      <c r="R11" s="675"/>
      <c r="S11" s="207">
        <f>IFERROR(IF('Brewhouse Setup &amp; Calcs'!$B$2="Metric",'Water-Metric'!$F$32,'Water-English'!$F$31),"")</f>
        <v>5.7480707387318564</v>
      </c>
      <c r="T11" s="258">
        <v>5.6</v>
      </c>
      <c r="U11" s="213"/>
      <c r="V11" s="202"/>
      <c r="W11" s="202"/>
      <c r="X11" s="202"/>
      <c r="Y11" s="202"/>
      <c r="AE11" s="272"/>
    </row>
    <row r="12" spans="1:33" x14ac:dyDescent="0.25">
      <c r="A12" s="640" t="str">
        <f>IF(ISBLANK('Grain &amp; Sugar Calcs'!B10),"",'Grain &amp; Sugar Calcs'!B10)</f>
        <v/>
      </c>
      <c r="B12" s="640"/>
      <c r="C12" s="640"/>
      <c r="D12" s="640"/>
      <c r="E12" s="211" t="str">
        <f>IF(ISBLANK('Grain &amp; Sugar Calcs'!C10),"",'Grain &amp; Sugar Calcs'!C10)</f>
        <v/>
      </c>
      <c r="F12" s="210" t="str">
        <f>IF('Grain &amp; Sugar Calcs'!D10=0,"",'Grain &amp; Sugar Calcs'!D10)</f>
        <v/>
      </c>
      <c r="G12" s="202"/>
      <c r="H12" s="639" t="s">
        <v>134</v>
      </c>
      <c r="I12" s="639"/>
      <c r="J12" s="236">
        <f>IF(NOT(ISNUMBER(J9)),"",(J8-J9)*(46.0688/44.0098)/J9/0.794)</f>
        <v>6.820290025243797E-2</v>
      </c>
      <c r="K12" s="236">
        <f>IF(NOT(ISNUMBER(K9)),"",(K8-K9)*(46.0688/44.0098)/K9/0.794)</f>
        <v>6.5322413667815646E-2</v>
      </c>
      <c r="M12" s="561" t="s">
        <v>1849</v>
      </c>
      <c r="N12" s="218">
        <v>24.5</v>
      </c>
      <c r="O12" s="238">
        <f>IFERROR(IF('Brewhouse Setup &amp; Calcs'!$B$2="US Customary",'Water-English'!H51,'Water-Metric'!H52),"")</f>
        <v>24.5</v>
      </c>
      <c r="P12" s="202"/>
      <c r="Q12" s="627" t="s">
        <v>1821</v>
      </c>
      <c r="R12" s="628"/>
      <c r="S12" s="211">
        <f>'Brewhouse Setup &amp; Calcs'!B48</f>
        <v>15.281708000000002</v>
      </c>
      <c r="T12" s="257">
        <v>15.25</v>
      </c>
      <c r="U12" s="208" t="str">
        <f>'Brewhouse Setup &amp; Calcs'!$B$5</f>
        <v>qt</v>
      </c>
      <c r="V12" s="202"/>
      <c r="W12" s="202"/>
      <c r="X12" s="202"/>
      <c r="Y12" s="202"/>
      <c r="AE12" s="272"/>
    </row>
    <row r="13" spans="1:33" ht="13.2" customHeight="1" x14ac:dyDescent="0.25">
      <c r="A13" s="640" t="str">
        <f>IF(ISBLANK('Grain &amp; Sugar Calcs'!B11),"",'Grain &amp; Sugar Calcs'!B11)</f>
        <v/>
      </c>
      <c r="B13" s="640"/>
      <c r="C13" s="640"/>
      <c r="D13" s="640"/>
      <c r="E13" s="211" t="str">
        <f>IF(ISBLANK('Grain &amp; Sugar Calcs'!C11),"",'Grain &amp; Sugar Calcs'!C11)</f>
        <v/>
      </c>
      <c r="F13" s="210" t="str">
        <f>IF('Grain &amp; Sugar Calcs'!D11=0,"",'Grain &amp; Sugar Calcs'!D11)</f>
        <v/>
      </c>
      <c r="G13" s="202"/>
      <c r="H13" s="639" t="s">
        <v>1357</v>
      </c>
      <c r="I13" s="639"/>
      <c r="J13" s="239">
        <f>'Grain &amp; Sugar Calcs'!L18</f>
        <v>8.6143506976627826</v>
      </c>
      <c r="K13" s="240">
        <f>IF(ISBLANK(T26),"",'Grain &amp; Sugar Calcs'!L18*(S26/T26))</f>
        <v>8.5627335082823866</v>
      </c>
      <c r="M13" s="589" t="s">
        <v>2025</v>
      </c>
      <c r="N13" s="218">
        <v>101.6</v>
      </c>
      <c r="O13" s="595"/>
      <c r="P13" s="202"/>
      <c r="Q13" s="633" t="str">
        <f>CONCATENATE('Brewhouse Setup &amp; Calcs'!B27,IF('Brewhouse Setup &amp; Calcs'!B27="BIAB","",CONCATENATE(CHAR(10),"Sparge")))</f>
        <v>Batch
Sparge</v>
      </c>
      <c r="R13" s="244" t="str">
        <f>IF('Brewhouse Setup &amp; Calcs'!$B$27="Batch","Add","-")</f>
        <v>Add</v>
      </c>
      <c r="S13" s="211">
        <f>IF('Brewhouse Setup &amp; Calcs'!$B$27="Batch",'Brewhouse Setup &amp; Calcs'!$B$55,"-")</f>
        <v>1.1096040000000009</v>
      </c>
      <c r="T13" s="257">
        <v>1.1000000000000001</v>
      </c>
      <c r="U13" s="208" t="str">
        <f>IF('Brewhouse Setup &amp; Calcs'!$B$27="Batch",'Brewhouse Setup &amp; Calcs'!$B$5,"-")</f>
        <v>qt</v>
      </c>
      <c r="V13" s="202"/>
      <c r="W13" s="202"/>
      <c r="X13" s="202"/>
      <c r="Y13" s="202"/>
      <c r="AE13" s="272"/>
    </row>
    <row r="14" spans="1:33" x14ac:dyDescent="0.25">
      <c r="A14" s="640" t="str">
        <f>IF(ISBLANK('Grain &amp; Sugar Calcs'!B12),"",'Grain &amp; Sugar Calcs'!B12)</f>
        <v/>
      </c>
      <c r="B14" s="640"/>
      <c r="C14" s="640"/>
      <c r="D14" s="640"/>
      <c r="E14" s="211" t="str">
        <f>IF(ISBLANK('Grain &amp; Sugar Calcs'!C12),"",'Grain &amp; Sugar Calcs'!C12)</f>
        <v/>
      </c>
      <c r="F14" s="210" t="str">
        <f>IF('Grain &amp; Sugar Calcs'!D12=0,"",'Grain &amp; Sugar Calcs'!D12)</f>
        <v/>
      </c>
      <c r="G14" s="202"/>
      <c r="H14" s="639" t="s">
        <v>1813</v>
      </c>
      <c r="I14" s="639"/>
      <c r="J14" s="240">
        <f>J15+'Brewhouse Setup &amp; Calcs'!B33</f>
        <v>22</v>
      </c>
      <c r="K14" s="240">
        <f>IF(ISBLANK(T31),"",T31)</f>
        <v>22</v>
      </c>
      <c r="M14" s="599" t="s">
        <v>2029</v>
      </c>
      <c r="N14" s="594">
        <f>N11/N12</f>
        <v>0.65306122448979587</v>
      </c>
      <c r="O14" s="594">
        <f>IFERROR(IF('Brewhouse Setup &amp; Calcs'!$B$2="US Customary",'Water-English'!I51,'Water-Metric'!I52),"")</f>
        <v>0.65306122448979587</v>
      </c>
      <c r="P14" s="202"/>
      <c r="Q14" s="634"/>
      <c r="R14" s="244" t="str">
        <f>IF('Brewhouse Setup &amp; Calcs'!$B$27="Batch","Drain","-")</f>
        <v>Drain</v>
      </c>
      <c r="S14" s="211">
        <f>IF('Brewhouse Setup &amp; Calcs'!$B$27="Batch",'Brewhouse Setup &amp; Calcs'!$B$56,"-")</f>
        <v>14.172104000000001</v>
      </c>
      <c r="T14" s="257">
        <v>14.2</v>
      </c>
      <c r="U14" s="208" t="str">
        <f>IF('Brewhouse Setup &amp; Calcs'!$B$27="Batch",'Brewhouse Setup &amp; Calcs'!$B$5,"-")</f>
        <v>qt</v>
      </c>
      <c r="V14" s="202"/>
      <c r="W14" s="202"/>
      <c r="X14" s="202"/>
      <c r="Y14" s="202"/>
    </row>
    <row r="15" spans="1:33" x14ac:dyDescent="0.25">
      <c r="A15" s="640" t="str">
        <f>IF(ISBLANK('Grain &amp; Sugar Calcs'!B13),"",'Grain &amp; Sugar Calcs'!B13)</f>
        <v/>
      </c>
      <c r="B15" s="640"/>
      <c r="C15" s="640"/>
      <c r="D15" s="640"/>
      <c r="E15" s="211" t="str">
        <f>IF(ISBLANK('Grain &amp; Sugar Calcs'!C13),"",'Grain &amp; Sugar Calcs'!C13)</f>
        <v/>
      </c>
      <c r="F15" s="210" t="str">
        <f>IF('Grain &amp; Sugar Calcs'!D13=0,"",'Grain &amp; Sugar Calcs'!D13)</f>
        <v/>
      </c>
      <c r="G15" s="202"/>
      <c r="H15" s="649" t="s">
        <v>1811</v>
      </c>
      <c r="I15" s="649"/>
      <c r="J15" s="240">
        <f>'Brewhouse Setup &amp; Calcs'!$B$12</f>
        <v>20</v>
      </c>
      <c r="K15" s="240">
        <f>IF(ISBLANK(T36),"",T36)</f>
        <v>20</v>
      </c>
      <c r="M15" s="202"/>
      <c r="N15" s="588"/>
      <c r="O15" s="588"/>
      <c r="P15" s="202"/>
      <c r="Q15" s="634"/>
      <c r="R15" s="244" t="str">
        <f>IF('Brewhouse Setup &amp; Calcs'!$B$27="Batch","Add/Drain",IF('Brewhouse Setup &amp; Calcs'!$B$27="Fly","Time Req'd","-"))</f>
        <v>Add/Drain</v>
      </c>
      <c r="S15" s="211">
        <f>IF('Brewhouse Setup &amp; Calcs'!$B$27="Batch",'Brewhouse Setup &amp; Calcs'!$B$57,IF('Brewhouse Setup &amp; Calcs'!$B$27="Fly",$S$12/$S$16,"-"))</f>
        <v>14.172104000000001</v>
      </c>
      <c r="T15" s="257">
        <v>14.2</v>
      </c>
      <c r="U15" s="208" t="str">
        <f>IF('Brewhouse Setup &amp; Calcs'!$B$27="Batch",'Brewhouse Setup &amp; Calcs'!$B$5,IF('Brewhouse Setup &amp; Calcs'!$B$27="Fly","min","-"))</f>
        <v>qt</v>
      </c>
      <c r="V15" s="202"/>
      <c r="W15" s="202"/>
      <c r="X15" s="202"/>
      <c r="Y15" s="202"/>
    </row>
    <row r="16" spans="1:33" x14ac:dyDescent="0.25">
      <c r="A16" s="202"/>
      <c r="B16" s="202"/>
      <c r="C16" s="202"/>
      <c r="D16" s="202"/>
      <c r="E16" s="202"/>
      <c r="F16" s="202"/>
      <c r="G16" s="202"/>
      <c r="H16" s="202"/>
      <c r="I16" s="202"/>
      <c r="J16" s="202"/>
      <c r="K16" s="202"/>
      <c r="M16" s="656" t="s">
        <v>2019</v>
      </c>
      <c r="N16" s="656"/>
      <c r="O16" s="656"/>
      <c r="P16" s="202"/>
      <c r="Q16" s="635"/>
      <c r="R16" s="244" t="str">
        <f>IF('Brewhouse Setup &amp; Calcs'!$B$27="Batch","Add/Drain",IF('Brewhouse Setup &amp; Calcs'!$B$27="Fly","Flow Rate","-"))</f>
        <v>Add/Drain</v>
      </c>
      <c r="S16" s="211">
        <f>IF('Brewhouse Setup &amp; Calcs'!$B$27="Batch",'Brewhouse Setup &amp; Calcs'!$B$58,IF('Brewhouse Setup &amp; Calcs'!$B$27="Fly",'Brewhouse Setup &amp; Calcs'!$B$28,"-"))</f>
        <v>0</v>
      </c>
      <c r="T16" s="626">
        <f>IF(OR(ISBLANK($T$12),ISBLANK($T$15)),"",IF('Brewhouse Setup &amp; Calcs'!$B$27="Batch",'Brewhouse Setup &amp; Calcs'!B58,IF('Brewhouse Setup &amp; Calcs'!$B$27="Fly",$T$12/$T$15,"")))</f>
        <v>0</v>
      </c>
      <c r="U16" s="208" t="str">
        <f>IF('Brewhouse Setup &amp; Calcs'!$B$27="Batch",'Brewhouse Setup &amp; Calcs'!$B$5,IF('Brewhouse Setup &amp; Calcs'!$B$27="Fly",CONCATENATE('Brewhouse Setup &amp; Calcs'!$B$5,"/min"),"-"))</f>
        <v>qt</v>
      </c>
      <c r="V16" s="202"/>
      <c r="W16" s="202"/>
      <c r="X16" s="202"/>
      <c r="Y16" s="202"/>
    </row>
    <row r="17" spans="1:33" x14ac:dyDescent="0.25">
      <c r="A17" s="652" t="s">
        <v>130</v>
      </c>
      <c r="B17" s="653"/>
      <c r="C17" s="653"/>
      <c r="D17" s="653"/>
      <c r="E17" s="653"/>
      <c r="F17" s="653"/>
      <c r="G17" s="653"/>
      <c r="H17" s="653"/>
      <c r="I17" s="653"/>
      <c r="J17" s="653"/>
      <c r="K17" s="654"/>
      <c r="M17" s="597"/>
      <c r="N17" s="593" t="s">
        <v>1963</v>
      </c>
      <c r="O17" s="593" t="s">
        <v>1964</v>
      </c>
      <c r="P17" s="202"/>
      <c r="Q17" s="627" t="s">
        <v>106</v>
      </c>
      <c r="R17" s="628"/>
      <c r="S17" s="254">
        <f>'Brewhouse Setup &amp; Calcs'!B60</f>
        <v>28.344208000000002</v>
      </c>
      <c r="T17" s="257">
        <v>28.4</v>
      </c>
      <c r="U17" s="208" t="str">
        <f>'Brewhouse Setup &amp; Calcs'!B5</f>
        <v>qt</v>
      </c>
      <c r="V17" s="204"/>
      <c r="W17" s="206"/>
      <c r="X17" s="206"/>
      <c r="Y17" s="206"/>
    </row>
    <row r="18" spans="1:33" ht="13.2" customHeight="1" x14ac:dyDescent="0.25">
      <c r="A18" s="659" t="str">
        <f>'Hop Calcs'!E5</f>
        <v>Species</v>
      </c>
      <c r="B18" s="687"/>
      <c r="C18" s="687"/>
      <c r="D18" s="660"/>
      <c r="E18" s="678" t="str">
        <f>'Hop Calcs'!D5</f>
        <v>Type</v>
      </c>
      <c r="F18" s="678" t="str">
        <f>'Hop Calcs'!F5</f>
        <v>Alpha (%)</v>
      </c>
      <c r="G18" s="659" t="str">
        <f>'Hop Calcs'!G5</f>
        <v>Qty</v>
      </c>
      <c r="H18" s="660"/>
      <c r="I18" s="692" t="s">
        <v>1194</v>
      </c>
      <c r="J18" s="687" t="str">
        <f>'Hop Calcs'!C5</f>
        <v>Time (min)</v>
      </c>
      <c r="K18" s="660"/>
      <c r="M18" s="561" t="s">
        <v>1901</v>
      </c>
      <c r="N18" s="240">
        <f>IF('Brewhouse Setup &amp; Calcs'!$B$2="US Customary",'Water-English'!$D$36,'Water-Metric'!$D$37)</f>
        <v>0</v>
      </c>
      <c r="O18" s="240">
        <f>IFERROR(IF('Brewhouse Setup &amp; Calcs'!$B$2="US Customary",'Water-English'!$D$38,'Water-Metric'!$D$39),"")</f>
        <v>0</v>
      </c>
      <c r="P18" s="202"/>
      <c r="Q18" s="627" t="s">
        <v>1808</v>
      </c>
      <c r="R18" s="628"/>
      <c r="S18" s="669" t="s">
        <v>2040</v>
      </c>
      <c r="T18" s="669"/>
      <c r="U18" s="669"/>
    </row>
    <row r="19" spans="1:33" x14ac:dyDescent="0.25">
      <c r="A19" s="659"/>
      <c r="B19" s="687"/>
      <c r="C19" s="687"/>
      <c r="D19" s="660"/>
      <c r="E19" s="679"/>
      <c r="F19" s="679"/>
      <c r="G19" s="664" t="str">
        <f>'Brewhouse Setup &amp; Calcs'!B7</f>
        <v>oz</v>
      </c>
      <c r="H19" s="665"/>
      <c r="I19" s="693"/>
      <c r="J19" s="689"/>
      <c r="K19" s="690"/>
      <c r="M19" s="561" t="s">
        <v>1965</v>
      </c>
      <c r="N19" s="240">
        <f>IF('Brewhouse Setup &amp; Calcs'!$B$2="US Customary",'Water-English'!$E$36,'Water-Metric'!$E$37)</f>
        <v>0</v>
      </c>
      <c r="O19" s="240">
        <f>IFERROR(IF('Brewhouse Setup &amp; Calcs'!$B$2="US Customary",'Water-English'!$E$38,'Water-Metric'!$E$39),"")</f>
        <v>0</v>
      </c>
      <c r="P19" s="202"/>
      <c r="Q19" s="630" t="s">
        <v>1802</v>
      </c>
      <c r="R19" s="241" t="s">
        <v>1799</v>
      </c>
      <c r="S19" s="670">
        <f>'Grain &amp; Sugar Calcs'!J20</f>
        <v>1.0566824637654366</v>
      </c>
      <c r="T19" s="231">
        <v>1.0569999999999999</v>
      </c>
      <c r="U19" s="230" t="s">
        <v>19</v>
      </c>
    </row>
    <row r="20" spans="1:33" x14ac:dyDescent="0.25">
      <c r="A20" s="640" t="str">
        <f>IF('Hop Calcs'!E7=0,"",'Hop Calcs'!E7)</f>
        <v>Centennial</v>
      </c>
      <c r="B20" s="640"/>
      <c r="C20" s="640"/>
      <c r="D20" s="640"/>
      <c r="E20" s="245" t="str">
        <f>IF('Hop Calcs'!D7=0,"",'Hop Calcs'!D7)</f>
        <v>Pellet</v>
      </c>
      <c r="F20" s="207">
        <f>IF('Hop Calcs'!F7=0,"",'Hop Calcs'!F7)</f>
        <v>10.8</v>
      </c>
      <c r="G20" s="641">
        <f>IF('Hop Calcs'!G7=0,"",'Hop Calcs'!G7)</f>
        <v>1.1559999999999999</v>
      </c>
      <c r="H20" s="642"/>
      <c r="I20" s="207">
        <f>'Hop Calcs'!H7</f>
        <v>12.4848</v>
      </c>
      <c r="J20" s="657">
        <f>IF(ISBLANK('Hop Calcs'!C7),"",IF('Hop Calcs'!C7="Hop Stand",CONCATENATE('Hop Calcs'!C7," (",'Hop Calcs'!B7,")"),'Hop Calcs'!C7))</f>
        <v>45</v>
      </c>
      <c r="K20" s="658"/>
      <c r="M20" s="561" t="s">
        <v>1966</v>
      </c>
      <c r="N20" s="240">
        <f>IF('Brewhouse Setup &amp; Calcs'!$B$2="US Customary",'Water-English'!$F$36,'Water-Metric'!$F$37)</f>
        <v>0</v>
      </c>
      <c r="O20" s="240">
        <f>IFERROR(IF('Brewhouse Setup &amp; Calcs'!$B$2="US Customary",'Water-English'!$F$38,'Water-Metric'!$F$39),"")</f>
        <v>0</v>
      </c>
      <c r="P20" s="202"/>
      <c r="Q20" s="631"/>
      <c r="R20" s="232" t="s">
        <v>1800</v>
      </c>
      <c r="S20" s="670"/>
      <c r="T20" s="216">
        <v>1.0565</v>
      </c>
      <c r="U20" s="221">
        <v>60</v>
      </c>
    </row>
    <row r="21" spans="1:33" ht="13.2" customHeight="1" x14ac:dyDescent="0.25">
      <c r="A21" s="640" t="str">
        <f>IF('Hop Calcs'!E8=0,"",'Hop Calcs'!E8)</f>
        <v>Centennial</v>
      </c>
      <c r="B21" s="640"/>
      <c r="C21" s="640"/>
      <c r="D21" s="640"/>
      <c r="E21" s="245" t="str">
        <f>IF('Hop Calcs'!D8=0,"",'Hop Calcs'!D8)</f>
        <v>Pellet</v>
      </c>
      <c r="F21" s="207">
        <f>IF('Hop Calcs'!F8=0,"",'Hop Calcs'!F8)</f>
        <v>10.8</v>
      </c>
      <c r="G21" s="641">
        <f>IF('Hop Calcs'!G8=0,"",'Hop Calcs'!G8)</f>
        <v>1.1559999999999999</v>
      </c>
      <c r="H21" s="642"/>
      <c r="I21" s="207">
        <f>'Hop Calcs'!H8</f>
        <v>12.4848</v>
      </c>
      <c r="J21" s="657">
        <f>IF(ISBLANK('Hop Calcs'!C8),"",IF('Hop Calcs'!C8="Hop Stand",CONCATENATE('Hop Calcs'!C8," (",'Hop Calcs'!B8,")"),'Hop Calcs'!C8))</f>
        <v>30</v>
      </c>
      <c r="K21" s="658"/>
      <c r="M21" s="561" t="s">
        <v>1921</v>
      </c>
      <c r="N21" s="240">
        <f>IF('Brewhouse Setup &amp; Calcs'!$B$2="US Customary",'Water-English'!$D$43,'Water-Metric'!$D$44)</f>
        <v>0</v>
      </c>
      <c r="O21" s="240">
        <f>IFERROR(IF('Brewhouse Setup &amp; Calcs'!$B$2="US Customary",'Water-English'!$D$45,'Water-Metric'!$D$46),"")</f>
        <v>0</v>
      </c>
      <c r="P21" s="202"/>
      <c r="Q21" s="631"/>
      <c r="R21" s="241" t="s">
        <v>1803</v>
      </c>
      <c r="S21" s="670"/>
      <c r="T21" s="215"/>
      <c r="U21" s="220" t="s">
        <v>141</v>
      </c>
    </row>
    <row r="22" spans="1:33" x14ac:dyDescent="0.25">
      <c r="A22" s="640" t="str">
        <f>IF('Hop Calcs'!E9=0,"",'Hop Calcs'!E9)</f>
        <v>Centennial</v>
      </c>
      <c r="B22" s="640"/>
      <c r="C22" s="640"/>
      <c r="D22" s="640"/>
      <c r="E22" s="245" t="str">
        <f>IF('Hop Calcs'!D9=0,"",'Hop Calcs'!D9)</f>
        <v>Pellet</v>
      </c>
      <c r="F22" s="207">
        <f>IF('Hop Calcs'!F9=0,"",'Hop Calcs'!F9)</f>
        <v>10.8</v>
      </c>
      <c r="G22" s="641">
        <f>IF('Hop Calcs'!G9=0,"",'Hop Calcs'!G9)</f>
        <v>3.69</v>
      </c>
      <c r="H22" s="642"/>
      <c r="I22" s="207">
        <f>'Hop Calcs'!H9</f>
        <v>39.852000000000004</v>
      </c>
      <c r="J22" s="657" t="str">
        <f>IF(ISBLANK('Hop Calcs'!C9),"",IF('Hop Calcs'!C9="Hop Stand",CONCATENATE('Hop Calcs'!C9," (",'Hop Calcs'!B9,")"),'Hop Calcs'!C9))</f>
        <v>Dry Hop</v>
      </c>
      <c r="K22" s="658"/>
      <c r="M22" s="561" t="s">
        <v>1922</v>
      </c>
      <c r="N22" s="240">
        <f>IF('Brewhouse Setup &amp; Calcs'!$B$2="US Customary",'Water-English'!$E$43,'Water-Metric'!$E$44)</f>
        <v>0</v>
      </c>
      <c r="O22" s="240">
        <f>IFERROR(IF('Brewhouse Setup &amp; Calcs'!$B$2="US Customary",'Water-English'!$E$45,'Water-Metric'!$E$46),"")</f>
        <v>0</v>
      </c>
      <c r="P22" s="202"/>
      <c r="Q22" s="632"/>
      <c r="R22" s="232" t="s">
        <v>1800</v>
      </c>
      <c r="S22" s="671"/>
      <c r="T22" s="216" t="str">
        <f>IF(T21="","",(T21/(258.6-((T21/258.2)*227.1)))+1)</f>
        <v/>
      </c>
      <c r="U22" s="213"/>
    </row>
    <row r="23" spans="1:33" ht="13.2" customHeight="1" x14ac:dyDescent="0.25">
      <c r="A23" s="640" t="str">
        <f>IF('Hop Calcs'!E10=0,"",'Hop Calcs'!E10)</f>
        <v/>
      </c>
      <c r="B23" s="640"/>
      <c r="C23" s="640"/>
      <c r="D23" s="640"/>
      <c r="E23" s="245" t="str">
        <f>IF('Hop Calcs'!D10=0,"",'Hop Calcs'!D10)</f>
        <v/>
      </c>
      <c r="F23" s="207" t="str">
        <f>IF('Hop Calcs'!F10=0,"",'Hop Calcs'!F10)</f>
        <v/>
      </c>
      <c r="G23" s="641" t="str">
        <f>IF('Hop Calcs'!G10=0,"",'Hop Calcs'!G10)</f>
        <v/>
      </c>
      <c r="H23" s="642"/>
      <c r="I23" s="207" t="str">
        <f>'Hop Calcs'!H10</f>
        <v/>
      </c>
      <c r="J23" s="657" t="str">
        <f>IF(ISBLANK('Hop Calcs'!C10),"",IF('Hop Calcs'!C10="Hop Stand",CONCATENATE('Hop Calcs'!C10," (",'Hop Calcs'!B10,")"),'Hop Calcs'!C10))</f>
        <v/>
      </c>
      <c r="K23" s="658"/>
      <c r="M23" s="561" t="s">
        <v>1923</v>
      </c>
      <c r="N23" s="240">
        <f>IF('Brewhouse Setup &amp; Calcs'!$B$2="US Customary",'Water-English'!$F$43,'Water-Metric'!$F$44)</f>
        <v>0</v>
      </c>
      <c r="O23" s="240">
        <f>IFERROR(IF('Brewhouse Setup &amp; Calcs'!$B$2="US Customary",'Water-English'!$F$45,'Water-Metric'!$F$46),"")</f>
        <v>0</v>
      </c>
      <c r="P23" s="202"/>
      <c r="Q23" s="638" t="s">
        <v>2045</v>
      </c>
      <c r="R23" s="638"/>
      <c r="S23" s="655">
        <f>'Brewhouse Setup &amp; Calcs'!B17</f>
        <v>0.78600000000000003</v>
      </c>
      <c r="T23" s="224">
        <f>IF(OR('Grain &amp; Sugar Calcs'!$J$14=0,NOT(ISNUMBER($T$20)),NOT(ISNUMBER($T$17))),"",((($T$20-1)*1000)-'Grain &amp; Sugar Calcs'!$J$15)/('Grain &amp; Sugar Calcs'!$H$14/IF('Brewhouse Setup &amp; Calcs'!$B$5="Liters",(1.056688*$T$17/4),($T$17/4))))</f>
        <v>0.78501198716141929</v>
      </c>
      <c r="U23" s="233" t="s">
        <v>1799</v>
      </c>
    </row>
    <row r="24" spans="1:33" ht="13.2" customHeight="1" x14ac:dyDescent="0.25">
      <c r="A24" s="640" t="str">
        <f>IF('Hop Calcs'!E11=0,"",'Hop Calcs'!E11)</f>
        <v/>
      </c>
      <c r="B24" s="640"/>
      <c r="C24" s="640"/>
      <c r="D24" s="640"/>
      <c r="E24" s="245" t="str">
        <f>IF('Hop Calcs'!D11=0,"",'Hop Calcs'!D11)</f>
        <v/>
      </c>
      <c r="F24" s="207" t="str">
        <f>IF('Hop Calcs'!F11=0,"",'Hop Calcs'!F11)</f>
        <v/>
      </c>
      <c r="G24" s="641" t="str">
        <f>IF('Hop Calcs'!G11=0,"",'Hop Calcs'!G11)</f>
        <v/>
      </c>
      <c r="H24" s="642"/>
      <c r="I24" s="207" t="str">
        <f>'Hop Calcs'!H11</f>
        <v/>
      </c>
      <c r="J24" s="657" t="str">
        <f>IF(ISBLANK('Hop Calcs'!C11),"",IF('Hop Calcs'!C11="Hop Stand",CONCATENATE('Hop Calcs'!C11," (",'Hop Calcs'!B11,")"),'Hop Calcs'!C11))</f>
        <v/>
      </c>
      <c r="K24" s="658"/>
      <c r="P24" s="223"/>
      <c r="Q24" s="638"/>
      <c r="R24" s="638"/>
      <c r="S24" s="655"/>
      <c r="T24" s="224" t="str">
        <f>IF(OR('Grain &amp; Sugar Calcs'!$J$14=0,NOT(ISNUMBER($T$22)),NOT(ISNUMBER($T$17))),"",((($T$22-1)*1000)-'Grain &amp; Sugar Calcs'!$J$15)/('Grain &amp; Sugar Calcs'!$H$14/IF('Brewhouse Setup &amp; Calcs'!$B$5="Liters",(1.056688*$T$17/4),($T$17/4))))</f>
        <v/>
      </c>
      <c r="U24" s="234" t="s">
        <v>1818</v>
      </c>
      <c r="AG24" s="202"/>
    </row>
    <row r="25" spans="1:33" ht="13.2" customHeight="1" x14ac:dyDescent="0.25">
      <c r="A25" s="640" t="str">
        <f>IF('Hop Calcs'!E12=0,"",'Hop Calcs'!E12)</f>
        <v/>
      </c>
      <c r="B25" s="640"/>
      <c r="C25" s="640"/>
      <c r="D25" s="640"/>
      <c r="E25" s="245" t="str">
        <f>IF('Hop Calcs'!D12=0,"",'Hop Calcs'!D12)</f>
        <v/>
      </c>
      <c r="F25" s="208" t="str">
        <f>IF('Hop Calcs'!F12=0,"",'Hop Calcs'!F12)</f>
        <v/>
      </c>
      <c r="G25" s="641" t="str">
        <f>IF('Hop Calcs'!G12=0,"",'Hop Calcs'!G12)</f>
        <v/>
      </c>
      <c r="H25" s="642"/>
      <c r="I25" s="207" t="str">
        <f>'Hop Calcs'!H12</f>
        <v/>
      </c>
      <c r="J25" s="657" t="str">
        <f>IF(ISBLANK('Hop Calcs'!C12),"",IF('Hop Calcs'!C12="Hop Stand",CONCATENATE('Hop Calcs'!C12," (",'Hop Calcs'!B12,")"),'Hop Calcs'!C12))</f>
        <v/>
      </c>
      <c r="K25" s="658"/>
      <c r="M25" s="652" t="s">
        <v>1196</v>
      </c>
      <c r="N25" s="653"/>
      <c r="O25" s="654"/>
      <c r="P25" s="202"/>
      <c r="Q25" s="636" t="s">
        <v>111</v>
      </c>
      <c r="R25" s="637"/>
      <c r="S25" s="217">
        <f>'Brewhouse Setup &amp; Calcs'!$B$18</f>
        <v>75</v>
      </c>
      <c r="T25" s="218">
        <v>75</v>
      </c>
      <c r="U25" s="243" t="str">
        <f>'Brewhouse Setup &amp; Calcs'!C18</f>
        <v>min</v>
      </c>
      <c r="AG25" s="202"/>
    </row>
    <row r="26" spans="1:33" x14ac:dyDescent="0.25">
      <c r="A26" s="640" t="str">
        <f>IF('Hop Calcs'!E13=0,"",'Hop Calcs'!E13)</f>
        <v/>
      </c>
      <c r="B26" s="640"/>
      <c r="C26" s="640"/>
      <c r="D26" s="640"/>
      <c r="E26" s="245" t="str">
        <f>IF('Hop Calcs'!D13=0,"",'Hop Calcs'!D13)</f>
        <v/>
      </c>
      <c r="F26" s="208" t="str">
        <f>IF('Hop Calcs'!F13=0,"",'Hop Calcs'!F13)</f>
        <v/>
      </c>
      <c r="G26" s="641" t="str">
        <f>IF('Hop Calcs'!G13=0,"",'Hop Calcs'!G13)</f>
        <v/>
      </c>
      <c r="H26" s="642"/>
      <c r="I26" s="207" t="str">
        <f>'Hop Calcs'!H13</f>
        <v/>
      </c>
      <c r="J26" s="657" t="str">
        <f>IF(ISBLANK('Hop Calcs'!C13),"",IF('Hop Calcs'!C13="Hop Stand",CONCATENATE('Hop Calcs'!C13," (",'Hop Calcs'!B13,")"),'Hop Calcs'!C13))</f>
        <v/>
      </c>
      <c r="K26" s="658"/>
      <c r="M26" s="696" t="str">
        <f>IF(ISBLANK(M27),"",VLOOKUP(M27,yeast_table[#All],3))</f>
        <v>Fermentis</v>
      </c>
      <c r="N26" s="697"/>
      <c r="O26" s="698"/>
      <c r="P26" s="202"/>
      <c r="Q26" s="627" t="s">
        <v>107</v>
      </c>
      <c r="R26" s="628"/>
      <c r="S26" s="254">
        <f>'Brewhouse Setup &amp; Calcs'!B63</f>
        <v>24.850200000000001</v>
      </c>
      <c r="T26" s="257">
        <v>25</v>
      </c>
      <c r="U26" s="211" t="str">
        <f>'Brewhouse Setup &amp; Calcs'!C63</f>
        <v>qt</v>
      </c>
      <c r="AG26" s="202"/>
    </row>
    <row r="27" spans="1:33" x14ac:dyDescent="0.25">
      <c r="A27" s="640" t="str">
        <f>IF('Hop Calcs'!E14=0,"",'Hop Calcs'!E14)</f>
        <v/>
      </c>
      <c r="B27" s="640"/>
      <c r="C27" s="640"/>
      <c r="D27" s="640"/>
      <c r="E27" s="245" t="str">
        <f>IF('Hop Calcs'!D14=0,"",'Hop Calcs'!D14)</f>
        <v/>
      </c>
      <c r="F27" s="208" t="str">
        <f>IF('Hop Calcs'!F14=0,"",'Hop Calcs'!F14)</f>
        <v/>
      </c>
      <c r="G27" s="641" t="str">
        <f>IF('Hop Calcs'!G14=0,"",'Hop Calcs'!G14)</f>
        <v/>
      </c>
      <c r="H27" s="642"/>
      <c r="I27" s="207" t="str">
        <f>'Hop Calcs'!H14</f>
        <v/>
      </c>
      <c r="J27" s="657" t="str">
        <f>IF(ISBLANK('Hop Calcs'!C14),"",IF('Hop Calcs'!C14="Hop Stand",CONCATENATE('Hop Calcs'!C14," (",'Hop Calcs'!B14,")"),'Hop Calcs'!C14))</f>
        <v/>
      </c>
      <c r="K27" s="658"/>
      <c r="M27" s="699" t="s">
        <v>1300</v>
      </c>
      <c r="N27" s="700"/>
      <c r="O27" s="701"/>
      <c r="P27" s="202"/>
      <c r="Q27" s="629" t="s">
        <v>1807</v>
      </c>
      <c r="R27" s="241" t="s">
        <v>1799</v>
      </c>
      <c r="S27" s="672">
        <f>'Grain &amp; Sugar Calcs'!K20</f>
        <v>1.0646521775647682</v>
      </c>
      <c r="T27" s="219">
        <v>1.0640000000000001</v>
      </c>
      <c r="U27" s="230" t="s">
        <v>19</v>
      </c>
    </row>
    <row r="28" spans="1:33" ht="13.2" customHeight="1" x14ac:dyDescent="0.25">
      <c r="A28" s="640" t="str">
        <f>IF('Hop Calcs'!E15=0,"",'Hop Calcs'!E15)</f>
        <v/>
      </c>
      <c r="B28" s="640"/>
      <c r="C28" s="640"/>
      <c r="D28" s="640"/>
      <c r="E28" s="245" t="str">
        <f>IF('Hop Calcs'!D15=0,"",'Hop Calcs'!D15)</f>
        <v/>
      </c>
      <c r="F28" s="208" t="str">
        <f>IF('Hop Calcs'!F15=0,"",'Hop Calcs'!F15)</f>
        <v/>
      </c>
      <c r="G28" s="641" t="str">
        <f>IF('Hop Calcs'!G15=0,"",'Hop Calcs'!G15)</f>
        <v/>
      </c>
      <c r="H28" s="642"/>
      <c r="I28" s="207" t="str">
        <f>'Hop Calcs'!H15</f>
        <v/>
      </c>
      <c r="J28" s="657" t="str">
        <f>IF(ISBLANK('Hop Calcs'!C15),"",IF('Hop Calcs'!C15="Hop Stand",CONCATENATE('Hop Calcs'!C15," (",'Hop Calcs'!B15,")"),'Hop Calcs'!C15))</f>
        <v/>
      </c>
      <c r="K28" s="658"/>
      <c r="M28" s="596" t="s">
        <v>1804</v>
      </c>
      <c r="N28" s="598" t="str">
        <f>CONCATENATE(IF(ISBLANK(M27),"",(IF('Brewhouse Setup &amp; Calcs'!$B$4="°C",ROUND(5/9*(VLOOKUP(M27,yeast_table[#All],7,FALSE)-32),1),VLOOKUP(M27,yeast_table[#All],7,FALSE)))),"-",IF(ISBLANK(M27),"",(IF('Brewhouse Setup &amp; Calcs'!$B$4="°C",ROUND(5/9*(VLOOKUP(M27,yeast_table[#All],8,FALSE)-32),1),VLOOKUP(M27,yeast_table[#All],8,FALSE)))))</f>
        <v>64-82</v>
      </c>
      <c r="O28" s="225" t="str">
        <f>'Brewhouse Setup &amp; Calcs'!$B$4</f>
        <v>°F</v>
      </c>
      <c r="P28" s="202"/>
      <c r="Q28" s="629"/>
      <c r="R28" s="232" t="s">
        <v>1800</v>
      </c>
      <c r="S28" s="673"/>
      <c r="T28" s="216">
        <f>IF(OR(ISBLANK(T27),ISBLANK(U28)),"",'Brewhouse Setup &amp; Calcs'!$B$35+IF('Brewhouse Setup &amp; Calcs'!$B$2="US Customary", (T27*((1.00130346-0.000134722124*U28+0.00000204052596*U28^2-0.00000000232820948*U28^3)/(1.00130346-0.000134722124*'Brewhouse Setup &amp; Calcs'!$B$34+0.00000204052596*'Brewhouse Setup &amp; Calcs'!$B$34^2-0.00000000232820948*'Brewhouse Setup &amp; Calcs'!$B$34^3))), (T27*((1.00130346-0.000134722124*((U28* 9/5)+32)+0.00000204052596*((U28* 9/5)+32)^2-0.00000000232820948*((U28* 9/5)+32)^3)/(1.00130346-0.000134722124*(('Brewhouse Setup &amp; Calcs'!$B$34* 9/5)+32)+0.00000204052596*(('Brewhouse Setup &amp; Calcs'!$B$34* 9/5)+32)^2-0.00000000232820948*(('Brewhouse Setup &amp; Calcs'!$B$34* 9/5)+32)^3)))))</f>
        <v>1.0650743379919672</v>
      </c>
      <c r="U28" s="221">
        <v>70</v>
      </c>
    </row>
    <row r="29" spans="1:33" ht="13.2" customHeight="1" x14ac:dyDescent="0.25">
      <c r="A29" s="202"/>
      <c r="B29" s="202"/>
      <c r="C29" s="202"/>
      <c r="D29" s="202"/>
      <c r="E29" s="202"/>
      <c r="F29" s="202"/>
      <c r="G29" s="202"/>
      <c r="H29" s="202"/>
      <c r="I29" s="202"/>
      <c r="J29" s="202"/>
      <c r="K29" s="202"/>
      <c r="L29" s="202"/>
      <c r="P29" s="202"/>
      <c r="Q29" s="629"/>
      <c r="R29" s="241" t="s">
        <v>1803</v>
      </c>
      <c r="S29" s="673"/>
      <c r="T29" s="215"/>
      <c r="U29" s="220" t="s">
        <v>141</v>
      </c>
      <c r="AD29" s="272"/>
    </row>
    <row r="30" spans="1:33" ht="13.2" customHeight="1" x14ac:dyDescent="0.25">
      <c r="A30" s="666" t="s">
        <v>133</v>
      </c>
      <c r="B30" s="666"/>
      <c r="C30" s="666"/>
      <c r="D30" s="666"/>
      <c r="E30" s="667" t="s">
        <v>2028</v>
      </c>
      <c r="F30" s="668"/>
      <c r="G30" s="666" t="s">
        <v>1805</v>
      </c>
      <c r="H30" s="666"/>
      <c r="I30" s="666"/>
      <c r="M30" s="703" t="s">
        <v>1643</v>
      </c>
      <c r="N30" s="704"/>
      <c r="O30" s="705"/>
      <c r="P30" s="202"/>
      <c r="Q30" s="629"/>
      <c r="R30" s="232" t="s">
        <v>1800</v>
      </c>
      <c r="S30" s="673"/>
      <c r="T30" s="216" t="str">
        <f>IF(T29="","",(T29/(258.6-((T29/258.2)*227.1)))+1)</f>
        <v/>
      </c>
      <c r="U30" s="213"/>
      <c r="AD30" s="562"/>
    </row>
    <row r="31" spans="1:33" ht="13.2" customHeight="1" x14ac:dyDescent="0.25">
      <c r="A31" s="661"/>
      <c r="B31" s="661"/>
      <c r="C31" s="661"/>
      <c r="D31" s="661"/>
      <c r="E31" s="662"/>
      <c r="F31" s="663"/>
      <c r="G31" s="661"/>
      <c r="H31" s="661"/>
      <c r="I31" s="661"/>
      <c r="M31" s="220" t="s">
        <v>2026</v>
      </c>
      <c r="N31" s="601">
        <v>2.5</v>
      </c>
      <c r="O31" s="213"/>
      <c r="P31" s="202"/>
      <c r="Q31" s="627" t="s">
        <v>1814</v>
      </c>
      <c r="R31" s="628"/>
      <c r="S31" s="226">
        <f>J15+'Brewhouse Setup &amp; Calcs'!B33</f>
        <v>22</v>
      </c>
      <c r="T31" s="222">
        <v>22</v>
      </c>
      <c r="U31" s="208" t="str">
        <f>'Brewhouse Setup &amp; Calcs'!$B$5</f>
        <v>qt</v>
      </c>
      <c r="AD31" s="565"/>
    </row>
    <row r="32" spans="1:33" x14ac:dyDescent="0.25">
      <c r="A32" s="661"/>
      <c r="B32" s="661"/>
      <c r="C32" s="661"/>
      <c r="D32" s="661"/>
      <c r="E32" s="662"/>
      <c r="F32" s="663"/>
      <c r="G32" s="661"/>
      <c r="H32" s="661"/>
      <c r="I32" s="661"/>
      <c r="M32" s="220" t="s">
        <v>1182</v>
      </c>
      <c r="N32" s="601">
        <v>38</v>
      </c>
      <c r="O32" s="208" t="str">
        <f>'Brewhouse Setup &amp; Calcs'!$B$4</f>
        <v>°F</v>
      </c>
      <c r="P32" s="202"/>
      <c r="Q32" s="630" t="s">
        <v>2031</v>
      </c>
      <c r="R32" s="241" t="s">
        <v>1799</v>
      </c>
      <c r="S32" s="672">
        <f>IF(NOT(ISNUMBER(J10)),"",1+('Grain &amp; Sugar Calcs'!K16*(1-J10)/1000))</f>
        <v>1.0122839137373059</v>
      </c>
      <c r="T32" s="231">
        <v>1.014</v>
      </c>
      <c r="U32" s="230" t="s">
        <v>19</v>
      </c>
    </row>
    <row r="33" spans="1:25" ht="13.2" customHeight="1" x14ac:dyDescent="0.25">
      <c r="A33" s="661"/>
      <c r="B33" s="661"/>
      <c r="C33" s="661"/>
      <c r="D33" s="661"/>
      <c r="E33" s="662"/>
      <c r="F33" s="663"/>
      <c r="G33" s="661"/>
      <c r="H33" s="661"/>
      <c r="I33" s="661"/>
      <c r="M33" s="220" t="s">
        <v>2027</v>
      </c>
      <c r="N33" s="240">
        <f>IF(OR(ISBLANK(N31),ISBLANK(N32)),"",IF('Brewhouse Setup &amp; Calcs'!$B$2="US Customary",(-16.6999 - 0.0101059*N32 + 0.00116512*N32^2 + 0.173354*N32*N31 + 4.24267*N31 - 0.0684226*N31^2),(-16.6999 - 0.0101059*(9/5*N32+32) + 0.00116512*(9/5*N32+32)^2 + 0.173354*(9/5*N32+32)*N31 + 4.24267*N31 - 0.0684226*N31^2)*6.894757))</f>
        <v>11.246172830000003</v>
      </c>
      <c r="O33" s="208" t="str">
        <f>'Brewhouse Setup &amp; Calcs'!B8</f>
        <v>PSI</v>
      </c>
      <c r="P33" s="202"/>
      <c r="Q33" s="631"/>
      <c r="R33" s="232" t="s">
        <v>1800</v>
      </c>
      <c r="S33" s="673"/>
      <c r="T33" s="216">
        <f>IF(OR(ISBLANK(T32),ISBLANK(U33)),"",'Brewhouse Setup &amp; Calcs'!$B$35+IF('Brewhouse Setup &amp; Calcs'!$B$2="US Customary", (T32*((1.00130346-0.000134722124*U33+0.00000204052596*U33^2-0.00000000232820948*U33^3)/(1.00130346-0.000134722124*'Brewhouse Setup &amp; Calcs'!$B$34+0.00000204052596*'Brewhouse Setup &amp; Calcs'!$B$34^2-0.00000000232820948*'Brewhouse Setup &amp; Calcs'!$B$34^3))), (T32*((1.00130346-0.000134722124*((U33* 9/5)+32)+0.00000204052596*((U33* 9/5)+32)^2-0.00000000232820948*((U33* 9/5)+32)^3)/(1.00130346-0.000134722124*(('Brewhouse Setup &amp; Calcs'!$B$34* 9/5)+32)+0.00000204052596*(('Brewhouse Setup &amp; Calcs'!$B$34* 9/5)+32)^2-0.00000000232820948*(('Brewhouse Setup &amp; Calcs'!$B$34* 9/5)+32)^3)))))</f>
        <v>1.0147934569002313</v>
      </c>
      <c r="U33" s="221">
        <v>68</v>
      </c>
    </row>
    <row r="34" spans="1:25" ht="13.2" customHeight="1" x14ac:dyDescent="0.25">
      <c r="A34" s="661"/>
      <c r="B34" s="661"/>
      <c r="C34" s="661"/>
      <c r="D34" s="661"/>
      <c r="E34" s="662"/>
      <c r="F34" s="663"/>
      <c r="G34" s="661"/>
      <c r="H34" s="661"/>
      <c r="I34" s="661"/>
      <c r="P34" s="202"/>
      <c r="Q34" s="631"/>
      <c r="R34" s="241" t="s">
        <v>1803</v>
      </c>
      <c r="S34" s="673"/>
      <c r="T34" s="215"/>
      <c r="U34" s="220" t="s">
        <v>141</v>
      </c>
    </row>
    <row r="35" spans="1:25" x14ac:dyDescent="0.25">
      <c r="A35" s="661"/>
      <c r="B35" s="661"/>
      <c r="C35" s="661"/>
      <c r="D35" s="661"/>
      <c r="E35" s="662"/>
      <c r="F35" s="663"/>
      <c r="G35" s="661"/>
      <c r="H35" s="661"/>
      <c r="I35" s="661"/>
      <c r="P35" s="202"/>
      <c r="Q35" s="632"/>
      <c r="R35" s="232" t="s">
        <v>1800</v>
      </c>
      <c r="S35" s="673"/>
      <c r="T35" s="216" t="str">
        <f>IF(T34=0, "", 1 - 0.000856829*(T29/'Brewhouse Setup &amp; Calcs'!B36) + 0.00349412*(T34/'Brewhouse Setup &amp; Calcs'!B36))</f>
        <v/>
      </c>
      <c r="U35" s="213"/>
    </row>
    <row r="36" spans="1:25" ht="13.2" customHeight="1" x14ac:dyDescent="0.25">
      <c r="A36" s="202"/>
      <c r="B36" s="202"/>
      <c r="C36" s="202"/>
      <c r="D36" s="202"/>
      <c r="E36" s="202"/>
      <c r="F36" s="202"/>
      <c r="G36" s="202"/>
      <c r="H36" s="202"/>
      <c r="I36" s="202"/>
      <c r="J36" s="202"/>
      <c r="K36" s="202"/>
      <c r="L36" s="202"/>
      <c r="M36" s="202"/>
      <c r="N36" s="202"/>
      <c r="O36" s="202"/>
      <c r="P36" s="202"/>
      <c r="Q36" s="627" t="str">
        <f>'Brewhouse Setup &amp; Calcs'!A12</f>
        <v>Target Batch Size</v>
      </c>
      <c r="R36" s="628"/>
      <c r="S36" s="226">
        <f>'Brewhouse Setup &amp; Calcs'!$B$12</f>
        <v>20</v>
      </c>
      <c r="T36" s="222">
        <v>20</v>
      </c>
      <c r="U36" s="208" t="str">
        <f>'Brewhouse Setup &amp; Calcs'!$B$5</f>
        <v>qt</v>
      </c>
      <c r="V36" s="202"/>
      <c r="W36" s="202"/>
      <c r="X36" s="202"/>
      <c r="Y36" s="202"/>
    </row>
    <row r="37" spans="1:25" ht="13.2" customHeight="1" x14ac:dyDescent="0.25">
      <c r="A37" s="702" t="s">
        <v>2032</v>
      </c>
      <c r="B37" s="702"/>
      <c r="C37" s="702"/>
      <c r="D37" s="702"/>
      <c r="E37" s="702"/>
      <c r="F37" s="702"/>
      <c r="G37" s="702"/>
      <c r="H37" s="702"/>
      <c r="I37" s="702"/>
      <c r="J37" s="702"/>
      <c r="K37" s="702"/>
      <c r="L37" s="702"/>
      <c r="M37" s="702"/>
      <c r="N37" s="702"/>
      <c r="O37" s="702"/>
      <c r="P37" s="202"/>
      <c r="Q37" s="202"/>
      <c r="R37" s="202"/>
      <c r="S37" s="202"/>
      <c r="T37" s="202"/>
      <c r="U37" s="202"/>
    </row>
    <row r="38" spans="1:25" ht="13.2" customHeight="1" x14ac:dyDescent="0.25">
      <c r="A38" s="702"/>
      <c r="B38" s="702"/>
      <c r="C38" s="702"/>
      <c r="D38" s="702"/>
      <c r="E38" s="702"/>
      <c r="F38" s="702"/>
      <c r="G38" s="702"/>
      <c r="H38" s="702"/>
      <c r="I38" s="702"/>
      <c r="J38" s="702"/>
      <c r="K38" s="702"/>
      <c r="L38" s="702"/>
      <c r="M38" s="702"/>
      <c r="N38" s="702"/>
      <c r="O38" s="702"/>
      <c r="P38" s="202"/>
    </row>
    <row r="39" spans="1:25" x14ac:dyDescent="0.25">
      <c r="A39" s="702"/>
      <c r="B39" s="702"/>
      <c r="C39" s="702"/>
      <c r="D39" s="702"/>
      <c r="E39" s="702"/>
      <c r="F39" s="702"/>
      <c r="G39" s="702"/>
      <c r="H39" s="702"/>
      <c r="I39" s="702"/>
      <c r="J39" s="702"/>
      <c r="K39" s="702"/>
      <c r="L39" s="702"/>
      <c r="M39" s="702"/>
      <c r="N39" s="702"/>
      <c r="O39" s="702"/>
      <c r="P39" s="202"/>
    </row>
    <row r="40" spans="1:25" x14ac:dyDescent="0.25">
      <c r="A40" s="702"/>
      <c r="B40" s="702"/>
      <c r="C40" s="702"/>
      <c r="D40" s="702"/>
      <c r="E40" s="702"/>
      <c r="F40" s="702"/>
      <c r="G40" s="702"/>
      <c r="H40" s="702"/>
      <c r="I40" s="702"/>
      <c r="J40" s="702"/>
      <c r="K40" s="702"/>
      <c r="L40" s="702"/>
      <c r="M40" s="702"/>
      <c r="N40" s="702"/>
      <c r="O40" s="702"/>
      <c r="P40" s="202"/>
      <c r="V40" s="202"/>
      <c r="W40" s="202"/>
      <c r="X40" s="202"/>
      <c r="Y40" s="202"/>
    </row>
    <row r="41" spans="1:25" ht="13.2" customHeight="1" x14ac:dyDescent="0.25">
      <c r="A41" s="702"/>
      <c r="B41" s="702"/>
      <c r="C41" s="702"/>
      <c r="D41" s="702"/>
      <c r="E41" s="702"/>
      <c r="F41" s="702"/>
      <c r="G41" s="702"/>
      <c r="H41" s="702"/>
      <c r="I41" s="702"/>
      <c r="J41" s="702"/>
      <c r="K41" s="702"/>
      <c r="L41" s="702"/>
      <c r="M41" s="702"/>
      <c r="N41" s="702"/>
      <c r="O41" s="702"/>
      <c r="P41" s="202"/>
      <c r="Q41" s="202"/>
      <c r="V41" s="202"/>
      <c r="W41" s="202"/>
      <c r="X41" s="202"/>
      <c r="Y41" s="202"/>
    </row>
    <row r="50" spans="20:34" x14ac:dyDescent="0.25">
      <c r="AH50" s="47"/>
    </row>
    <row r="51" spans="20:34" x14ac:dyDescent="0.25">
      <c r="V51" s="47"/>
      <c r="W51" s="47"/>
      <c r="X51" s="47"/>
      <c r="Y51" s="47"/>
    </row>
    <row r="53" spans="20:34" x14ac:dyDescent="0.25">
      <c r="Z53" s="47"/>
    </row>
    <row r="54" spans="20:34" x14ac:dyDescent="0.25">
      <c r="Z54" s="47"/>
    </row>
    <row r="55" spans="20:34" x14ac:dyDescent="0.25">
      <c r="Z55" s="47"/>
    </row>
    <row r="56" spans="20:34" x14ac:dyDescent="0.25">
      <c r="T56" s="77"/>
      <c r="U56" s="77"/>
      <c r="V56" s="77"/>
      <c r="W56" s="77"/>
      <c r="X56" s="77"/>
      <c r="Y56" s="77"/>
      <c r="Z56" s="47"/>
    </row>
    <row r="57" spans="20:34" x14ac:dyDescent="0.25">
      <c r="Z57" s="47"/>
    </row>
  </sheetData>
  <sheetProtection sheet="1" objects="1" scenarios="1"/>
  <dataConsolidate/>
  <mergeCells count="117">
    <mergeCell ref="M25:O25"/>
    <mergeCell ref="M26:O26"/>
    <mergeCell ref="M27:O27"/>
    <mergeCell ref="A37:O41"/>
    <mergeCell ref="M30:O30"/>
    <mergeCell ref="G30:I30"/>
    <mergeCell ref="G31:I31"/>
    <mergeCell ref="G32:I32"/>
    <mergeCell ref="G33:I33"/>
    <mergeCell ref="G34:I34"/>
    <mergeCell ref="G35:I35"/>
    <mergeCell ref="A25:D25"/>
    <mergeCell ref="E31:F31"/>
    <mergeCell ref="A26:D26"/>
    <mergeCell ref="A27:D27"/>
    <mergeCell ref="A32:D32"/>
    <mergeCell ref="J27:K27"/>
    <mergeCell ref="I1:M1"/>
    <mergeCell ref="I2:M2"/>
    <mergeCell ref="M16:O16"/>
    <mergeCell ref="M4:O4"/>
    <mergeCell ref="M5:O5"/>
    <mergeCell ref="N6:N7"/>
    <mergeCell ref="O6:O7"/>
    <mergeCell ref="M6:M7"/>
    <mergeCell ref="A24:D24"/>
    <mergeCell ref="B1:E1"/>
    <mergeCell ref="B2:E2"/>
    <mergeCell ref="A5:D6"/>
    <mergeCell ref="A4:F4"/>
    <mergeCell ref="A7:D7"/>
    <mergeCell ref="A8:D8"/>
    <mergeCell ref="A9:D9"/>
    <mergeCell ref="A10:D10"/>
    <mergeCell ref="A11:D11"/>
    <mergeCell ref="A18:D19"/>
    <mergeCell ref="J18:K19"/>
    <mergeCell ref="I18:I19"/>
    <mergeCell ref="H6:I6"/>
    <mergeCell ref="A12:D12"/>
    <mergeCell ref="A13:D13"/>
    <mergeCell ref="Q6:R6"/>
    <mergeCell ref="Q7:R7"/>
    <mergeCell ref="Q8:R8"/>
    <mergeCell ref="S18:U18"/>
    <mergeCell ref="E32:F32"/>
    <mergeCell ref="E34:F34"/>
    <mergeCell ref="E33:F33"/>
    <mergeCell ref="J25:K25"/>
    <mergeCell ref="J26:K26"/>
    <mergeCell ref="S19:S22"/>
    <mergeCell ref="S27:S30"/>
    <mergeCell ref="S32:S35"/>
    <mergeCell ref="Q9:R9"/>
    <mergeCell ref="Q10:R10"/>
    <mergeCell ref="Q11:R11"/>
    <mergeCell ref="Q12:R12"/>
    <mergeCell ref="Q17:R17"/>
    <mergeCell ref="J28:K28"/>
    <mergeCell ref="H11:I11"/>
    <mergeCell ref="H10:I10"/>
    <mergeCell ref="F5:F6"/>
    <mergeCell ref="A17:K17"/>
    <mergeCell ref="F18:F19"/>
    <mergeCell ref="E18:E19"/>
    <mergeCell ref="A15:D15"/>
    <mergeCell ref="A33:D33"/>
    <mergeCell ref="A34:D34"/>
    <mergeCell ref="E35:F35"/>
    <mergeCell ref="G19:H19"/>
    <mergeCell ref="G20:H20"/>
    <mergeCell ref="G21:H21"/>
    <mergeCell ref="G22:H22"/>
    <mergeCell ref="G23:H23"/>
    <mergeCell ref="A28:D28"/>
    <mergeCell ref="G28:H28"/>
    <mergeCell ref="A35:D35"/>
    <mergeCell ref="A30:D30"/>
    <mergeCell ref="A31:D31"/>
    <mergeCell ref="E30:F30"/>
    <mergeCell ref="G25:H25"/>
    <mergeCell ref="G26:H26"/>
    <mergeCell ref="G27:H27"/>
    <mergeCell ref="H12:I12"/>
    <mergeCell ref="A21:D21"/>
    <mergeCell ref="A20:D20"/>
    <mergeCell ref="A22:D22"/>
    <mergeCell ref="A23:D23"/>
    <mergeCell ref="G24:H24"/>
    <mergeCell ref="Q1:U1"/>
    <mergeCell ref="Q2:U2"/>
    <mergeCell ref="H14:I14"/>
    <mergeCell ref="H15:I15"/>
    <mergeCell ref="Q5:R5"/>
    <mergeCell ref="Q4:U4"/>
    <mergeCell ref="S23:S24"/>
    <mergeCell ref="H8:I8"/>
    <mergeCell ref="H9:I9"/>
    <mergeCell ref="H4:K4"/>
    <mergeCell ref="J22:K22"/>
    <mergeCell ref="J23:K23"/>
    <mergeCell ref="J24:K24"/>
    <mergeCell ref="J21:K21"/>
    <mergeCell ref="J20:K20"/>
    <mergeCell ref="H13:I13"/>
    <mergeCell ref="G18:H18"/>
    <mergeCell ref="A14:D14"/>
    <mergeCell ref="Q31:R31"/>
    <mergeCell ref="Q27:Q30"/>
    <mergeCell ref="Q32:Q35"/>
    <mergeCell ref="Q13:Q16"/>
    <mergeCell ref="Q18:R18"/>
    <mergeCell ref="Q25:R25"/>
    <mergeCell ref="Q26:R26"/>
    <mergeCell ref="Q23:R24"/>
    <mergeCell ref="Q36:R36"/>
    <mergeCell ref="Q19:Q22"/>
  </mergeCells>
  <conditionalFormatting sqref="S10">
    <cfRule type="expression" dxfId="46" priority="12">
      <formula>AND(S7&lt;&gt;T7,NOT(ISBLANK(T7)))</formula>
    </cfRule>
  </conditionalFormatting>
  <conditionalFormatting sqref="T20">
    <cfRule type="expression" dxfId="45" priority="7">
      <formula>IF($S$18="Hydrometer",TRUE,FALSE)</formula>
    </cfRule>
  </conditionalFormatting>
  <conditionalFormatting sqref="T28">
    <cfRule type="expression" dxfId="44" priority="6">
      <formula>IF($S$18="Hydrometer",TRUE,FALSE)</formula>
    </cfRule>
  </conditionalFormatting>
  <conditionalFormatting sqref="T33">
    <cfRule type="expression" dxfId="43" priority="5">
      <formula>IF($S$18="Hydrometer",TRUE,FALSE)</formula>
    </cfRule>
  </conditionalFormatting>
  <conditionalFormatting sqref="T22">
    <cfRule type="expression" dxfId="42" priority="4">
      <formula>IF($S$18="Refractometer",TRUE,FALSE)</formula>
    </cfRule>
  </conditionalFormatting>
  <conditionalFormatting sqref="T30">
    <cfRule type="expression" dxfId="41" priority="3">
      <formula>IF($S$18="Refractometer",TRUE,FALSE)</formula>
    </cfRule>
  </conditionalFormatting>
  <conditionalFormatting sqref="T35">
    <cfRule type="expression" dxfId="40" priority="2">
      <formula>IF($S$18="Refractometer",TRUE,FALSE)</formula>
    </cfRule>
  </conditionalFormatting>
  <dataValidations xWindow="274" yWindow="299" count="4">
    <dataValidation type="list" showInputMessage="1" showErrorMessage="1" errorTitle="Category" error="Choose a beer category." promptTitle="Beer Category" prompt="Choose beer category." sqref="B1" xr:uid="{00000000-0002-0000-0100-000000000000}">
      <formula1>BeerList_Headers</formula1>
    </dataValidation>
    <dataValidation type="list" showInputMessage="1" showErrorMessage="1" errorTitle="Style" error="Choose beer style for selected category." promptTitle="Beer Style" prompt="Choose beer style for selected category." sqref="B2" xr:uid="{00000000-0002-0000-0100-000001000000}">
      <formula1>BeerList_list2</formula1>
    </dataValidation>
    <dataValidation type="list" allowBlank="1" showInputMessage="1" showErrorMessage="1" sqref="S18" xr:uid="{78058F6E-1241-4ACD-9E15-365D7B01F2EE}">
      <formula1>"Hydrometer,Refractometer"</formula1>
    </dataValidation>
    <dataValidation allowBlank="1" showInputMessage="1" showErrorMessage="1" promptTitle="Hydrometer Sample Temperature" prompt="Temperature of sample in hydrometer flask." sqref="U19 U27" xr:uid="{3DC86975-0BEA-4B25-923C-794D631ED61C}"/>
  </dataValidations>
  <hyperlinks>
    <hyperlink ref="Q2" r:id="rId1" xr:uid="{00000000-0004-0000-0100-000000000000}"/>
  </hyperlinks>
  <printOptions horizontalCentered="1" verticalCentered="1"/>
  <pageMargins left="0.38" right="0.38" top="0.5" bottom="0.5" header="0.2" footer="0.2"/>
  <pageSetup orientation="landscape" r:id="rId2"/>
  <headerFooter>
    <oddHeader>&amp;C&amp;"Comic Sans MS,Regular"&amp;16&amp;F</oddHeader>
    <oddFooter>&amp;LYouTube Channel: BEERNBBQBYLARRY
Facebook: BEERNBBQBYLARRY
Twitter: @BEERNBBQbyLarry&amp;CCourtesy of
&amp;"Arial,Bold"&amp;12BEER-N-BBQ by Larry
&amp;10www.beernbbqbylarry.com&amp;RPlease consider donating via the PayPal link above.</oddFooter>
  </headerFooter>
  <ignoredErrors>
    <ignoredError sqref="U9" formula="1"/>
  </ignoredErrors>
  <extLst>
    <ext xmlns:x14="http://schemas.microsoft.com/office/spreadsheetml/2009/9/main" uri="{78C0D931-6437-407d-A8EE-F0AAD7539E65}">
      <x14:conditionalFormattings>
        <x14:conditionalFormatting xmlns:xm="http://schemas.microsoft.com/office/excel/2006/main">
          <x14:cfRule type="expression" priority="1" id="{01623D2D-1FEF-4170-A966-BF23EED05C01}">
            <xm:f>IF('Brewhouse Setup &amp; Calcs'!$B$27="Fly",TRUE,FALSE)</xm:f>
            <x14:dxf>
              <fill>
                <patternFill>
                  <bgColor theme="0" tint="-0.14996795556505021"/>
                </patternFill>
              </fill>
            </x14:dxf>
          </x14:cfRule>
          <xm:sqref>T16</xm:sqref>
        </x14:conditionalFormatting>
      </x14:conditionalFormattings>
    </ext>
    <ext xmlns:x14="http://schemas.microsoft.com/office/spreadsheetml/2009/9/main" uri="{CCE6A557-97BC-4b89-ADB6-D9C93CAAB3DF}">
      <x14:dataValidations xmlns:xm="http://schemas.microsoft.com/office/excel/2006/main" xWindow="274" yWindow="299" count="1">
        <x14:dataValidation type="list" showInputMessage="1" showErrorMessage="1" xr:uid="{00000000-0002-0000-0100-000002000000}">
          <x14:formula1>
            <xm:f>'Yeast List'!$A$2:$A$242</xm:f>
          </x14:formula1>
          <xm:sqref>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74"/>
  <sheetViews>
    <sheetView topLeftCell="A9" workbookViewId="0">
      <selection activeCell="B27" sqref="B27"/>
    </sheetView>
  </sheetViews>
  <sheetFormatPr defaultRowHeight="13.2" x14ac:dyDescent="0.25"/>
  <cols>
    <col min="1" max="1" width="32.88671875" customWidth="1"/>
    <col min="2" max="2" width="6.6640625" style="32" customWidth="1"/>
    <col min="3" max="3" width="8.44140625" style="32" bestFit="1" customWidth="1"/>
    <col min="4" max="4" width="6.5546875" style="163" customWidth="1"/>
    <col min="5" max="5" width="10" style="163" customWidth="1"/>
    <col min="6" max="6" width="14.44140625" customWidth="1"/>
    <col min="8" max="8" width="79.5546875" customWidth="1"/>
    <col min="9" max="9" width="86.5546875" customWidth="1"/>
  </cols>
  <sheetData>
    <row r="1" spans="1:9" x14ac:dyDescent="0.25">
      <c r="B1" s="52"/>
      <c r="C1" s="52"/>
    </row>
    <row r="2" spans="1:9" x14ac:dyDescent="0.25">
      <c r="A2" s="57" t="s">
        <v>1186</v>
      </c>
      <c r="B2" s="756" t="s">
        <v>2030</v>
      </c>
      <c r="C2" s="757"/>
      <c r="D2"/>
      <c r="E2" s="165"/>
      <c r="F2" s="759" t="s">
        <v>1645</v>
      </c>
      <c r="G2" s="714"/>
      <c r="H2" s="714"/>
    </row>
    <row r="3" spans="1:9" x14ac:dyDescent="0.25">
      <c r="A3" s="61" t="s">
        <v>132</v>
      </c>
      <c r="B3" s="60" t="s">
        <v>104</v>
      </c>
      <c r="C3"/>
      <c r="D3"/>
      <c r="E3"/>
      <c r="F3" s="760" t="s">
        <v>1349</v>
      </c>
      <c r="G3" s="760"/>
      <c r="H3" s="760"/>
    </row>
    <row r="4" spans="1:9" x14ac:dyDescent="0.25">
      <c r="A4" s="63" t="s">
        <v>1182</v>
      </c>
      <c r="B4" s="70" t="str">
        <f>IF($B$2="US Customary","°F", IF($B$2="Metric","°C",))</f>
        <v>°F</v>
      </c>
      <c r="C4" s="62"/>
    </row>
    <row r="5" spans="1:9" x14ac:dyDescent="0.25">
      <c r="A5" s="63" t="s">
        <v>1183</v>
      </c>
      <c r="B5" s="70" t="str">
        <f>IF($B$2="US Customary","qt", IF($B$2="Metric","Liters",))</f>
        <v>qt</v>
      </c>
      <c r="C5" s="62"/>
      <c r="F5" s="755" t="s">
        <v>1325</v>
      </c>
      <c r="G5" s="755"/>
    </row>
    <row r="6" spans="1:9" x14ac:dyDescent="0.25">
      <c r="A6" s="63" t="s">
        <v>1184</v>
      </c>
      <c r="B6" s="70" t="str">
        <f>IF($B$2="US Customary","lb", IF($B$2="Metric","kg",))</f>
        <v>lb</v>
      </c>
      <c r="C6" s="62"/>
      <c r="F6" s="110" t="s">
        <v>1326</v>
      </c>
      <c r="G6" s="26" t="str">
        <f>IF(B47&lt;=B25*B26,"PASS","FAIL")</f>
        <v>PASS</v>
      </c>
    </row>
    <row r="7" spans="1:9" x14ac:dyDescent="0.25">
      <c r="A7" s="63" t="s">
        <v>1185</v>
      </c>
      <c r="B7" s="70" t="str">
        <f>IF($B$2="US Customary","oz", IF($B$2="Metric","grams",))</f>
        <v>oz</v>
      </c>
      <c r="C7" s="62"/>
      <c r="F7" s="113" t="s">
        <v>1327</v>
      </c>
      <c r="G7" s="26" t="str">
        <f>IF(B60&lt;=(B30*B29),"PASS","FAIL")</f>
        <v>PASS</v>
      </c>
    </row>
    <row r="8" spans="1:9" x14ac:dyDescent="0.25">
      <c r="A8" s="144" t="s">
        <v>1644</v>
      </c>
      <c r="B8" s="89" t="str">
        <f>IF($B$2="US Customary","PSI", IF($B$2="Metric","kPa",))</f>
        <v>PSI</v>
      </c>
      <c r="C8" s="108"/>
    </row>
    <row r="9" spans="1:9" ht="13.8" thickBot="1" x14ac:dyDescent="0.3">
      <c r="A9" s="112"/>
      <c r="B9"/>
      <c r="C9" s="143"/>
    </row>
    <row r="10" spans="1:9" ht="13.8" thickTop="1" x14ac:dyDescent="0.25">
      <c r="A10" s="740" t="s">
        <v>1174</v>
      </c>
      <c r="B10" s="741"/>
      <c r="C10" s="741"/>
      <c r="D10" s="741"/>
      <c r="E10" s="741"/>
      <c r="F10" s="741"/>
      <c r="G10" s="741"/>
      <c r="H10" s="758"/>
      <c r="I10" s="762" t="s">
        <v>1790</v>
      </c>
    </row>
    <row r="11" spans="1:9" x14ac:dyDescent="0.25">
      <c r="A11" s="114" t="s">
        <v>1328</v>
      </c>
      <c r="B11" s="107" t="s">
        <v>104</v>
      </c>
      <c r="C11" s="107" t="s">
        <v>100</v>
      </c>
      <c r="D11" s="162" t="s">
        <v>104</v>
      </c>
      <c r="E11" s="162" t="s">
        <v>100</v>
      </c>
      <c r="F11" s="743" t="s">
        <v>67</v>
      </c>
      <c r="G11" s="743"/>
      <c r="H11" s="744"/>
      <c r="I11" s="763"/>
    </row>
    <row r="12" spans="1:9" x14ac:dyDescent="0.25">
      <c r="A12" s="115" t="s">
        <v>1825</v>
      </c>
      <c r="B12" s="109">
        <v>20</v>
      </c>
      <c r="C12" s="106" t="str">
        <f>$B$5</f>
        <v>qt</v>
      </c>
      <c r="D12" s="71">
        <f>IF($B$2="US Customary",B12/4,"")</f>
        <v>5</v>
      </c>
      <c r="E12" s="89" t="str">
        <f>IF($B$2="US Customary","US Gal","")</f>
        <v>US Gal</v>
      </c>
      <c r="F12" s="708" t="s">
        <v>2042</v>
      </c>
      <c r="G12" s="708"/>
      <c r="H12" s="709"/>
      <c r="I12" s="613"/>
    </row>
    <row r="13" spans="1:9" x14ac:dyDescent="0.25">
      <c r="A13" s="115" t="s">
        <v>103</v>
      </c>
      <c r="B13" s="44">
        <v>68</v>
      </c>
      <c r="C13" s="89" t="str">
        <f>'Brewhouse Setup &amp; Calcs'!$B$4</f>
        <v>°F</v>
      </c>
      <c r="D13" s="727"/>
      <c r="E13" s="713"/>
      <c r="F13" s="735" t="s">
        <v>1827</v>
      </c>
      <c r="G13" s="735"/>
      <c r="H13" s="736"/>
      <c r="I13" s="614"/>
    </row>
    <row r="14" spans="1:9" x14ac:dyDescent="0.25">
      <c r="A14" s="115" t="s">
        <v>147</v>
      </c>
      <c r="B14" s="44">
        <v>150</v>
      </c>
      <c r="C14" s="89" t="str">
        <f>'Brewhouse Setup &amp; Calcs'!$B$4</f>
        <v>°F</v>
      </c>
      <c r="D14" s="752"/>
      <c r="E14" s="754"/>
      <c r="F14" s="735" t="s">
        <v>1828</v>
      </c>
      <c r="G14" s="735"/>
      <c r="H14" s="736"/>
      <c r="I14" s="614"/>
    </row>
    <row r="15" spans="1:9" x14ac:dyDescent="0.25">
      <c r="A15" s="115" t="s">
        <v>101</v>
      </c>
      <c r="B15" s="109">
        <v>1.5</v>
      </c>
      <c r="C15" s="89" t="str">
        <f>IF($B$2="Metric","L/kg","qt/lb")</f>
        <v>qt/lb</v>
      </c>
      <c r="D15" s="71">
        <f>IF($B$2="US Customary",B15/4,"")</f>
        <v>0.375</v>
      </c>
      <c r="E15" s="89" t="str">
        <f>IF($B$2="US Customary","USGal/lb","")</f>
        <v>USGal/lb</v>
      </c>
      <c r="F15" s="735" t="s">
        <v>146</v>
      </c>
      <c r="G15" s="735"/>
      <c r="H15" s="736"/>
      <c r="I15" s="614"/>
    </row>
    <row r="16" spans="1:9" x14ac:dyDescent="0.25">
      <c r="A16" s="115" t="s">
        <v>1826</v>
      </c>
      <c r="B16" s="109">
        <v>0.55000000000000004</v>
      </c>
      <c r="C16" s="89" t="str">
        <f>IF($B$2="Metric","L/kg","qt/lb")</f>
        <v>qt/lb</v>
      </c>
      <c r="D16" s="71">
        <f>IF($B$2="US Customary",B16/4,"")</f>
        <v>0.13750000000000001</v>
      </c>
      <c r="E16" s="89" t="str">
        <f>IF($B$2="US Customary","USGal/lb","")</f>
        <v>USGal/lb</v>
      </c>
      <c r="F16" s="735" t="s">
        <v>1829</v>
      </c>
      <c r="G16" s="735"/>
      <c r="H16" s="736"/>
      <c r="I16" s="620" t="s">
        <v>1830</v>
      </c>
    </row>
    <row r="17" spans="1:9" x14ac:dyDescent="0.25">
      <c r="A17" s="116" t="s">
        <v>96</v>
      </c>
      <c r="B17" s="38">
        <v>0.78600000000000003</v>
      </c>
      <c r="C17" s="89" t="s">
        <v>105</v>
      </c>
      <c r="D17" s="727"/>
      <c r="E17" s="713"/>
      <c r="F17" s="735" t="s">
        <v>1831</v>
      </c>
      <c r="G17" s="735"/>
      <c r="H17" s="736"/>
      <c r="I17" s="614"/>
    </row>
    <row r="18" spans="1:9" x14ac:dyDescent="0.25">
      <c r="A18" s="115" t="s">
        <v>111</v>
      </c>
      <c r="B18" s="39">
        <v>75</v>
      </c>
      <c r="C18" s="89" t="s">
        <v>1198</v>
      </c>
      <c r="D18" s="761"/>
      <c r="E18" s="715"/>
      <c r="F18" s="708" t="s">
        <v>1832</v>
      </c>
      <c r="G18" s="708"/>
      <c r="H18" s="709"/>
      <c r="I18" s="614"/>
    </row>
    <row r="19" spans="1:9" x14ac:dyDescent="0.25">
      <c r="A19" s="115" t="s">
        <v>109</v>
      </c>
      <c r="B19" s="197">
        <v>2</v>
      </c>
      <c r="C19" s="89" t="str">
        <f>IF($B$2="Metric","L/hr","qt/hr")</f>
        <v>qt/hr</v>
      </c>
      <c r="D19" s="761"/>
      <c r="E19" s="715"/>
      <c r="F19" s="708" t="s">
        <v>1789</v>
      </c>
      <c r="G19" s="708"/>
      <c r="H19" s="709"/>
      <c r="I19" s="620" t="s">
        <v>2041</v>
      </c>
    </row>
    <row r="20" spans="1:9" x14ac:dyDescent="0.25">
      <c r="A20" s="115" t="s">
        <v>1202</v>
      </c>
      <c r="B20" s="40">
        <v>210.6</v>
      </c>
      <c r="C20" s="89" t="str">
        <f>$B$4</f>
        <v>°F</v>
      </c>
      <c r="D20" s="752"/>
      <c r="E20" s="754"/>
      <c r="F20" s="708" t="s">
        <v>1178</v>
      </c>
      <c r="G20" s="708"/>
      <c r="H20" s="709"/>
      <c r="I20" s="614"/>
    </row>
    <row r="21" spans="1:9" ht="13.8" thickBot="1" x14ac:dyDescent="0.3">
      <c r="A21" s="117" t="s">
        <v>1797</v>
      </c>
      <c r="B21" s="249">
        <v>0.1</v>
      </c>
      <c r="C21" s="121" t="str">
        <f>IF($B$2="Metric","L/g","qt/oz")</f>
        <v>qt/oz</v>
      </c>
      <c r="D21" s="166">
        <f>IF($B$2="US Customary",B21/4*16,"")</f>
        <v>0.4</v>
      </c>
      <c r="E21" s="121" t="str">
        <f>IF($B$2="US Customary","USGal/lb","")</f>
        <v>USGal/lb</v>
      </c>
      <c r="F21" s="706" t="s">
        <v>1833</v>
      </c>
      <c r="G21" s="706"/>
      <c r="H21" s="707"/>
      <c r="I21" s="619" t="s">
        <v>2043</v>
      </c>
    </row>
    <row r="22" spans="1:9" ht="14.4" thickTop="1" thickBot="1" x14ac:dyDescent="0.3">
      <c r="B22"/>
      <c r="C22" s="108"/>
      <c r="I22" s="198"/>
    </row>
    <row r="23" spans="1:9" ht="13.8" thickTop="1" x14ac:dyDescent="0.25">
      <c r="A23" s="740" t="s">
        <v>1329</v>
      </c>
      <c r="B23" s="741"/>
      <c r="C23" s="741"/>
      <c r="D23" s="741"/>
      <c r="E23" s="741"/>
      <c r="F23" s="741"/>
      <c r="G23" s="741"/>
      <c r="H23" s="742"/>
      <c r="I23" s="762" t="s">
        <v>1790</v>
      </c>
    </row>
    <row r="24" spans="1:9" x14ac:dyDescent="0.25">
      <c r="A24" s="114" t="s">
        <v>1328</v>
      </c>
      <c r="B24" s="107" t="s">
        <v>104</v>
      </c>
      <c r="C24" s="107" t="s">
        <v>100</v>
      </c>
      <c r="D24" s="162" t="s">
        <v>104</v>
      </c>
      <c r="E24" s="162" t="s">
        <v>100</v>
      </c>
      <c r="F24" s="743" t="s">
        <v>67</v>
      </c>
      <c r="G24" s="743"/>
      <c r="H24" s="744"/>
      <c r="I24" s="763"/>
    </row>
    <row r="25" spans="1:9" x14ac:dyDescent="0.25">
      <c r="A25" s="118" t="s">
        <v>108</v>
      </c>
      <c r="B25" s="36">
        <v>32</v>
      </c>
      <c r="C25" s="106" t="str">
        <f>$B$5</f>
        <v>qt</v>
      </c>
      <c r="D25" s="128">
        <f>IF($B$2="US Customary",B25/4,"")</f>
        <v>8</v>
      </c>
      <c r="E25" s="89" t="str">
        <f>IF($B$2="US Customary","US Gal","")</f>
        <v>US Gal</v>
      </c>
      <c r="F25" s="745" t="s">
        <v>1175</v>
      </c>
      <c r="G25" s="745"/>
      <c r="H25" s="746"/>
      <c r="I25" s="615" t="s">
        <v>1838</v>
      </c>
    </row>
    <row r="26" spans="1:9" x14ac:dyDescent="0.25">
      <c r="A26" s="118" t="s">
        <v>124</v>
      </c>
      <c r="B26" s="37">
        <v>0.95</v>
      </c>
      <c r="C26" s="111" t="s">
        <v>105</v>
      </c>
      <c r="D26" s="724"/>
      <c r="E26" s="732"/>
      <c r="F26" s="745" t="s">
        <v>1176</v>
      </c>
      <c r="G26" s="745"/>
      <c r="H26" s="746"/>
      <c r="I26" s="615"/>
    </row>
    <row r="27" spans="1:9" ht="12.6" customHeight="1" x14ac:dyDescent="0.25">
      <c r="A27" s="118" t="s">
        <v>2033</v>
      </c>
      <c r="B27" s="602" t="s">
        <v>2044</v>
      </c>
      <c r="C27" s="724"/>
      <c r="D27" s="725"/>
      <c r="E27" s="732"/>
      <c r="F27" s="745" t="s">
        <v>2035</v>
      </c>
      <c r="G27" s="745"/>
      <c r="H27" s="746"/>
      <c r="I27" s="615"/>
    </row>
    <row r="28" spans="1:9" ht="12.6" customHeight="1" x14ac:dyDescent="0.25">
      <c r="A28" s="115" t="str">
        <f>IF(B27="Fly","Fly Sparge Flow Rate","-")</f>
        <v>-</v>
      </c>
      <c r="B28" s="36">
        <v>1</v>
      </c>
      <c r="C28" s="128" t="str">
        <f>IF(B27="Fly",CONCATENATE($B$5,"/min"),"")</f>
        <v/>
      </c>
      <c r="D28" s="128" t="str">
        <f>IF(B27="Fly",IF($B$2="US Customary",B28/4,""),"")</f>
        <v/>
      </c>
      <c r="E28" s="89" t="str">
        <f>IF(B27="Fly",IF($B$2="US Customary","US Gal/min",""),"")</f>
        <v/>
      </c>
      <c r="F28" s="745" t="s">
        <v>2034</v>
      </c>
      <c r="G28" s="745"/>
      <c r="H28" s="746"/>
      <c r="I28" s="615"/>
    </row>
    <row r="29" spans="1:9" x14ac:dyDescent="0.25">
      <c r="A29" s="115" t="s">
        <v>110</v>
      </c>
      <c r="B29" s="36">
        <v>32</v>
      </c>
      <c r="C29" s="106" t="str">
        <f>$B$5</f>
        <v>qt</v>
      </c>
      <c r="D29" s="128">
        <f>IF($B$2="US Customary",B29/4,"")</f>
        <v>8</v>
      </c>
      <c r="E29" s="89" t="str">
        <f>IF($B$2="US Customary","US Gal","")</f>
        <v>US Gal</v>
      </c>
      <c r="F29" s="745" t="s">
        <v>1177</v>
      </c>
      <c r="G29" s="745"/>
      <c r="H29" s="746"/>
      <c r="I29" s="615" t="s">
        <v>1839</v>
      </c>
    </row>
    <row r="30" spans="1:9" x14ac:dyDescent="0.25">
      <c r="A30" s="115" t="s">
        <v>1171</v>
      </c>
      <c r="B30" s="37">
        <v>0.9</v>
      </c>
      <c r="C30" s="111" t="s">
        <v>105</v>
      </c>
      <c r="D30" s="724"/>
      <c r="E30" s="732"/>
      <c r="F30" s="745" t="s">
        <v>1179</v>
      </c>
      <c r="G30" s="745"/>
      <c r="H30" s="746"/>
      <c r="I30" s="615"/>
    </row>
    <row r="31" spans="1:9" x14ac:dyDescent="0.25">
      <c r="A31" s="119" t="s">
        <v>112</v>
      </c>
      <c r="B31" s="109">
        <v>0</v>
      </c>
      <c r="C31" s="106" t="str">
        <f t="shared" ref="C31:C33" si="0">$B$5</f>
        <v>qt</v>
      </c>
      <c r="D31" s="71">
        <f>IF($B$2="US Customary",B31/4,"")</f>
        <v>0</v>
      </c>
      <c r="E31" s="89" t="str">
        <f>IF($B$2="US Customary","US Gal","")</f>
        <v>US Gal</v>
      </c>
      <c r="F31" s="745" t="s">
        <v>1842</v>
      </c>
      <c r="G31" s="745"/>
      <c r="H31" s="746"/>
      <c r="I31" s="618" t="s">
        <v>1817</v>
      </c>
    </row>
    <row r="32" spans="1:9" x14ac:dyDescent="0.25">
      <c r="A32" s="119" t="s">
        <v>1172</v>
      </c>
      <c r="B32" s="109">
        <v>2.25</v>
      </c>
      <c r="C32" s="106" t="str">
        <f t="shared" si="0"/>
        <v>qt</v>
      </c>
      <c r="D32" s="71">
        <f>IF($B$2="US Customary",B32/4,"")</f>
        <v>0.5625</v>
      </c>
      <c r="E32" s="89" t="str">
        <f>IF($B$2="US Customary","US Gal","")</f>
        <v>US Gal</v>
      </c>
      <c r="F32" s="745" t="s">
        <v>1815</v>
      </c>
      <c r="G32" s="745"/>
      <c r="H32" s="746"/>
      <c r="I32" s="615" t="s">
        <v>1816</v>
      </c>
    </row>
    <row r="33" spans="1:9" x14ac:dyDescent="0.25">
      <c r="A33" s="119" t="s">
        <v>1173</v>
      </c>
      <c r="B33" s="127">
        <v>2</v>
      </c>
      <c r="C33" s="128" t="str">
        <f t="shared" si="0"/>
        <v>qt</v>
      </c>
      <c r="D33" s="71">
        <f>IF($B$2="US Customary",B33/4,"")</f>
        <v>0.5</v>
      </c>
      <c r="E33" s="89" t="str">
        <f>IF($B$2="US Customary","US Gal","")</f>
        <v>US Gal</v>
      </c>
      <c r="F33" s="710" t="s">
        <v>1769</v>
      </c>
      <c r="G33" s="710"/>
      <c r="H33" s="711"/>
      <c r="I33" s="615" t="s">
        <v>1791</v>
      </c>
    </row>
    <row r="34" spans="1:9" x14ac:dyDescent="0.25">
      <c r="A34" s="119" t="s">
        <v>1792</v>
      </c>
      <c r="B34" s="190">
        <v>60</v>
      </c>
      <c r="C34" s="89" t="str">
        <f>$B$4</f>
        <v>°F</v>
      </c>
      <c r="D34" s="712"/>
      <c r="E34" s="713"/>
      <c r="F34" s="710" t="s">
        <v>1793</v>
      </c>
      <c r="G34" s="710"/>
      <c r="H34" s="711"/>
      <c r="I34" s="615"/>
    </row>
    <row r="35" spans="1:9" x14ac:dyDescent="0.25">
      <c r="A35" s="119" t="s">
        <v>1787</v>
      </c>
      <c r="B35" s="190">
        <v>0</v>
      </c>
      <c r="C35" s="727"/>
      <c r="D35" s="714"/>
      <c r="E35" s="715"/>
      <c r="F35" s="708" t="s">
        <v>1843</v>
      </c>
      <c r="G35" s="708"/>
      <c r="H35" s="709"/>
      <c r="I35" s="615"/>
    </row>
    <row r="36" spans="1:9" ht="13.8" thickBot="1" x14ac:dyDescent="0.3">
      <c r="A36" s="252" t="s">
        <v>1342</v>
      </c>
      <c r="B36" s="199">
        <v>1.04</v>
      </c>
      <c r="C36" s="728"/>
      <c r="D36" s="716"/>
      <c r="E36" s="717"/>
      <c r="F36" s="750" t="s">
        <v>1343</v>
      </c>
      <c r="G36" s="750"/>
      <c r="H36" s="751"/>
      <c r="I36" s="616"/>
    </row>
    <row r="37" spans="1:9" ht="14.4" thickTop="1" thickBot="1" x14ac:dyDescent="0.3">
      <c r="I37" s="198"/>
    </row>
    <row r="38" spans="1:9" ht="13.8" thickTop="1" x14ac:dyDescent="0.25">
      <c r="A38" s="747" t="s">
        <v>1330</v>
      </c>
      <c r="B38" s="748"/>
      <c r="C38" s="748"/>
      <c r="D38" s="748"/>
      <c r="E38" s="748"/>
      <c r="F38" s="748"/>
      <c r="G38" s="748"/>
      <c r="H38" s="749"/>
      <c r="I38" s="762" t="s">
        <v>1790</v>
      </c>
    </row>
    <row r="39" spans="1:9" x14ac:dyDescent="0.25">
      <c r="A39" s="114" t="s">
        <v>132</v>
      </c>
      <c r="B39" s="107" t="s">
        <v>104</v>
      </c>
      <c r="C39" s="107" t="s">
        <v>100</v>
      </c>
      <c r="D39" s="162" t="s">
        <v>104</v>
      </c>
      <c r="E39" s="162" t="s">
        <v>100</v>
      </c>
      <c r="F39" s="743" t="s">
        <v>67</v>
      </c>
      <c r="G39" s="743"/>
      <c r="H39" s="744"/>
      <c r="I39" s="763"/>
    </row>
    <row r="40" spans="1:9" x14ac:dyDescent="0.25">
      <c r="A40" s="115" t="s">
        <v>1822</v>
      </c>
      <c r="B40" s="71">
        <f>B43+B55+B57+B58</f>
        <v>35.906708000000002</v>
      </c>
      <c r="C40" s="128" t="str">
        <f t="shared" ref="C40:C63" si="1">$B$5</f>
        <v>qt</v>
      </c>
      <c r="D40" s="71">
        <f>IF($B$2="US Customary",B40/4,"")</f>
        <v>8.9766770000000005</v>
      </c>
      <c r="E40" s="89" t="str">
        <f>IF($B$2="US Customary","US Gal","")</f>
        <v>US Gal</v>
      </c>
      <c r="F40" s="708" t="s">
        <v>1796</v>
      </c>
      <c r="G40" s="708"/>
      <c r="H40" s="709"/>
      <c r="I40" s="615"/>
    </row>
    <row r="41" spans="1:9" x14ac:dyDescent="0.25">
      <c r="A41" s="115" t="s">
        <v>126</v>
      </c>
      <c r="B41" s="189">
        <f>IF(C41="qt",0.3125*'Grain &amp; Sugar Calcs'!C14,IF(C41="Liters",0.652*'Grain &amp; Sugar Calcs'!C14,""))</f>
        <v>4.296875</v>
      </c>
      <c r="C41" s="89" t="str">
        <f>'Brewhouse Setup &amp; Calcs'!$B$5</f>
        <v>qt</v>
      </c>
      <c r="D41" s="71">
        <f>IF($B$2="US Customary",B41/4,"")</f>
        <v>1.07421875</v>
      </c>
      <c r="E41" s="89" t="str">
        <f>IF($B$2="US Customary","US Gal","")</f>
        <v>US Gal</v>
      </c>
      <c r="F41" s="1" t="s">
        <v>1181</v>
      </c>
      <c r="G41" s="1"/>
      <c r="H41" s="123"/>
      <c r="I41" s="615"/>
    </row>
    <row r="42" spans="1:9" x14ac:dyDescent="0.25">
      <c r="A42" s="167" t="s">
        <v>1686</v>
      </c>
      <c r="B42" s="724"/>
      <c r="C42" s="725"/>
      <c r="D42" s="725"/>
      <c r="E42" s="725"/>
      <c r="F42" s="725"/>
      <c r="G42" s="725"/>
      <c r="H42" s="726"/>
      <c r="I42" s="615"/>
    </row>
    <row r="43" spans="1:9" x14ac:dyDescent="0.25">
      <c r="A43" s="115" t="s">
        <v>1820</v>
      </c>
      <c r="B43" s="189">
        <f>'Grain &amp; Sugar Calcs'!C14*B15</f>
        <v>20.625</v>
      </c>
      <c r="C43" s="89" t="str">
        <f>'Brewhouse Setup &amp; Calcs'!$B$5</f>
        <v>qt</v>
      </c>
      <c r="D43" s="71">
        <f>IF($B$2="US Customary",B43/4,"")</f>
        <v>5.15625</v>
      </c>
      <c r="E43" s="89" t="str">
        <f>IF($B$2="US Customary","US Gal","")</f>
        <v>US Gal</v>
      </c>
      <c r="F43" s="733" t="s">
        <v>1180</v>
      </c>
      <c r="G43" s="733"/>
      <c r="H43" s="734"/>
      <c r="I43" s="615"/>
    </row>
    <row r="44" spans="1:9" x14ac:dyDescent="0.25">
      <c r="A44" s="115" t="s">
        <v>102</v>
      </c>
      <c r="B44" s="168">
        <f>(IF(B2="US Customary",0.2,0.41)/B15)*(B14-B13)+B14</f>
        <v>160.93333333333334</v>
      </c>
      <c r="C44" s="169" t="str">
        <f>'Brewhouse Setup &amp; Calcs'!$B$4</f>
        <v>°F</v>
      </c>
      <c r="D44" s="724"/>
      <c r="E44" s="732"/>
      <c r="F44" s="729" t="s">
        <v>1794</v>
      </c>
      <c r="G44" s="730"/>
      <c r="H44" s="731"/>
      <c r="I44" s="615"/>
    </row>
    <row r="45" spans="1:9" x14ac:dyDescent="0.25">
      <c r="A45" s="167" t="s">
        <v>1687</v>
      </c>
      <c r="B45" s="724"/>
      <c r="C45" s="725"/>
      <c r="D45" s="725"/>
      <c r="E45" s="725"/>
      <c r="F45" s="725"/>
      <c r="G45" s="725"/>
      <c r="H45" s="726"/>
      <c r="I45" s="615"/>
    </row>
    <row r="46" spans="1:9" x14ac:dyDescent="0.25">
      <c r="A46" s="115" t="s">
        <v>1321</v>
      </c>
      <c r="B46" s="120">
        <f>B16*'Grain &amp; Sugar Calcs'!C14</f>
        <v>7.5625000000000009</v>
      </c>
      <c r="C46" s="89" t="str">
        <f>'Brewhouse Setup &amp; Calcs'!$B$5</f>
        <v>qt</v>
      </c>
      <c r="D46" s="71">
        <f>IF($B$2="US Customary",B46/4,"")</f>
        <v>1.8906250000000002</v>
      </c>
      <c r="E46" s="89" t="str">
        <f>IF($B$2="US Customary","US Gal","")</f>
        <v>US Gal</v>
      </c>
      <c r="F46" s="735" t="s">
        <v>1320</v>
      </c>
      <c r="G46" s="735"/>
      <c r="H46" s="736"/>
      <c r="I46" s="615"/>
    </row>
    <row r="47" spans="1:9" x14ac:dyDescent="0.25">
      <c r="A47" s="115" t="s">
        <v>121</v>
      </c>
      <c r="B47" s="189">
        <f>(B41+B43)</f>
        <v>24.921875</v>
      </c>
      <c r="C47" s="89" t="str">
        <f>'Brewhouse Setup &amp; Calcs'!$B$5</f>
        <v>qt</v>
      </c>
      <c r="D47" s="71">
        <f>IF($B$2="US Customary",B47/4,"")</f>
        <v>6.23046875</v>
      </c>
      <c r="E47" s="89" t="str">
        <f>IF($B$2="US Customary","US Gal","")</f>
        <v>US Gal</v>
      </c>
      <c r="F47" s="735" t="s">
        <v>1322</v>
      </c>
      <c r="G47" s="735"/>
      <c r="H47" s="736"/>
      <c r="I47" s="615"/>
    </row>
    <row r="48" spans="1:9" x14ac:dyDescent="0.25">
      <c r="A48" s="242" t="s">
        <v>1821</v>
      </c>
      <c r="B48" s="255">
        <f>B40-B43</f>
        <v>15.281708000000002</v>
      </c>
      <c r="C48" s="89" t="str">
        <f>'Brewhouse Setup &amp; Calcs'!$B$5</f>
        <v>qt</v>
      </c>
      <c r="D48" s="71">
        <f>IF($B$2="US Customary",B48/4,"")</f>
        <v>3.8204270000000005</v>
      </c>
      <c r="E48" s="89" t="str">
        <f>IF($B$2="US Customary","US Gal","")</f>
        <v>US Gal</v>
      </c>
      <c r="F48" s="737" t="s">
        <v>1823</v>
      </c>
      <c r="G48" s="738"/>
      <c r="H48" s="739"/>
      <c r="I48" s="615"/>
    </row>
    <row r="49" spans="1:9" x14ac:dyDescent="0.25">
      <c r="A49" s="124" t="s">
        <v>122</v>
      </c>
      <c r="B49" s="126">
        <f>B25*B26-B41-B46</f>
        <v>18.540624999999999</v>
      </c>
      <c r="C49" s="122" t="str">
        <f>'Brewhouse Setup &amp; Calcs'!$B$5</f>
        <v>qt</v>
      </c>
      <c r="D49" s="71">
        <f>IF($B$2="US Customary",B49/4,"")</f>
        <v>4.6351562499999996</v>
      </c>
      <c r="E49" s="89" t="str">
        <f>IF($B$2="US Customary","US Gal","")</f>
        <v>US Gal</v>
      </c>
      <c r="F49" s="735" t="s">
        <v>1323</v>
      </c>
      <c r="G49" s="735"/>
      <c r="H49" s="736"/>
      <c r="I49" s="615"/>
    </row>
    <row r="50" spans="1:9" x14ac:dyDescent="0.25">
      <c r="A50" s="125" t="s">
        <v>123</v>
      </c>
      <c r="B50" s="189">
        <f>B60/B49</f>
        <v>1.5287622720377552</v>
      </c>
      <c r="C50" s="727"/>
      <c r="D50" s="712"/>
      <c r="E50" s="713"/>
      <c r="F50" s="735" t="s">
        <v>1200</v>
      </c>
      <c r="G50" s="735"/>
      <c r="H50" s="736"/>
      <c r="I50" s="615"/>
    </row>
    <row r="51" spans="1:9" x14ac:dyDescent="0.25">
      <c r="A51" s="125" t="s">
        <v>125</v>
      </c>
      <c r="B51" s="128">
        <f>ROUNDUP(B50,0)</f>
        <v>2</v>
      </c>
      <c r="C51" s="752"/>
      <c r="D51" s="753"/>
      <c r="E51" s="754"/>
      <c r="F51" s="735" t="s">
        <v>1201</v>
      </c>
      <c r="G51" s="735"/>
      <c r="H51" s="736"/>
      <c r="I51" s="615"/>
    </row>
    <row r="52" spans="1:9" ht="13.2" customHeight="1" x14ac:dyDescent="0.25">
      <c r="A52" s="119" t="s">
        <v>1324</v>
      </c>
      <c r="B52" s="189">
        <f>B60/B51</f>
        <v>14.172104000000001</v>
      </c>
      <c r="C52" s="89" t="str">
        <f>'Brewhouse Setup &amp; Calcs'!$B$5</f>
        <v>qt</v>
      </c>
      <c r="D52" s="71">
        <f>IF($B$2="US Customary",B52/4,"")</f>
        <v>3.5430260000000002</v>
      </c>
      <c r="E52" s="89" t="str">
        <f>IF($B$2="US Customary","US Gal","")</f>
        <v>US Gal</v>
      </c>
      <c r="F52" s="721" t="s">
        <v>1335</v>
      </c>
      <c r="G52" s="722"/>
      <c r="H52" s="723"/>
      <c r="I52" s="615"/>
    </row>
    <row r="53" spans="1:9" x14ac:dyDescent="0.25">
      <c r="A53" s="119" t="s">
        <v>1199</v>
      </c>
      <c r="B53" s="189">
        <f>B43-B46-B31</f>
        <v>13.0625</v>
      </c>
      <c r="C53" s="89" t="str">
        <f>'Brewhouse Setup &amp; Calcs'!$B$5</f>
        <v>qt</v>
      </c>
      <c r="D53" s="71">
        <f>IF($B$2="US Customary",B53/4,"")</f>
        <v>3.265625</v>
      </c>
      <c r="E53" s="89" t="str">
        <f>IF($B$2="US Customary","US Gal","")</f>
        <v>US Gal</v>
      </c>
      <c r="F53" s="721" t="s">
        <v>1336</v>
      </c>
      <c r="G53" s="722"/>
      <c r="H53" s="723"/>
      <c r="I53" s="615"/>
    </row>
    <row r="54" spans="1:9" x14ac:dyDescent="0.25">
      <c r="A54" s="170" t="s">
        <v>1688</v>
      </c>
      <c r="B54" s="724"/>
      <c r="C54" s="725"/>
      <c r="D54" s="725"/>
      <c r="E54" s="725"/>
      <c r="F54" s="725"/>
      <c r="G54" s="725"/>
      <c r="H54" s="726"/>
      <c r="I54" s="615"/>
    </row>
    <row r="55" spans="1:9" x14ac:dyDescent="0.25">
      <c r="A55" s="119" t="s">
        <v>1332</v>
      </c>
      <c r="B55" s="189">
        <f>IF(B52&gt;=B53,B52-B53,0)</f>
        <v>1.1096040000000009</v>
      </c>
      <c r="C55" s="89" t="str">
        <f>'Brewhouse Setup &amp; Calcs'!$B$5</f>
        <v>qt</v>
      </c>
      <c r="D55" s="71">
        <f>IF($B$2="US Customary",B55/4,"")</f>
        <v>0.27740100000000023</v>
      </c>
      <c r="E55" s="89" t="str">
        <f>IF($B$2="US Customary","US Gal","")</f>
        <v>US Gal</v>
      </c>
      <c r="F55" s="721" t="s">
        <v>1337</v>
      </c>
      <c r="G55" s="722"/>
      <c r="H55" s="723"/>
      <c r="I55" s="615"/>
    </row>
    <row r="56" spans="1:9" x14ac:dyDescent="0.25">
      <c r="A56" s="119" t="s">
        <v>1331</v>
      </c>
      <c r="B56" s="120">
        <f>IF(B52&gt;B53,B52,B53)</f>
        <v>14.172104000000001</v>
      </c>
      <c r="C56" s="89" t="str">
        <f>'Brewhouse Setup &amp; Calcs'!$B$5</f>
        <v>qt</v>
      </c>
      <c r="D56" s="71">
        <f>IF($B$2="US Customary",B56/4,"")</f>
        <v>3.5430260000000002</v>
      </c>
      <c r="E56" s="89" t="str">
        <f>IF($B$2="US Customary","US Gal","")</f>
        <v>US Gal</v>
      </c>
      <c r="F56" s="721" t="s">
        <v>1338</v>
      </c>
      <c r="G56" s="722"/>
      <c r="H56" s="723"/>
      <c r="I56" s="615"/>
    </row>
    <row r="57" spans="1:9" x14ac:dyDescent="0.25">
      <c r="A57" s="119" t="s">
        <v>1333</v>
      </c>
      <c r="B57" s="189">
        <f>IF(B51&gt;1,B52,0)</f>
        <v>14.172104000000001</v>
      </c>
      <c r="C57" s="89" t="str">
        <f>'Brewhouse Setup &amp; Calcs'!$B$5</f>
        <v>qt</v>
      </c>
      <c r="D57" s="71">
        <f>IF($B$2="US Customary",B57/4,"")</f>
        <v>3.5430260000000002</v>
      </c>
      <c r="E57" s="89" t="str">
        <f>IF($B$2="US Customary","US Gal","")</f>
        <v>US Gal</v>
      </c>
      <c r="F57" s="721" t="s">
        <v>1339</v>
      </c>
      <c r="G57" s="722"/>
      <c r="H57" s="723"/>
      <c r="I57" s="615"/>
    </row>
    <row r="58" spans="1:9" x14ac:dyDescent="0.25">
      <c r="A58" s="119" t="s">
        <v>1334</v>
      </c>
      <c r="B58" s="189">
        <f>IF(B51&gt;2,B60-B56-B57,0)</f>
        <v>0</v>
      </c>
      <c r="C58" s="89" t="str">
        <f>'Brewhouse Setup &amp; Calcs'!$B$5</f>
        <v>qt</v>
      </c>
      <c r="D58" s="71">
        <f>IF($B$2="US Customary",B58/4,"")</f>
        <v>0</v>
      </c>
      <c r="E58" s="89" t="str">
        <f>IF($B$2="US Customary","US Gal","")</f>
        <v>US Gal</v>
      </c>
      <c r="F58" s="718" t="s">
        <v>1340</v>
      </c>
      <c r="G58" s="719"/>
      <c r="H58" s="720"/>
      <c r="I58" s="615"/>
    </row>
    <row r="59" spans="1:9" x14ac:dyDescent="0.25">
      <c r="A59" s="170" t="s">
        <v>1835</v>
      </c>
      <c r="B59" s="724"/>
      <c r="C59" s="725"/>
      <c r="D59" s="725"/>
      <c r="E59" s="725"/>
      <c r="F59" s="725"/>
      <c r="G59" s="725"/>
      <c r="H59" s="726"/>
      <c r="I59" s="615"/>
    </row>
    <row r="60" spans="1:9" x14ac:dyDescent="0.25">
      <c r="A60" s="115" t="s">
        <v>106</v>
      </c>
      <c r="B60" s="189">
        <f>B63+B61+B62</f>
        <v>28.344208000000002</v>
      </c>
      <c r="C60" s="128" t="str">
        <f t="shared" si="1"/>
        <v>qt</v>
      </c>
      <c r="D60" s="71">
        <f>IF($B$2="US Customary",B60/4,"")</f>
        <v>7.0860520000000005</v>
      </c>
      <c r="E60" s="89" t="str">
        <f>IF($B$2="US Customary","US Gal","")</f>
        <v>US Gal</v>
      </c>
      <c r="F60" s="708" t="s">
        <v>113</v>
      </c>
      <c r="G60" s="708"/>
      <c r="H60" s="709"/>
      <c r="I60" s="615"/>
    </row>
    <row r="61" spans="1:9" x14ac:dyDescent="0.25">
      <c r="A61" s="115" t="s">
        <v>115</v>
      </c>
      <c r="B61" s="256">
        <f>B18/60*B19</f>
        <v>2.5</v>
      </c>
      <c r="C61" s="128" t="str">
        <f t="shared" ref="C61:C64" si="2">$B$5</f>
        <v>qt</v>
      </c>
      <c r="D61" s="71">
        <f>IF($B$2="US Customary",B61/4,"")</f>
        <v>0.625</v>
      </c>
      <c r="E61" s="89" t="str">
        <f>IF($B$2="US Customary","US Gal","")</f>
        <v>US Gal</v>
      </c>
      <c r="F61" s="708" t="s">
        <v>1341</v>
      </c>
      <c r="G61" s="708"/>
      <c r="H61" s="709"/>
      <c r="I61" s="615"/>
    </row>
    <row r="62" spans="1:9" x14ac:dyDescent="0.25">
      <c r="A62" s="115" t="s">
        <v>116</v>
      </c>
      <c r="B62" s="189">
        <f>B63*0.04</f>
        <v>0.99400800000000011</v>
      </c>
      <c r="C62" s="128" t="str">
        <f t="shared" si="2"/>
        <v>qt</v>
      </c>
      <c r="D62" s="71">
        <f>IF($B$2="US Customary",B62/4,"")</f>
        <v>0.24850200000000003</v>
      </c>
      <c r="E62" s="89" t="str">
        <f>IF($B$2="US Customary","US Gal","")</f>
        <v>US Gal</v>
      </c>
      <c r="F62" s="708" t="s">
        <v>114</v>
      </c>
      <c r="G62" s="708"/>
      <c r="H62" s="709"/>
      <c r="I62" s="615"/>
    </row>
    <row r="63" spans="1:9" x14ac:dyDescent="0.25">
      <c r="A63" s="115" t="s">
        <v>107</v>
      </c>
      <c r="B63" s="189">
        <f>B12+B32+B33+B64</f>
        <v>24.850200000000001</v>
      </c>
      <c r="C63" s="128" t="str">
        <f t="shared" si="1"/>
        <v>qt</v>
      </c>
      <c r="D63" s="71">
        <f>IF($B$2="US Customary",B63/4,"")</f>
        <v>6.2125500000000002</v>
      </c>
      <c r="E63" s="89" t="str">
        <f>IF($B$2="US Customary","US Gal","")</f>
        <v>US Gal</v>
      </c>
      <c r="F63" s="708" t="s">
        <v>1836</v>
      </c>
      <c r="G63" s="708"/>
      <c r="H63" s="709"/>
      <c r="I63" s="615"/>
    </row>
    <row r="64" spans="1:9" ht="13.8" thickBot="1" x14ac:dyDescent="0.3">
      <c r="A64" s="117" t="s">
        <v>1834</v>
      </c>
      <c r="B64" s="250">
        <f>B21*'Hop Calcs'!G17</f>
        <v>0.60020000000000007</v>
      </c>
      <c r="C64" s="251" t="str">
        <f t="shared" si="2"/>
        <v>qt</v>
      </c>
      <c r="D64" s="166">
        <f>IF($B$2="US Customary",B64/4,"")</f>
        <v>0.15005000000000002</v>
      </c>
      <c r="E64" s="121" t="str">
        <f>IF($B$2="US Customary","US Gal","")</f>
        <v>US Gal</v>
      </c>
      <c r="F64" s="706" t="s">
        <v>1837</v>
      </c>
      <c r="G64" s="706"/>
      <c r="H64" s="707"/>
      <c r="I64" s="616"/>
    </row>
    <row r="65" spans="2:5" ht="13.8" thickTop="1" x14ac:dyDescent="0.25">
      <c r="B65" s="108"/>
      <c r="C65" s="108"/>
    </row>
    <row r="66" spans="2:5" x14ac:dyDescent="0.25">
      <c r="B66" s="108"/>
      <c r="C66" s="108"/>
    </row>
    <row r="67" spans="2:5" x14ac:dyDescent="0.25">
      <c r="B67" s="108"/>
      <c r="C67" s="108"/>
    </row>
    <row r="68" spans="2:5" x14ac:dyDescent="0.25">
      <c r="B68"/>
      <c r="C68"/>
      <c r="D68"/>
      <c r="E68"/>
    </row>
    <row r="69" spans="2:5" x14ac:dyDescent="0.25">
      <c r="B69"/>
      <c r="C69"/>
      <c r="D69"/>
      <c r="E69"/>
    </row>
    <row r="70" spans="2:5" x14ac:dyDescent="0.25">
      <c r="B70"/>
      <c r="C70"/>
      <c r="D70"/>
      <c r="E70"/>
    </row>
    <row r="71" spans="2:5" x14ac:dyDescent="0.25">
      <c r="B71"/>
      <c r="C71"/>
      <c r="D71"/>
      <c r="E71"/>
    </row>
    <row r="72" spans="2:5" x14ac:dyDescent="0.25">
      <c r="B72"/>
      <c r="C72"/>
      <c r="D72"/>
      <c r="E72"/>
    </row>
    <row r="73" spans="2:5" x14ac:dyDescent="0.25">
      <c r="B73"/>
      <c r="C73"/>
      <c r="D73"/>
      <c r="E73"/>
    </row>
    <row r="74" spans="2:5" x14ac:dyDescent="0.25">
      <c r="B74"/>
      <c r="C74"/>
      <c r="D74"/>
      <c r="E74"/>
    </row>
  </sheetData>
  <sheetProtection sheet="1" objects="1" scenarios="1"/>
  <dataConsolidate/>
  <mergeCells count="68">
    <mergeCell ref="I38:I39"/>
    <mergeCell ref="F28:H28"/>
    <mergeCell ref="I10:I11"/>
    <mergeCell ref="I23:I24"/>
    <mergeCell ref="F21:H21"/>
    <mergeCell ref="F39:H39"/>
    <mergeCell ref="B2:C2"/>
    <mergeCell ref="F18:H18"/>
    <mergeCell ref="F19:H19"/>
    <mergeCell ref="F20:H20"/>
    <mergeCell ref="A10:H10"/>
    <mergeCell ref="F13:H13"/>
    <mergeCell ref="F14:H14"/>
    <mergeCell ref="F15:H15"/>
    <mergeCell ref="F16:H16"/>
    <mergeCell ref="F17:H17"/>
    <mergeCell ref="F2:H2"/>
    <mergeCell ref="F3:H3"/>
    <mergeCell ref="D13:E14"/>
    <mergeCell ref="D17:E20"/>
    <mergeCell ref="D26:E26"/>
    <mergeCell ref="F5:G5"/>
    <mergeCell ref="F11:H11"/>
    <mergeCell ref="F12:H12"/>
    <mergeCell ref="F27:H27"/>
    <mergeCell ref="C27:E27"/>
    <mergeCell ref="F63:H63"/>
    <mergeCell ref="A23:H23"/>
    <mergeCell ref="F24:H24"/>
    <mergeCell ref="F25:H25"/>
    <mergeCell ref="F26:H26"/>
    <mergeCell ref="F29:H29"/>
    <mergeCell ref="F30:H30"/>
    <mergeCell ref="F31:H31"/>
    <mergeCell ref="F32:H32"/>
    <mergeCell ref="F33:H33"/>
    <mergeCell ref="A38:H38"/>
    <mergeCell ref="D30:E30"/>
    <mergeCell ref="F36:H36"/>
    <mergeCell ref="F40:H40"/>
    <mergeCell ref="C50:E51"/>
    <mergeCell ref="F46:H46"/>
    <mergeCell ref="F49:H49"/>
    <mergeCell ref="F50:H50"/>
    <mergeCell ref="F51:H51"/>
    <mergeCell ref="F48:H48"/>
    <mergeCell ref="F47:H47"/>
    <mergeCell ref="B45:H45"/>
    <mergeCell ref="F44:H44"/>
    <mergeCell ref="B42:H42"/>
    <mergeCell ref="D44:E44"/>
    <mergeCell ref="F43:H43"/>
    <mergeCell ref="F64:H64"/>
    <mergeCell ref="F35:H35"/>
    <mergeCell ref="F34:H34"/>
    <mergeCell ref="D34:E36"/>
    <mergeCell ref="F62:H62"/>
    <mergeCell ref="F58:H58"/>
    <mergeCell ref="F57:H57"/>
    <mergeCell ref="F56:H56"/>
    <mergeCell ref="F61:H61"/>
    <mergeCell ref="B59:H59"/>
    <mergeCell ref="B54:H54"/>
    <mergeCell ref="F60:H60"/>
    <mergeCell ref="F55:H55"/>
    <mergeCell ref="F53:H53"/>
    <mergeCell ref="F52:H52"/>
    <mergeCell ref="C35:C36"/>
  </mergeCells>
  <conditionalFormatting sqref="G7">
    <cfRule type="cellIs" dxfId="38" priority="11" operator="equal">
      <formula>"PASS"</formula>
    </cfRule>
    <cfRule type="cellIs" dxfId="37" priority="12" operator="equal">
      <formula>"FAIL"</formula>
    </cfRule>
  </conditionalFormatting>
  <conditionalFormatting sqref="G6">
    <cfRule type="cellIs" dxfId="36" priority="9" operator="equal">
      <formula>"PASS"</formula>
    </cfRule>
    <cfRule type="cellIs" dxfId="35" priority="10" operator="equal">
      <formula>"FAIL"</formula>
    </cfRule>
  </conditionalFormatting>
  <conditionalFormatting sqref="B25">
    <cfRule type="expression" dxfId="34" priority="6">
      <formula>AND(IF(B47&lt;=B25*B26,FALSE,TRUE),NOT(ISBLANK($B$25)))</formula>
    </cfRule>
  </conditionalFormatting>
  <conditionalFormatting sqref="B29">
    <cfRule type="expression" dxfId="33" priority="5">
      <formula>AND(IF(B60&lt;=(B30*B29),FALSE,TRUE),NOT(ISBLANK(B29)))</formula>
    </cfRule>
  </conditionalFormatting>
  <conditionalFormatting sqref="B28">
    <cfRule type="expression" dxfId="32" priority="1">
      <formula>AND(IF(B27="Fly",TRUE,FALSE),NOT($B$28&gt;0))</formula>
    </cfRule>
    <cfRule type="expression" dxfId="31" priority="2">
      <formula>IF(B27="Fly",FALSE,TRUE)</formula>
    </cfRule>
  </conditionalFormatting>
  <dataValidations count="19">
    <dataValidation type="decimal" operator="lessThan" showInputMessage="1" showErrorMessage="1" sqref="B26 B13" xr:uid="{00000000-0002-0000-0200-000000000000}">
      <formula1>100</formula1>
    </dataValidation>
    <dataValidation showInputMessage="1" showErrorMessage="1" promptTitle="Suggested Values" prompt="Coleman 70 qt: 65 qt_x000a_Grainfather: 32 qt" sqref="B25" xr:uid="{00000000-0002-0000-0200-000001000000}"/>
    <dataValidation type="list" showInputMessage="1" showErrorMessage="1" errorTitle="System of Measure" error="Select from the list" promptTitle="System Units" prompt="Select units system for this spreadsheet." sqref="B2:C2" xr:uid="{00000000-0002-0000-0200-000002000000}">
      <formula1>"US Customary,Metric"</formula1>
    </dataValidation>
    <dataValidation type="list" allowBlank="1" showInputMessage="1" showErrorMessage="1" promptTitle="Units" prompt="Select Units" sqref="C13:C14" xr:uid="{00000000-0002-0000-0200-000003000000}">
      <formula1>"°F,°C"</formula1>
    </dataValidation>
    <dataValidation type="list" showInputMessage="1" showErrorMessage="1" errorTitle="Units" error="Select a unit of measure" promptTitle="Units" prompt="Select unit of measure" sqref="C15:C16" xr:uid="{00000000-0002-0000-0200-000004000000}">
      <formula1>"qt/lb,L/kg"</formula1>
    </dataValidation>
    <dataValidation showInputMessage="1" showErrorMessage="1" errorTitle="Units" error="Select a unit of measure" promptTitle="Units" prompt="Select unit of measure" sqref="C21" xr:uid="{910D14BF-C17C-4154-BF0B-6CB995420526}"/>
    <dataValidation type="list" showInputMessage="1" showErrorMessage="1" sqref="B27" xr:uid="{8CCCB4C1-1144-4B35-81F6-5363537B69D5}">
      <formula1>"Batch,Fly,BIAB"</formula1>
    </dataValidation>
    <dataValidation type="list" operator="lessThan" showInputMessage="1" showErrorMessage="1" sqref="B27" xr:uid="{69992A6F-6BD1-4921-A937-45C52ACB1D55}">
      <formula1>"Batch,Fly"</formula1>
    </dataValidation>
    <dataValidation allowBlank="1" showInputMessage="1" showErrorMessage="1" promptTitle="Suggested Values" prompt="Spike 20G kettle: 5 qt when pumped, 8 qt when gravity drained. Grainfather: 2.25 qt" sqref="B32" xr:uid="{255B9D34-9845-4101-A28B-823854FFEC83}"/>
    <dataValidation allowBlank="1" showInputMessage="1" showErrorMessage="1" promptTitle="Suggested Values" prompt="Coleman 70qt: 1.5 when pumped, 3.5 when gravity drained. Grainfather: 0" sqref="B31" xr:uid="{54049D58-E5DE-422F-87B4-CEC8F0470D16}"/>
    <dataValidation allowBlank="1" showInputMessage="1" showErrorMessage="1" promptTitle="Suggested Values" prompt="2 qt per 6.5 gal carboy" sqref="B33" xr:uid="{4175EB4F-7749-4312-9739-05C71108A121}"/>
    <dataValidation allowBlank="1" showInputMessage="1" showErrorMessage="1" promptTitle="Suggested Values" prompt="Spike 20G: 80 qt_x000a_Grainfather: 32 qt" sqref="B29" xr:uid="{72D02445-CAF9-473C-AF85-C442FEE289FE}"/>
    <dataValidation allowBlank="1" showInputMessage="1" showErrorMessage="1" promptTitle="Suggested Values" prompt="Grainfather: 2 qt/hr. Spike 20 gal kettle: TBD" sqref="B19" xr:uid="{4DE4E253-C9BE-4BBD-BA9F-318F28CFCF32}"/>
    <dataValidation type="decimal" operator="lessThan" showInputMessage="1" showErrorMessage="1" promptTitle="Suggested Values" prompt="Grain bill &gt;80% 2-row pale malt: .5 qt/lb (1.043 Metric)_x000a_Large ratios of kilned/roasted malts (such as Vienna) require a larger value approaching .7 qt/lb" sqref="B16" xr:uid="{FF1DA645-20AF-4D83-9833-F4B159BF4AF2}">
      <formula1>100</formula1>
    </dataValidation>
    <dataValidation type="decimal" operator="lessThan" showInputMessage="1" showErrorMessage="1" promptTitle="Suggested Values" prompt="Typical range: 1.25-1.5 qt/lb (2.6-3.1 L/kg)" sqref="B15" xr:uid="{FA0A5DC3-7014-4E39-A49F-4FB1159C0600}">
      <formula1>100</formula1>
    </dataValidation>
    <dataValidation allowBlank="1" showInputMessage="1" showErrorMessage="1" promptTitle="Mash Temperature" prompt="Typical range: 148-156°F (64-69°C)._x000a_Higher temp promotes a fuller bodied beer. Lower temp promotes a lighter bodied beer." sqref="B14" xr:uid="{92D4475F-C9A4-433A-B92D-596C2DEB4063}"/>
    <dataValidation type="decimal" operator="lessThan" showInputMessage="1" showErrorMessage="1" promptTitle="Extract Efficiency" prompt="65-80% for batch sparging &amp; BIAB._x000a_75-90% for fly sparging." sqref="B17" xr:uid="{E3DBD657-59E3-4410-8557-5E632ED7E919}">
      <formula1>100</formula1>
    </dataValidation>
    <dataValidation allowBlank="1" showInputMessage="1" showErrorMessage="1" promptTitle="Hop Absorption Rate" prompt="May vary. If not known, try .1 qt/oz." sqref="B21" xr:uid="{2E091B22-6DC8-4421-A10C-35C16940C7C9}"/>
    <dataValidation allowBlank="1" showInputMessage="1" showErrorMessage="1" promptTitle="Hydrometer Calibration Temp" prompt="Typical US Value: 60 deg F_x000a_Check your hydrometer." sqref="B34" xr:uid="{3EAEFCF7-DE5F-4133-81D0-A74F50E36DA3}"/>
  </dataValidations>
  <hyperlinks>
    <hyperlink ref="F3" r:id="rId1" display="Brewing Recipe Calculator Template Update: Overview, Deep Dive, &amp; Walkthrough Example" xr:uid="{00000000-0004-0000-0200-000000000000}"/>
    <hyperlink ref="F3:H3" r:id="rId2" display="Brewing Recipe Template Playlist" xr:uid="{00000000-0004-0000-0200-000001000000}"/>
  </hyperlinks>
  <pageMargins left="0.7" right="0.7" top="0.75" bottom="0.75" header="0.3" footer="0.3"/>
  <pageSetup scale="66"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M21"/>
  <sheetViews>
    <sheetView topLeftCell="B1" workbookViewId="0">
      <selection activeCell="D10" sqref="D10:E10"/>
    </sheetView>
  </sheetViews>
  <sheetFormatPr defaultRowHeight="13.2" x14ac:dyDescent="0.25"/>
  <cols>
    <col min="1" max="1" width="5.77734375" customWidth="1"/>
    <col min="2" max="2" width="51.88671875" customWidth="1"/>
    <col min="3" max="3" width="7.77734375" bestFit="1" customWidth="1"/>
    <col min="4" max="4" width="7.77734375" customWidth="1"/>
    <col min="5" max="5" width="7.21875" customWidth="1"/>
    <col min="6" max="6" width="9.5546875" customWidth="1"/>
    <col min="7" max="7" width="6.44140625" customWidth="1"/>
    <col min="8" max="8" width="8.6640625" customWidth="1"/>
    <col min="9" max="9" width="7.88671875" customWidth="1"/>
    <col min="10" max="10" width="9" customWidth="1"/>
    <col min="11" max="11" width="9.44140625" customWidth="1"/>
    <col min="12" max="12" width="9.33203125" customWidth="1"/>
    <col min="14" max="14" width="31.5546875" customWidth="1"/>
  </cols>
  <sheetData>
    <row r="1" spans="2:13" x14ac:dyDescent="0.25">
      <c r="B1" s="30"/>
      <c r="C1" s="30"/>
      <c r="D1" s="30"/>
      <c r="F1" s="31"/>
      <c r="G1" s="31"/>
      <c r="H1" s="30"/>
      <c r="I1" s="30"/>
      <c r="J1" s="30"/>
      <c r="K1" s="30"/>
    </row>
    <row r="2" spans="2:13" x14ac:dyDescent="0.25">
      <c r="B2" s="766" t="s">
        <v>136</v>
      </c>
      <c r="C2" s="767"/>
      <c r="D2" s="767"/>
      <c r="E2" s="767"/>
      <c r="F2" s="767"/>
      <c r="G2" s="767"/>
      <c r="H2" s="767"/>
      <c r="I2" s="767"/>
      <c r="J2" s="767"/>
      <c r="K2" s="767"/>
      <c r="L2" s="767"/>
      <c r="M2" s="141"/>
    </row>
    <row r="3" spans="2:13" s="27" customFormat="1" ht="26.4" customHeight="1" x14ac:dyDescent="0.25">
      <c r="B3" s="764" t="s">
        <v>775</v>
      </c>
      <c r="C3" s="64" t="s">
        <v>144</v>
      </c>
      <c r="D3" s="768" t="s">
        <v>95</v>
      </c>
      <c r="E3" s="764" t="s">
        <v>66</v>
      </c>
      <c r="F3" s="764" t="s">
        <v>777</v>
      </c>
      <c r="G3" s="64" t="s">
        <v>1217</v>
      </c>
      <c r="H3" s="764" t="s">
        <v>1193</v>
      </c>
      <c r="I3" s="764" t="s">
        <v>97</v>
      </c>
      <c r="J3" s="764" t="s">
        <v>1215</v>
      </c>
      <c r="K3" s="764" t="s">
        <v>1216</v>
      </c>
      <c r="L3" s="136" t="s">
        <v>1351</v>
      </c>
      <c r="M3" s="142"/>
    </row>
    <row r="4" spans="2:13" s="27" customFormat="1" x14ac:dyDescent="0.25">
      <c r="B4" s="765"/>
      <c r="C4" s="66" t="str">
        <f>'Brewhouse Setup &amp; Calcs'!$B$6</f>
        <v>lb</v>
      </c>
      <c r="D4" s="769"/>
      <c r="E4" s="765"/>
      <c r="F4" s="765"/>
      <c r="G4" s="65" t="s">
        <v>1192</v>
      </c>
      <c r="H4" s="765"/>
      <c r="I4" s="765"/>
      <c r="J4" s="765"/>
      <c r="K4" s="765"/>
      <c r="L4" s="139" t="s">
        <v>1352</v>
      </c>
      <c r="M4" s="142"/>
    </row>
    <row r="5" spans="2:13" x14ac:dyDescent="0.25">
      <c r="B5" s="46" t="s">
        <v>1499</v>
      </c>
      <c r="C5" s="42">
        <v>10.25</v>
      </c>
      <c r="D5" s="84">
        <f t="shared" ref="D5:D13" si="0">IF(ISBLANK(C5),"",C5/$C$16)</f>
        <v>0.74545454545454548</v>
      </c>
      <c r="E5" s="85" t="str">
        <f>IF(ISBLANK(B5),"",VLOOKUP(B5,grains_table[#All],3))</f>
        <v>Grain</v>
      </c>
      <c r="F5" s="82">
        <f>IF(ISBLANK(B5),"",VLOOKUP(B5,grains_table[#All],6,FALSE))</f>
        <v>1.03743334</v>
      </c>
      <c r="G5" s="86">
        <f t="shared" ref="G5:G13" si="1">IF(ISBLANK(B5),"",(F5-1)*1000)</f>
        <v>37.43333999999998</v>
      </c>
      <c r="H5" s="87">
        <f>IF(ISBLANK(B5),"",IF('Brewhouse Setup &amp; Calcs'!$B$2="Metric",2.20462262185*G5*C5,G5*C5))</f>
        <v>383.69173499999977</v>
      </c>
      <c r="I5" s="88">
        <f>IF(ISBLANK(B5),"",IF(E5="Grain",'Brewhouse Setup &amp; Calcs'!$B$17,IF(E5="Sugar",1,)))</f>
        <v>0.78600000000000003</v>
      </c>
      <c r="J5" s="87">
        <f>IF(ISBLANK(B5),"",IF('Brewhouse Setup &amp; Calcs'!$B$2="Metric",H5*I5/(0.264172*'Brewhouse Setup &amp; Calcs'!$B$60),H5*I5/'Brewhouse Setup &amp; Calcs'!$B$60*4))</f>
        <v>42.559905531316986</v>
      </c>
      <c r="K5" s="87">
        <f>IF(ISBLANK(B5),"",IF('Brewhouse Setup &amp; Calcs'!$B$2="Metric",H5*I5/(0.264172*'Brewhouse Setup &amp; Calcs'!$B$63),H5*I5/'Brewhouse Setup &amp; Calcs'!$B$63*4))</f>
        <v>48.543947929594097</v>
      </c>
      <c r="L5" s="87">
        <f>IF(ISBLANK(C5),"",(IF('Brewhouse Setup &amp; Calcs'!$B$2="US Customary",1.4922*((VLOOKUP(B5,grains_table[#All],7,FALSE)*C5)/('Brewhouse Setup &amp; Calcs'!$B$63/4))^0.6859,1.4922*((VLOOKUP(B5,grains_table[#All],7,FALSE)*C5*2.204623)/('Brewhouse Setup &amp; Calcs'!$B$63*1.056688/4))^0.6859)))</f>
        <v>3.1482566094165234</v>
      </c>
    </row>
    <row r="6" spans="2:13" x14ac:dyDescent="0.25">
      <c r="B6" s="68" t="s">
        <v>1840</v>
      </c>
      <c r="C6" s="42">
        <v>3</v>
      </c>
      <c r="D6" s="84">
        <f t="shared" si="0"/>
        <v>0.21818181818181817</v>
      </c>
      <c r="E6" s="85" t="str">
        <f>IF(ISBLANK(B6),"",VLOOKUP(B6,grains_table[#All],3))</f>
        <v>Grain</v>
      </c>
      <c r="F6" s="82">
        <f>IF(ISBLANK(B6),"",VLOOKUP(B6,grains_table[#All],6,FALSE))</f>
        <v>1.03650906</v>
      </c>
      <c r="G6" s="86">
        <f t="shared" si="1"/>
        <v>36.509059999999984</v>
      </c>
      <c r="H6" s="87">
        <f>IF(ISBLANK(B6),"",IF('Brewhouse Setup &amp; Calcs'!$B$2="Metric",2.20462262185*G6*C6,G6*C6))</f>
        <v>109.52717999999996</v>
      </c>
      <c r="I6" s="88">
        <f>IF(ISBLANK(B6),"",IF(E6="Grain",'Brewhouse Setup &amp; Calcs'!$B$17,IF(E6="Sugar",1,)))</f>
        <v>0.78600000000000003</v>
      </c>
      <c r="J6" s="87">
        <f>IF(ISBLANK(B6),"",IF('Brewhouse Setup &amp; Calcs'!$B$2="Metric",H6*I6/(0.264172*'Brewhouse Setup &amp; Calcs'!$B$60),H6*I6/'Brewhouse Setup &amp; Calcs'!$B$60*4))</f>
        <v>12.148988390150109</v>
      </c>
      <c r="K6" s="87">
        <f>IF(ISBLANK(B6),"",IF('Brewhouse Setup &amp; Calcs'!$B$2="Metric",H6*I6/(0.264172*'Brewhouse Setup &amp; Calcs'!$B$63),H6*I6/'Brewhouse Setup &amp; Calcs'!$B$63*4))</f>
        <v>13.857170321365617</v>
      </c>
      <c r="L6" s="87">
        <f>IF(ISBLANK(C6),"",(IF('Brewhouse Setup &amp; Calcs'!$B$2="US Customary",1.4922*((VLOOKUP(B6,grains_table[#All],7,FALSE)*C6)/('Brewhouse Setup &amp; Calcs'!$B$63/4))^0.6859,1.4922*((VLOOKUP(B6,grains_table[#All],7,FALSE)*C6*2.204623)/('Brewhouse Setup &amp; Calcs'!$B$63*1.056688/4))^0.6859)))</f>
        <v>2.1387348860265716</v>
      </c>
    </row>
    <row r="7" spans="2:13" x14ac:dyDescent="0.25">
      <c r="B7" s="68" t="s">
        <v>1471</v>
      </c>
      <c r="C7" s="42">
        <v>0.5</v>
      </c>
      <c r="D7" s="84">
        <f t="shared" si="0"/>
        <v>3.6363636363636362E-2</v>
      </c>
      <c r="E7" s="85" t="str">
        <f>IF(ISBLANK(B7),"",VLOOKUP(B7,grains_table[#All],3))</f>
        <v>Grain</v>
      </c>
      <c r="F7" s="82">
        <f>IF(ISBLANK(B7),"",VLOOKUP(B7,grains_table[#All],6,FALSE))</f>
        <v>1.03558478</v>
      </c>
      <c r="G7" s="86">
        <f t="shared" si="1"/>
        <v>35.584779999999981</v>
      </c>
      <c r="H7" s="87">
        <f>IF(ISBLANK(B7),"",IF('Brewhouse Setup &amp; Calcs'!$B$2="Metric",2.20462262185*G7*C7,G7*C7))</f>
        <v>17.79238999999999</v>
      </c>
      <c r="I7" s="88">
        <f>IF(ISBLANK(B7),"",IF(E7="Grain",'Brewhouse Setup &amp; Calcs'!$B$17,IF(E7="Sugar",1,)))</f>
        <v>0.78600000000000003</v>
      </c>
      <c r="J7" s="87">
        <f>IF(ISBLANK(B7),"",IF('Brewhouse Setup &amp; Calcs'!$B$2="Metric",H7*I7/(0.264172*'Brewhouse Setup &amp; Calcs'!$B$60),H7*I7/'Brewhouse Setup &amp; Calcs'!$B$60*4))</f>
        <v>1.9735698439695324</v>
      </c>
      <c r="K7" s="87">
        <f>IF(ISBLANK(B7),"",IF('Brewhouse Setup &amp; Calcs'!$B$2="Metric",H7*I7/(0.264172*'Brewhouse Setup &amp; Calcs'!$B$63),H7*I7/'Brewhouse Setup &amp; Calcs'!$B$63*4))</f>
        <v>2.2510593138083386</v>
      </c>
      <c r="L7" s="87">
        <f>IF(ISBLANK(C7),"",(IF('Brewhouse Setup &amp; Calcs'!$B$2="US Customary",1.4922*((VLOOKUP(B7,grains_table[#All],7,FALSE)*C7)/('Brewhouse Setup &amp; Calcs'!$B$63/4))^0.6859,1.4922*((VLOOKUP(B7,grains_table[#All],7,FALSE)*C7*2.204623)/('Brewhouse Setup &amp; Calcs'!$B$63*1.056688/4))^0.6859)))</f>
        <v>3.3273592022196872</v>
      </c>
    </row>
    <row r="8" spans="2:13" x14ac:dyDescent="0.25">
      <c r="B8" s="68"/>
      <c r="C8" s="42"/>
      <c r="D8" s="84" t="str">
        <f t="shared" si="0"/>
        <v/>
      </c>
      <c r="E8" s="85" t="str">
        <f>IF(ISBLANK(B8),"",VLOOKUP(B8,grains_table[#All],3))</f>
        <v/>
      </c>
      <c r="F8" s="82" t="str">
        <f>IF(ISBLANK(B8),"",VLOOKUP(B8,grains_table[#All],6,FALSE))</f>
        <v/>
      </c>
      <c r="G8" s="86" t="str">
        <f t="shared" si="1"/>
        <v/>
      </c>
      <c r="H8" s="87" t="str">
        <f>IF(ISBLANK(B8),"",IF('Brewhouse Setup &amp; Calcs'!$B$2="Metric",2.20462262185*G8*C8,G8*C8))</f>
        <v/>
      </c>
      <c r="I8" s="88" t="str">
        <f>IF(ISBLANK(B8),"",IF(E8="Grain",'Brewhouse Setup &amp; Calcs'!$B$17,IF(E8="Sugar",1,)))</f>
        <v/>
      </c>
      <c r="J8" s="87" t="str">
        <f>IF(ISBLANK(B8),"",IF('Brewhouse Setup &amp; Calcs'!$B$2="Metric",H8*I8/(0.264172*'Brewhouse Setup &amp; Calcs'!$B$60),H8*I8/'Brewhouse Setup &amp; Calcs'!$B$60*4))</f>
        <v/>
      </c>
      <c r="K8" s="87" t="str">
        <f>IF(ISBLANK(B8),"",IF('Brewhouse Setup &amp; Calcs'!$B$2="Metric",H8*I8/(0.264172*'Brewhouse Setup &amp; Calcs'!$B$63),H8*I8/'Brewhouse Setup &amp; Calcs'!$B$63*4))</f>
        <v/>
      </c>
      <c r="L8" s="87" t="str">
        <f>IF(ISBLANK(C8),"",(IF('Brewhouse Setup &amp; Calcs'!$B$2="US Customary",1.4922*((VLOOKUP(B8,grains_table[#All],7,FALSE)*C8)/('Brewhouse Setup &amp; Calcs'!$B$63/4))^0.6859,1.4922*((VLOOKUP(B8,grains_table[#All],7,FALSE)*C8*2.204623)/('Brewhouse Setup &amp; Calcs'!$B$63*1.056688/4))^0.6859)))</f>
        <v/>
      </c>
    </row>
    <row r="9" spans="2:13" x14ac:dyDescent="0.25">
      <c r="B9" s="68"/>
      <c r="C9" s="42"/>
      <c r="D9" s="84" t="str">
        <f t="shared" si="0"/>
        <v/>
      </c>
      <c r="E9" s="85" t="str">
        <f>IF(ISBLANK(B9),"",VLOOKUP(B9,grains_table[#All],3))</f>
        <v/>
      </c>
      <c r="F9" s="82" t="str">
        <f>IF(ISBLANK(B9),"",VLOOKUP(B9,grains_table[#All],6,FALSE))</f>
        <v/>
      </c>
      <c r="G9" s="86" t="str">
        <f t="shared" si="1"/>
        <v/>
      </c>
      <c r="H9" s="87" t="str">
        <f>IF(ISBLANK(B9),"",IF('Brewhouse Setup &amp; Calcs'!$B$2="Metric",2.20462262185*G9*C9,G9*C9))</f>
        <v/>
      </c>
      <c r="I9" s="88" t="str">
        <f>IF(ISBLANK(B9),"",IF(E9="Grain",'Brewhouse Setup &amp; Calcs'!$B$17,IF(E9="Sugar",1,)))</f>
        <v/>
      </c>
      <c r="J9" s="87" t="str">
        <f>IF(ISBLANK(B9),"",IF('Brewhouse Setup &amp; Calcs'!$B$2="Metric",H9*I9/(0.264172*'Brewhouse Setup &amp; Calcs'!$B$60),H9*I9/'Brewhouse Setup &amp; Calcs'!$B$60*4))</f>
        <v/>
      </c>
      <c r="K9" s="87" t="str">
        <f>IF(ISBLANK(B9),"",IF('Brewhouse Setup &amp; Calcs'!$B$2="Metric",H9*I9/(0.264172*'Brewhouse Setup &amp; Calcs'!$B$63),H9*I9/'Brewhouse Setup &amp; Calcs'!$B$63*4))</f>
        <v/>
      </c>
      <c r="L9" s="87" t="str">
        <f>IF(ISBLANK(C9),"",(IF('Brewhouse Setup &amp; Calcs'!$B$2="US Customary",1.4922*((VLOOKUP(B9,grains_table[#All],7,FALSE)*C9)/('Brewhouse Setup &amp; Calcs'!$B$63/4))^0.6859,1.4922*((VLOOKUP(B9,grains_table[#All],7,FALSE)*C9*2.204623)/('Brewhouse Setup &amp; Calcs'!$B$63*1.056688/4))^0.6859)))</f>
        <v/>
      </c>
    </row>
    <row r="10" spans="2:13" x14ac:dyDescent="0.25">
      <c r="B10" s="68"/>
      <c r="C10" s="42"/>
      <c r="D10" s="84" t="str">
        <f t="shared" si="0"/>
        <v/>
      </c>
      <c r="E10" s="85" t="str">
        <f>IF(ISBLANK(B10),"",VLOOKUP(B10,grains_table[#All],3))</f>
        <v/>
      </c>
      <c r="F10" s="82" t="str">
        <f>IF(ISBLANK(B10),"",VLOOKUP(B10,grains_table[#All],6,FALSE))</f>
        <v/>
      </c>
      <c r="G10" s="86" t="str">
        <f t="shared" si="1"/>
        <v/>
      </c>
      <c r="H10" s="87" t="str">
        <f>IF(ISBLANK(B10),"",IF('Brewhouse Setup &amp; Calcs'!$B$2="Metric",2.20462262185*G10*C10,G10*C10))</f>
        <v/>
      </c>
      <c r="I10" s="88" t="str">
        <f>IF(ISBLANK(B10),"",IF(E10="Grain",'Brewhouse Setup &amp; Calcs'!$B$17,IF(E10="Sugar",1,)))</f>
        <v/>
      </c>
      <c r="J10" s="87" t="str">
        <f>IF(ISBLANK(B10),"",IF('Brewhouse Setup &amp; Calcs'!$B$2="Metric",H10*I10/(0.264172*'Brewhouse Setup &amp; Calcs'!$B$60),H10*I10/'Brewhouse Setup &amp; Calcs'!$B$60*4))</f>
        <v/>
      </c>
      <c r="K10" s="87" t="str">
        <f>IF(ISBLANK(B10),"",IF('Brewhouse Setup &amp; Calcs'!$B$2="Metric",H10*I10/(0.264172*'Brewhouse Setup &amp; Calcs'!$B$63),H10*I10/'Brewhouse Setup &amp; Calcs'!$B$63*4))</f>
        <v/>
      </c>
      <c r="L10" s="87" t="str">
        <f>IF(ISBLANK(C10),"",(IF('Brewhouse Setup &amp; Calcs'!$B$2="US Customary",1.4922*((VLOOKUP(B10,grains_table[#All],7,FALSE)*C10)/('Brewhouse Setup &amp; Calcs'!$B$63/4))^0.6859,1.4922*((VLOOKUP(B10,grains_table[#All],7,FALSE)*C10*2.204623)/('Brewhouse Setup &amp; Calcs'!$B$63*1.056688/4))^0.6859)))</f>
        <v/>
      </c>
    </row>
    <row r="11" spans="2:13" x14ac:dyDescent="0.25">
      <c r="B11" s="68"/>
      <c r="C11" s="42"/>
      <c r="D11" s="84" t="str">
        <f t="shared" si="0"/>
        <v/>
      </c>
      <c r="E11" s="85" t="str">
        <f>IF(ISBLANK(B11),"",VLOOKUP(B11,grains_table[#All],3))</f>
        <v/>
      </c>
      <c r="F11" s="82" t="str">
        <f>IF(ISBLANK(B11),"",VLOOKUP(B11,grains_table[#All],6,FALSE))</f>
        <v/>
      </c>
      <c r="G11" s="86" t="str">
        <f t="shared" si="1"/>
        <v/>
      </c>
      <c r="H11" s="87" t="str">
        <f>IF(ISBLANK(B11),"",IF('Brewhouse Setup &amp; Calcs'!$B$2="Metric",2.20462262185*G11*C11,G11*C11))</f>
        <v/>
      </c>
      <c r="I11" s="88" t="str">
        <f>IF(ISBLANK(B11),"",IF(E11="Grain",'Brewhouse Setup &amp; Calcs'!$B$17,IF(E11="Sugar",1,)))</f>
        <v/>
      </c>
      <c r="J11" s="87" t="str">
        <f>IF(ISBLANK(B11),"",IF('Brewhouse Setup &amp; Calcs'!$B$2="Metric",H11*I11/(0.264172*'Brewhouse Setup &amp; Calcs'!$B$60),H11*I11/'Brewhouse Setup &amp; Calcs'!$B$60*4))</f>
        <v/>
      </c>
      <c r="K11" s="87" t="str">
        <f>IF(ISBLANK(B11),"",IF('Brewhouse Setup &amp; Calcs'!$B$2="Metric",H11*I11/(0.264172*'Brewhouse Setup &amp; Calcs'!$B$63),H11*I11/'Brewhouse Setup &amp; Calcs'!$B$63*4))</f>
        <v/>
      </c>
      <c r="L11" s="87" t="str">
        <f>IF(ISBLANK(C11),"",(IF('Brewhouse Setup &amp; Calcs'!$B$2="US Customary",1.4922*((VLOOKUP(B11,grains_table[#All],7,FALSE)*C11)/('Brewhouse Setup &amp; Calcs'!$B$63/4))^0.6859,1.4922*((VLOOKUP(B11,grains_table[#All],7,FALSE)*C11*2.204623)/('Brewhouse Setup &amp; Calcs'!$B$63*1.056688/4))^0.6859)))</f>
        <v/>
      </c>
    </row>
    <row r="12" spans="2:13" x14ac:dyDescent="0.25">
      <c r="B12" s="68"/>
      <c r="C12" s="42"/>
      <c r="D12" s="84" t="str">
        <f t="shared" si="0"/>
        <v/>
      </c>
      <c r="E12" s="85" t="str">
        <f>IF(ISBLANK(B12),"",VLOOKUP(B12,grains_table[#All],3))</f>
        <v/>
      </c>
      <c r="F12" s="82" t="str">
        <f>IF(ISBLANK(B12),"",VLOOKUP(B12,grains_table[#All],6,FALSE))</f>
        <v/>
      </c>
      <c r="G12" s="86" t="str">
        <f t="shared" si="1"/>
        <v/>
      </c>
      <c r="H12" s="87" t="str">
        <f>IF(ISBLANK(B12),"",IF('Brewhouse Setup &amp; Calcs'!$B$2="Metric",2.20462262185*G12*C12,G12*C12))</f>
        <v/>
      </c>
      <c r="I12" s="88" t="str">
        <f>IF(ISBLANK(B12),"",IF(E12="Grain",'Brewhouse Setup &amp; Calcs'!$B$17,IF(E12="Sugar",1,)))</f>
        <v/>
      </c>
      <c r="J12" s="87" t="str">
        <f>IF(ISBLANK(B12),"",IF('Brewhouse Setup &amp; Calcs'!$B$2="Metric",H12*I12/(0.264172*'Brewhouse Setup &amp; Calcs'!$B$60),H12*I12/'Brewhouse Setup &amp; Calcs'!$B$60*4))</f>
        <v/>
      </c>
      <c r="K12" s="87" t="str">
        <f>IF(ISBLANK(B12),"",IF('Brewhouse Setup &amp; Calcs'!$B$2="Metric",H12*I12/(0.264172*'Brewhouse Setup &amp; Calcs'!$B$63),H12*I12/'Brewhouse Setup &amp; Calcs'!$B$63*4))</f>
        <v/>
      </c>
      <c r="L12" s="87" t="str">
        <f>IF(ISBLANK(C12),"",(IF('Brewhouse Setup &amp; Calcs'!$B$2="US Customary",1.4922*((VLOOKUP(B12,grains_table[#All],7,FALSE)*C12)/('Brewhouse Setup &amp; Calcs'!$B$63/4))^0.6859,1.4922*((VLOOKUP(B12,grains_table[#All],7,FALSE)*C12*2.204623)/('Brewhouse Setup &amp; Calcs'!$B$63*1.056688/4))^0.6859)))</f>
        <v/>
      </c>
    </row>
    <row r="13" spans="2:13" x14ac:dyDescent="0.25">
      <c r="B13" s="68"/>
      <c r="C13" s="42"/>
      <c r="D13" s="84" t="str">
        <f t="shared" si="0"/>
        <v/>
      </c>
      <c r="E13" s="85" t="str">
        <f>IF(ISBLANK(B13),"",VLOOKUP(B13,grains_table[#All],3))</f>
        <v/>
      </c>
      <c r="F13" s="82" t="str">
        <f>IF(ISBLANK(B13),"",VLOOKUP(B13,grains_table[#All],6,FALSE))</f>
        <v/>
      </c>
      <c r="G13" s="86" t="str">
        <f t="shared" si="1"/>
        <v/>
      </c>
      <c r="H13" s="87" t="str">
        <f>IF(ISBLANK(B13),"",IF('Brewhouse Setup &amp; Calcs'!$B$2="Metric",2.20462262185*G13*C13,G13*C13))</f>
        <v/>
      </c>
      <c r="I13" s="88" t="str">
        <f>IF(ISBLANK(B13),"",IF(E13="Grain",'Brewhouse Setup &amp; Calcs'!$B$17,IF(E13="Sugar",1,)))</f>
        <v/>
      </c>
      <c r="J13" s="87" t="str">
        <f>IF(ISBLANK(B13),"",IF('Brewhouse Setup &amp; Calcs'!$B$2="Metric",H13*I13/(0.264172*'Brewhouse Setup &amp; Calcs'!$B$60),H13*I13/'Brewhouse Setup &amp; Calcs'!$B$60*4))</f>
        <v/>
      </c>
      <c r="K13" s="87" t="str">
        <f>IF(ISBLANK(B13),"",IF('Brewhouse Setup &amp; Calcs'!$B$2="Metric",H13*I13/(0.264172*'Brewhouse Setup &amp; Calcs'!$B$63),H13*I13/'Brewhouse Setup &amp; Calcs'!$B$63*4))</f>
        <v/>
      </c>
      <c r="L13" s="87" t="str">
        <f>IF(ISBLANK(C13),"",(IF('Brewhouse Setup &amp; Calcs'!$B$2="US Customary",1.4922*((VLOOKUP(B13,grains_table[#All],7,FALSE)*C13)/('Brewhouse Setup &amp; Calcs'!$B$63/4))^0.6859,1.4922*((VLOOKUP(B13,grains_table[#All],7,FALSE)*C13*2.204623)/('Brewhouse Setup &amp; Calcs'!$B$63*1.056688/4))^0.6859)))</f>
        <v/>
      </c>
    </row>
    <row r="14" spans="2:13" x14ac:dyDescent="0.25">
      <c r="B14" s="24" t="s">
        <v>99</v>
      </c>
      <c r="C14" s="58">
        <f>SUMIF($E$5:$E$13,"Grain",$C$5:$C$13)</f>
        <v>13.75</v>
      </c>
      <c r="D14" s="74">
        <f>SUMIF($E$5:$E$13,"Grain",$D$5:$D$13)</f>
        <v>1</v>
      </c>
      <c r="G14" s="50" t="s">
        <v>1187</v>
      </c>
      <c r="H14" s="72">
        <f>SUMIF($E$5:$E$13,"Grain",$H$5:$H$13)</f>
        <v>511.01130499999971</v>
      </c>
      <c r="I14" s="24"/>
      <c r="J14" s="72">
        <f>SUMIF($E$5:$E$13,"Grain",$J$5:$J$13)</f>
        <v>56.68246376543663</v>
      </c>
      <c r="K14" s="72">
        <f>SUMIF($E$5:$E$13,"Grain",$K$5:$K$13)</f>
        <v>64.652177564768053</v>
      </c>
    </row>
    <row r="15" spans="2:13" x14ac:dyDescent="0.25">
      <c r="B15" s="50" t="s">
        <v>931</v>
      </c>
      <c r="C15" s="58">
        <f>SUMIF($E$5:$E$13,"Sugar",$C$5:$C$13)</f>
        <v>0</v>
      </c>
      <c r="D15" s="74">
        <f>SUMIF($E$5:$E$13,"Sugar",$D$5:$D$13)</f>
        <v>0</v>
      </c>
      <c r="G15" s="50" t="s">
        <v>1188</v>
      </c>
      <c r="H15" s="72">
        <f>SUMIF($E$5:$E$13,"Sugar",$H$5:$H$13)</f>
        <v>0</v>
      </c>
      <c r="I15" s="24"/>
      <c r="J15" s="72">
        <f>SUMIF($E$5:$E$13,"Sugar",$J$5:$J$13)</f>
        <v>0</v>
      </c>
      <c r="K15" s="72">
        <f>SUMIF($E$5:$E$13,"Sugar",$K$5:$K$13)</f>
        <v>0</v>
      </c>
    </row>
    <row r="16" spans="2:13" x14ac:dyDescent="0.25">
      <c r="B16" s="45" t="s">
        <v>137</v>
      </c>
      <c r="C16" s="58">
        <f>C14+C15</f>
        <v>13.75</v>
      </c>
      <c r="D16" s="74">
        <f>D14+D15</f>
        <v>1</v>
      </c>
      <c r="G16" s="50" t="s">
        <v>137</v>
      </c>
      <c r="H16" s="72">
        <f>SUM(H5:H13)</f>
        <v>511.01130499999971</v>
      </c>
      <c r="J16" s="72">
        <f>SUM(J5:J13)</f>
        <v>56.68246376543663</v>
      </c>
      <c r="K16" s="72">
        <f>SUM(K5:K13)</f>
        <v>64.652177564768053</v>
      </c>
    </row>
    <row r="17" spans="5:12" x14ac:dyDescent="0.25">
      <c r="L17" s="51" t="s">
        <v>1353</v>
      </c>
    </row>
    <row r="18" spans="5:12" x14ac:dyDescent="0.25">
      <c r="I18" s="45" t="s">
        <v>138</v>
      </c>
      <c r="J18" s="34">
        <f>SUMIF($E$5:$E$13,"Grain",$J$5:$J$13)*(IF(H4="PKL",2.205,1))/1000+1</f>
        <v>1.0566824637654366</v>
      </c>
      <c r="L18" s="87">
        <f>SUM(L5:L13)</f>
        <v>8.6143506976627826</v>
      </c>
    </row>
    <row r="19" spans="5:12" x14ac:dyDescent="0.25">
      <c r="I19" s="45" t="s">
        <v>1189</v>
      </c>
      <c r="J19" s="73">
        <f>SUMIF($E$5:$E$13,"Sugar",$J$5:$J$13)/1000+1</f>
        <v>1</v>
      </c>
    </row>
    <row r="20" spans="5:12" x14ac:dyDescent="0.25">
      <c r="I20" s="45" t="s">
        <v>140</v>
      </c>
      <c r="J20" s="73">
        <f>SUM(J5:J13)/1000+1</f>
        <v>1.0566824637654366</v>
      </c>
      <c r="K20" s="34">
        <f>SUM(K5:K13)/1000+1</f>
        <v>1.0646521775647682</v>
      </c>
    </row>
    <row r="21" spans="5:12" x14ac:dyDescent="0.25">
      <c r="E21" s="23"/>
    </row>
  </sheetData>
  <sheetProtection sheet="1" objects="1" scenarios="1"/>
  <mergeCells count="9">
    <mergeCell ref="K3:K4"/>
    <mergeCell ref="H3:H4"/>
    <mergeCell ref="F3:F4"/>
    <mergeCell ref="B2:L2"/>
    <mergeCell ref="B3:B4"/>
    <mergeCell ref="D3:D4"/>
    <mergeCell ref="E3:E4"/>
    <mergeCell ref="I3:I4"/>
    <mergeCell ref="J3:J4"/>
  </mergeCells>
  <dataValidations count="1">
    <dataValidation type="list" showInputMessage="1" showErrorMessage="1" sqref="E5:E13" xr:uid="{00000000-0002-0000-0300-000000000000}">
      <formula1>"Grain,Sugar"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'Grain &amp; Sugar List'!$A$3:$A$204</xm:f>
          </x14:formula1>
          <xm:sqref>B5:B13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21"/>
  <sheetViews>
    <sheetView workbookViewId="0">
      <selection activeCell="E18" sqref="E18"/>
    </sheetView>
  </sheetViews>
  <sheetFormatPr defaultRowHeight="13.2" x14ac:dyDescent="0.25"/>
  <cols>
    <col min="1" max="1" width="10.21875" bestFit="1" customWidth="1"/>
    <col min="2" max="2" width="7.5546875" customWidth="1"/>
    <col min="3" max="3" width="10.6640625" customWidth="1"/>
    <col min="4" max="4" width="7.21875" customWidth="1"/>
    <col min="5" max="5" width="36.33203125" customWidth="1"/>
    <col min="6" max="6" width="6.5546875" style="29" customWidth="1"/>
    <col min="7" max="7" width="8.33203125" customWidth="1"/>
    <col min="8" max="8" width="7.21875" customWidth="1"/>
    <col min="9" max="9" width="7.88671875" customWidth="1"/>
    <col min="10" max="10" width="8" customWidth="1"/>
    <col min="11" max="11" width="8.77734375" customWidth="1"/>
  </cols>
  <sheetData>
    <row r="1" spans="1:12" x14ac:dyDescent="0.25">
      <c r="C1" s="755" t="s">
        <v>117</v>
      </c>
      <c r="D1" s="755"/>
      <c r="E1" s="755"/>
      <c r="F1" s="755"/>
      <c r="G1" s="755"/>
      <c r="H1" s="755"/>
      <c r="I1" s="755"/>
      <c r="J1" s="755"/>
      <c r="K1" s="755"/>
    </row>
    <row r="2" spans="1:12" x14ac:dyDescent="0.25">
      <c r="C2" s="33" t="s">
        <v>131</v>
      </c>
      <c r="D2" s="611">
        <v>0.1</v>
      </c>
      <c r="E2" s="24" t="s">
        <v>120</v>
      </c>
      <c r="F2" s="43">
        <v>0</v>
      </c>
      <c r="H2" s="610" t="s">
        <v>118</v>
      </c>
      <c r="I2" s="611">
        <v>0.1</v>
      </c>
      <c r="J2" s="610" t="s">
        <v>119</v>
      </c>
      <c r="K2" s="611">
        <v>0.05</v>
      </c>
    </row>
    <row r="3" spans="1:12" x14ac:dyDescent="0.25">
      <c r="C3" s="612" t="s">
        <v>2036</v>
      </c>
      <c r="D3" s="611">
        <v>0.1</v>
      </c>
    </row>
    <row r="4" spans="1:12" x14ac:dyDescent="0.25">
      <c r="C4" s="755" t="s">
        <v>94</v>
      </c>
      <c r="D4" s="755"/>
      <c r="E4" s="755"/>
      <c r="F4" s="755"/>
      <c r="G4" s="770"/>
      <c r="H4" s="755"/>
      <c r="I4" s="755"/>
      <c r="J4" s="755"/>
      <c r="K4" s="755"/>
    </row>
    <row r="5" spans="1:12" ht="30.6" customHeight="1" x14ac:dyDescent="0.25">
      <c r="C5" s="764" t="s">
        <v>93</v>
      </c>
      <c r="D5" s="764" t="s">
        <v>66</v>
      </c>
      <c r="E5" s="764" t="s">
        <v>91</v>
      </c>
      <c r="F5" s="768" t="s">
        <v>92</v>
      </c>
      <c r="G5" s="67" t="s">
        <v>145</v>
      </c>
      <c r="H5" s="764" t="s">
        <v>1194</v>
      </c>
      <c r="I5" s="764" t="s">
        <v>98</v>
      </c>
      <c r="J5" s="764" t="s">
        <v>88</v>
      </c>
      <c r="K5" s="764" t="s">
        <v>87</v>
      </c>
    </row>
    <row r="6" spans="1:12" x14ac:dyDescent="0.25">
      <c r="C6" s="765"/>
      <c r="D6" s="765"/>
      <c r="E6" s="765"/>
      <c r="F6" s="769"/>
      <c r="G6" s="66" t="str">
        <f>'Brewhouse Setup &amp; Calcs'!$B$7</f>
        <v>oz</v>
      </c>
      <c r="H6" s="765"/>
      <c r="I6" s="765"/>
      <c r="J6" s="765"/>
      <c r="K6" s="765"/>
    </row>
    <row r="7" spans="1:12" x14ac:dyDescent="0.25">
      <c r="A7" s="609" t="str">
        <f t="shared" ref="A7:A8" si="0">IF(C7="Hop Stand","Time (min):","")</f>
        <v/>
      </c>
      <c r="B7" s="617"/>
      <c r="C7" s="68">
        <v>45</v>
      </c>
      <c r="D7" s="46" t="s">
        <v>1350</v>
      </c>
      <c r="E7" s="59" t="s">
        <v>198</v>
      </c>
      <c r="F7" s="44">
        <v>10.8</v>
      </c>
      <c r="G7" s="42">
        <v>1.1559999999999999</v>
      </c>
      <c r="H7" s="80">
        <f>IF(ISBLANK(G7),"",IF($G$6="grams",F7*G7/28.346,F7*G7))</f>
        <v>12.4848</v>
      </c>
      <c r="I7" s="81">
        <f>1+IF(D7="Leaf",0,IF(D7="Pellet",$I$2,IF(D7="Plug",$K$2,)))+IF(C7="FWH",$D$2,)</f>
        <v>1.1000000000000001</v>
      </c>
      <c r="J7" s="82">
        <f>(1.65*0.000125^(('Grain &amp; Sugar Calcs'!$J$20+'Grain &amp; Sugar Calcs'!$K$20)/2-1))*((1-EXP(-0.04*IF(C7="Hop Stand",$D$3*B7,IF(C7="Dry Hop",0,IF(C7="FWH",'Brewhouse Setup &amp; Calcs'!$B$18,C7)))))/4.15)*I7</f>
        <v>0.21162623852347123</v>
      </c>
      <c r="K7" s="83">
        <f>(F7*IF('Brewhouse Setup &amp; Calcs'!$B$7="grams",G7/28.349523,G7)*J7*74.89/IF($G$6="grams",'Brewhouse Setup &amp; Calcs'!$B$63*1.056688/4,'Brewhouse Setup &amp; Calcs'!$B$63/4))</f>
        <v>31.849677260535298</v>
      </c>
    </row>
    <row r="8" spans="1:12" x14ac:dyDescent="0.25">
      <c r="A8" s="609" t="str">
        <f t="shared" si="0"/>
        <v/>
      </c>
      <c r="B8" s="617"/>
      <c r="C8" s="68">
        <v>30</v>
      </c>
      <c r="D8" s="68" t="s">
        <v>1350</v>
      </c>
      <c r="E8" s="187" t="s">
        <v>198</v>
      </c>
      <c r="F8" s="44">
        <v>10.8</v>
      </c>
      <c r="G8" s="42">
        <v>1.1559999999999999</v>
      </c>
      <c r="H8" s="80">
        <f t="shared" ref="H8:H15" si="1">IF(ISBLANK(G8),"",IF($G$6="grams",F8*G8/28.346,F8*G8))</f>
        <v>12.4848</v>
      </c>
      <c r="I8" s="81">
        <f t="shared" ref="I8:I15" si="2">1+IF(D8="Leaf",0,IF(D8="Pellet",$I$2,IF(D8="Plug",$K$2,)))+IF(C8="FWH",$D$2,)</f>
        <v>1.1000000000000001</v>
      </c>
      <c r="J8" s="82">
        <f>(1.65*0.000125^(('Grain &amp; Sugar Calcs'!$J$20+'Grain &amp; Sugar Calcs'!$K$20)/2-1))*((1-EXP(-0.04*IF(C8="Hop Stand",$D$3*B8,IF(C8="Dry Hop",0,IF(C8="FWH",'Brewhouse Setup &amp; Calcs'!$B$18,C8)))))/4.15)*I8</f>
        <v>0.17717197006766364</v>
      </c>
      <c r="K8" s="83">
        <f>(F8*IF('Brewhouse Setup &amp; Calcs'!$B$7="grams",G8/28.349523,G8)*J8*74.89/IF($G$6="grams",'Brewhouse Setup &amp; Calcs'!$B$63*1.056688/4,'Brewhouse Setup &amp; Calcs'!$B$63/4))</f>
        <v>26.664321520993543</v>
      </c>
    </row>
    <row r="9" spans="1:12" x14ac:dyDescent="0.25">
      <c r="A9" s="609" t="str">
        <f>IF(C9="Hop Stand","Time (min):","")</f>
        <v/>
      </c>
      <c r="B9" s="617"/>
      <c r="C9" s="188" t="s">
        <v>1768</v>
      </c>
      <c r="D9" s="188" t="s">
        <v>1350</v>
      </c>
      <c r="E9" s="188" t="s">
        <v>198</v>
      </c>
      <c r="F9" s="44">
        <v>10.8</v>
      </c>
      <c r="G9" s="42">
        <v>3.69</v>
      </c>
      <c r="H9" s="80">
        <f t="shared" si="1"/>
        <v>39.852000000000004</v>
      </c>
      <c r="I9" s="81">
        <f t="shared" si="2"/>
        <v>1.1000000000000001</v>
      </c>
      <c r="J9" s="82">
        <f>(1.65*0.000125^(('Grain &amp; Sugar Calcs'!$J$20+'Grain &amp; Sugar Calcs'!$K$20)/2-1))*((1-EXP(-0.04*IF(C9="Hop Stand",$D$3*B9,IF(C9="Dry Hop",0,IF(C9="FWH",'Brewhouse Setup &amp; Calcs'!$B$18,C9)))))/4.15)*I9</f>
        <v>0</v>
      </c>
      <c r="K9" s="83">
        <f>(F9*IF('Brewhouse Setup &amp; Calcs'!$B$7="grams",G9/28.349523,G9)*J9*74.89/IF($G$6="grams",'Brewhouse Setup &amp; Calcs'!$B$63*1.056688/4,'Brewhouse Setup &amp; Calcs'!$B$63/4))</f>
        <v>0</v>
      </c>
    </row>
    <row r="10" spans="1:12" x14ac:dyDescent="0.25">
      <c r="A10" s="609" t="str">
        <f t="shared" ref="A10:A15" si="3">IF(C10="Hop Stand","Time (min):","")</f>
        <v/>
      </c>
      <c r="B10" s="617"/>
      <c r="C10" s="188"/>
      <c r="D10" s="188"/>
      <c r="E10" s="188"/>
      <c r="F10" s="44"/>
      <c r="G10" s="42"/>
      <c r="H10" s="80" t="str">
        <f t="shared" si="1"/>
        <v/>
      </c>
      <c r="I10" s="81">
        <f t="shared" ref="I10:I11" si="4">1+IF(D10="Leaf",0,IF(D10="Pellet",$I$2,IF(D10="Plug",$K$2,)))+IF(C10="FWH",$D$2,)</f>
        <v>1</v>
      </c>
      <c r="J10" s="82">
        <f>(1.65*0.000125^(('Grain &amp; Sugar Calcs'!$J$20+'Grain &amp; Sugar Calcs'!$K$20)/2-1))*((1-EXP(-0.04*IF(C10="Hop Stand",$D$3*B10,IF(C10="Dry Hop",0,IF(C10="FWH",'Brewhouse Setup &amp; Calcs'!$B$18,C10)))))/4.15)*I10</f>
        <v>0</v>
      </c>
      <c r="K10" s="83">
        <f>(F10*IF('Brewhouse Setup &amp; Calcs'!$B$7="grams",G10/28.349523,G10)*J10*74.89/IF($G$6="grams",'Brewhouse Setup &amp; Calcs'!$B$63*1.056688/4,'Brewhouse Setup &amp; Calcs'!$B$63/4))</f>
        <v>0</v>
      </c>
    </row>
    <row r="11" spans="1:12" x14ac:dyDescent="0.25">
      <c r="A11" s="609" t="str">
        <f t="shared" si="3"/>
        <v/>
      </c>
      <c r="B11" s="617"/>
      <c r="C11" s="188"/>
      <c r="D11" s="188"/>
      <c r="E11" s="188"/>
      <c r="F11" s="44"/>
      <c r="G11" s="42"/>
      <c r="H11" s="80" t="str">
        <f t="shared" si="1"/>
        <v/>
      </c>
      <c r="I11" s="81">
        <f t="shared" si="4"/>
        <v>1</v>
      </c>
      <c r="J11" s="82">
        <f>(1.65*0.000125^(('Grain &amp; Sugar Calcs'!$J$20+'Grain &amp; Sugar Calcs'!$K$20)/2-1))*((1-EXP(-0.04*IF(C11="Hop Stand",$D$3*B11,IF(C11="Dry Hop",0,IF(C11="FWH",'Brewhouse Setup &amp; Calcs'!$B$18,C11)))))/4.15)*I11</f>
        <v>0</v>
      </c>
      <c r="K11" s="83">
        <f>(F11*IF('Brewhouse Setup &amp; Calcs'!$B$7="grams",G11/28.349523,G11)*J11*74.89/IF($G$6="grams",'Brewhouse Setup &amp; Calcs'!$B$63*1.056688/4,'Brewhouse Setup &amp; Calcs'!$B$63/4))</f>
        <v>0</v>
      </c>
    </row>
    <row r="12" spans="1:12" x14ac:dyDescent="0.25">
      <c r="A12" s="609" t="str">
        <f t="shared" si="3"/>
        <v/>
      </c>
      <c r="B12" s="617"/>
      <c r="C12" s="188"/>
      <c r="D12" s="188"/>
      <c r="E12" s="188"/>
      <c r="F12" s="44"/>
      <c r="G12" s="42"/>
      <c r="H12" s="80" t="str">
        <f t="shared" si="1"/>
        <v/>
      </c>
      <c r="I12" s="81">
        <f t="shared" si="2"/>
        <v>1</v>
      </c>
      <c r="J12" s="82">
        <f>(1.65*0.000125^(('Grain &amp; Sugar Calcs'!$J$20+'Grain &amp; Sugar Calcs'!$K$20)/2-1))*((1-EXP(-0.04*IF(C12="Hop Stand",$D$3*B12,IF(C12="Dry Hop",0,IF(C12="FWH",'Brewhouse Setup &amp; Calcs'!$B$18,C12)))))/4.15)*I12</f>
        <v>0</v>
      </c>
      <c r="K12" s="83">
        <f>(F12*IF('Brewhouse Setup &amp; Calcs'!$B$7="grams",G12/28.349523,G12)*J12*74.89/IF($G$6="grams",'Brewhouse Setup &amp; Calcs'!$B$63*1.056688/4,'Brewhouse Setup &amp; Calcs'!$B$63/4))</f>
        <v>0</v>
      </c>
    </row>
    <row r="13" spans="1:12" x14ac:dyDescent="0.25">
      <c r="A13" s="609" t="str">
        <f t="shared" si="3"/>
        <v/>
      </c>
      <c r="B13" s="617"/>
      <c r="C13" s="188"/>
      <c r="D13" s="188"/>
      <c r="E13" s="188"/>
      <c r="F13" s="44"/>
      <c r="G13" s="42"/>
      <c r="H13" s="80" t="str">
        <f t="shared" si="1"/>
        <v/>
      </c>
      <c r="I13" s="81">
        <f t="shared" si="2"/>
        <v>1</v>
      </c>
      <c r="J13" s="82">
        <f>(1.65*0.000125^(('Grain &amp; Sugar Calcs'!$J$20+'Grain &amp; Sugar Calcs'!$K$20)/2-1))*((1-EXP(-0.04*IF(C13="Hop Stand",$D$3*B13,IF(C13="Dry Hop",0,IF(C13="FWH",'Brewhouse Setup &amp; Calcs'!$B$18,C13)))))/4.15)*I13</f>
        <v>0</v>
      </c>
      <c r="K13" s="83">
        <f>(F13*IF('Brewhouse Setup &amp; Calcs'!$B$7="grams",G13/28.349523,G13)*J13*74.89/IF($G$6="grams",'Brewhouse Setup &amp; Calcs'!$B$63*1.056688/4,'Brewhouse Setup &amp; Calcs'!$B$63/4))</f>
        <v>0</v>
      </c>
    </row>
    <row r="14" spans="1:12" x14ac:dyDescent="0.25">
      <c r="A14" s="609" t="str">
        <f t="shared" si="3"/>
        <v/>
      </c>
      <c r="B14" s="617"/>
      <c r="C14" s="188"/>
      <c r="D14" s="188"/>
      <c r="E14" s="188"/>
      <c r="F14" s="44"/>
      <c r="G14" s="42"/>
      <c r="H14" s="80" t="str">
        <f t="shared" si="1"/>
        <v/>
      </c>
      <c r="I14" s="81">
        <f t="shared" si="2"/>
        <v>1</v>
      </c>
      <c r="J14" s="82">
        <f>(1.65*0.000125^(('Grain &amp; Sugar Calcs'!$J$20+'Grain &amp; Sugar Calcs'!$K$20)/2-1))*((1-EXP(-0.04*IF(C14="Hop Stand",$D$3*B14,IF(C14="Dry Hop",0,IF(C14="FWH",'Brewhouse Setup &amp; Calcs'!$B$18,C14)))))/4.15)*I14</f>
        <v>0</v>
      </c>
      <c r="K14" s="83">
        <f>(F14*IF('Brewhouse Setup &amp; Calcs'!$B$7="grams",G14/28.349523,G14)*J14*74.89/IF($G$6="grams",'Brewhouse Setup &amp; Calcs'!$B$63*1.056688/4,'Brewhouse Setup &amp; Calcs'!$B$63/4))</f>
        <v>0</v>
      </c>
    </row>
    <row r="15" spans="1:12" x14ac:dyDescent="0.25">
      <c r="A15" s="609" t="str">
        <f t="shared" si="3"/>
        <v/>
      </c>
      <c r="B15" s="617"/>
      <c r="C15" s="188"/>
      <c r="D15" s="188"/>
      <c r="E15" s="188"/>
      <c r="F15" s="44"/>
      <c r="G15" s="42"/>
      <c r="H15" s="80" t="str">
        <f t="shared" si="1"/>
        <v/>
      </c>
      <c r="I15" s="81">
        <f t="shared" si="2"/>
        <v>1</v>
      </c>
      <c r="J15" s="82">
        <f>(1.65*0.000125^(('Grain &amp; Sugar Calcs'!$J$20+'Grain &amp; Sugar Calcs'!$K$20)/2-1))*((1-EXP(-0.04*IF(C15="Hop Stand",$D$3*B15,IF(C15="Dry Hop",0,IF(C15="FWH",'Brewhouse Setup &amp; Calcs'!$B$18,C15)))))/4.15)*I15</f>
        <v>0</v>
      </c>
      <c r="K15" s="83">
        <f>(F15*IF('Brewhouse Setup &amp; Calcs'!$B$7="grams",G15/28.349523,G15)*J15*74.89/IF($G$6="grams",'Brewhouse Setup &amp; Calcs'!$B$63*1.056688/4,'Brewhouse Setup &amp; Calcs'!$B$63/4))</f>
        <v>0</v>
      </c>
    </row>
    <row r="16" spans="1:12" x14ac:dyDescent="0.25">
      <c r="D16" s="35"/>
      <c r="K16" s="28">
        <f>SUM(K7:K15)</f>
        <v>58.513998781528841</v>
      </c>
      <c r="L16" s="25" t="s">
        <v>90</v>
      </c>
    </row>
    <row r="17" spans="4:7" x14ac:dyDescent="0.25">
      <c r="D17" s="35"/>
      <c r="F17" s="200" t="s">
        <v>1801</v>
      </c>
      <c r="G17" s="80">
        <f>SUM(G7:G16)</f>
        <v>6.0019999999999998</v>
      </c>
    </row>
    <row r="18" spans="4:7" x14ac:dyDescent="0.25">
      <c r="D18" s="35"/>
    </row>
    <row r="19" spans="4:7" x14ac:dyDescent="0.25">
      <c r="D19" s="35"/>
    </row>
    <row r="20" spans="4:7" x14ac:dyDescent="0.25">
      <c r="D20" s="35"/>
    </row>
    <row r="21" spans="4:7" x14ac:dyDescent="0.25">
      <c r="D21" s="35"/>
    </row>
  </sheetData>
  <sheetProtection sheet="1" objects="1" scenarios="1"/>
  <dataConsolidate/>
  <mergeCells count="10">
    <mergeCell ref="C4:K4"/>
    <mergeCell ref="C1:K1"/>
    <mergeCell ref="C5:C6"/>
    <mergeCell ref="D5:D6"/>
    <mergeCell ref="E5:E6"/>
    <mergeCell ref="F5:F6"/>
    <mergeCell ref="H5:H6"/>
    <mergeCell ref="I5:I6"/>
    <mergeCell ref="J5:J6"/>
    <mergeCell ref="K5:K6"/>
  </mergeCells>
  <conditionalFormatting sqref="B7:B15">
    <cfRule type="expression" dxfId="30" priority="1">
      <formula>IF(C7="Hop Stand",TRUE,FALSE)</formula>
    </cfRule>
  </conditionalFormatting>
  <dataValidations count="7">
    <dataValidation type="list" allowBlank="1" showInputMessage="1" showErrorMessage="1" sqref="D7:D15" xr:uid="{00000000-0002-0000-0400-000000000000}">
      <formula1>"Leaf,Pellet,Plug"</formula1>
    </dataValidation>
    <dataValidation type="list" allowBlank="1" showInputMessage="1" showErrorMessage="1" sqref="C7:C15" xr:uid="{00000000-0002-0000-0400-000001000000}">
      <formula1>"FWH,60,45,30,20,15,10,5,2,1,0,Hop Stand,Dry Hop"</formula1>
    </dataValidation>
    <dataValidation allowBlank="1" showInputMessage="1" showErrorMessage="1" promptTitle="Hop Stand Adj Factor" prompt="A multiplication &quot;fudge&quot; factor to the hop stand time since the formulas in this tab normally uses boil times that account for higher Utilization. E.G. A value of 10% for a 20 min hop stand is equivalent to a 2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List'!$A$2:$A$141</xm:f>
          </x14:formula1>
          <xm:sqref>E7:E15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A1:N77"/>
  <sheetViews>
    <sheetView showGridLines="0" topLeftCell="A2" zoomScale="85" workbookViewId="0">
      <selection activeCell="F31" sqref="F31"/>
    </sheetView>
  </sheetViews>
  <sheetFormatPr defaultRowHeight="13.2" x14ac:dyDescent="0.25"/>
  <cols>
    <col min="1" max="2" width="1.6640625" customWidth="1"/>
    <col min="3" max="3" width="29.6640625" style="253" customWidth="1"/>
    <col min="4" max="9" width="14.6640625" customWidth="1"/>
    <col min="10" max="10" width="14.88671875" customWidth="1"/>
    <col min="11" max="11" width="5.44140625" customWidth="1"/>
    <col min="12" max="12" width="9.5546875" customWidth="1"/>
    <col min="14" max="14" width="13.44140625" bestFit="1" customWidth="1"/>
  </cols>
  <sheetData>
    <row r="1" spans="2:12" ht="21.6" thickBot="1" x14ac:dyDescent="0.45">
      <c r="C1" s="817" t="s">
        <v>1962</v>
      </c>
      <c r="D1" s="817"/>
      <c r="E1" s="817"/>
      <c r="F1" s="817"/>
      <c r="G1" s="817"/>
      <c r="H1" s="817"/>
      <c r="I1" s="817"/>
      <c r="J1" s="817"/>
      <c r="K1" s="817"/>
      <c r="L1" s="253"/>
    </row>
    <row r="2" spans="2:12" ht="15" customHeight="1" x14ac:dyDescent="0.25">
      <c r="B2" s="259"/>
      <c r="C2" s="260" t="s">
        <v>1844</v>
      </c>
      <c r="D2" s="261"/>
      <c r="E2" s="261"/>
      <c r="F2" s="261"/>
      <c r="G2" s="261"/>
      <c r="H2" s="261"/>
      <c r="I2" s="261"/>
      <c r="J2" s="261"/>
      <c r="K2" s="262"/>
      <c r="L2" s="253"/>
    </row>
    <row r="3" spans="2:12" ht="15" customHeight="1" x14ac:dyDescent="0.35">
      <c r="B3" s="263"/>
      <c r="C3" s="264"/>
      <c r="D3" s="265" t="s">
        <v>1845</v>
      </c>
      <c r="E3" s="265" t="s">
        <v>1846</v>
      </c>
      <c r="F3" s="265" t="s">
        <v>1847</v>
      </c>
      <c r="G3" s="265" t="s">
        <v>1848</v>
      </c>
      <c r="H3" s="265" t="s">
        <v>1849</v>
      </c>
      <c r="I3" s="818" t="s">
        <v>1850</v>
      </c>
      <c r="J3" s="818"/>
      <c r="K3" s="819">
        <v>2</v>
      </c>
      <c r="L3" s="253"/>
    </row>
    <row r="4" spans="2:12" ht="15" customHeight="1" x14ac:dyDescent="0.35">
      <c r="B4" s="263"/>
      <c r="C4" s="266" t="s">
        <v>1851</v>
      </c>
      <c r="D4" s="267" t="s">
        <v>1852</v>
      </c>
      <c r="E4" s="267" t="s">
        <v>1853</v>
      </c>
      <c r="F4" s="267" t="s">
        <v>1854</v>
      </c>
      <c r="G4" s="267" t="s">
        <v>1855</v>
      </c>
      <c r="H4" s="267" t="s">
        <v>1856</v>
      </c>
      <c r="I4" s="820" t="s">
        <v>1857</v>
      </c>
      <c r="J4" s="820"/>
      <c r="K4" s="819"/>
      <c r="L4" s="253"/>
    </row>
    <row r="5" spans="2:12" s="272" customFormat="1" ht="18" customHeight="1" x14ac:dyDescent="0.25">
      <c r="B5" s="268"/>
      <c r="C5" s="269" t="s">
        <v>1858</v>
      </c>
      <c r="D5" s="600">
        <f>'Recipe Sheet'!N8</f>
        <v>37.200000000000003</v>
      </c>
      <c r="E5" s="600">
        <f>'Recipe Sheet'!N9</f>
        <v>12.2</v>
      </c>
      <c r="F5" s="600">
        <f>'Recipe Sheet'!N10</f>
        <v>9.1</v>
      </c>
      <c r="G5" s="600">
        <f>'Recipe Sheet'!N11</f>
        <v>16</v>
      </c>
      <c r="H5" s="600">
        <f>'Recipe Sheet'!N12</f>
        <v>24.5</v>
      </c>
      <c r="I5" s="600">
        <f>'Recipe Sheet'!N13</f>
        <v>101.6</v>
      </c>
      <c r="J5" s="270"/>
      <c r="K5" s="271"/>
    </row>
    <row r="6" spans="2:12" ht="15" customHeight="1" x14ac:dyDescent="0.25">
      <c r="B6" s="263"/>
      <c r="C6" s="273" t="s">
        <v>1859</v>
      </c>
      <c r="D6" s="265"/>
      <c r="E6" s="274"/>
      <c r="F6" s="275"/>
      <c r="G6" s="275"/>
      <c r="H6" s="276"/>
      <c r="I6" s="276"/>
      <c r="J6" s="277"/>
      <c r="K6" s="278"/>
      <c r="L6" s="253"/>
    </row>
    <row r="7" spans="2:12" ht="15" customHeight="1" x14ac:dyDescent="0.25">
      <c r="B7" s="263"/>
      <c r="C7" s="266" t="s">
        <v>1860</v>
      </c>
      <c r="D7" s="265" t="s">
        <v>1861</v>
      </c>
      <c r="E7" s="265" t="s">
        <v>1862</v>
      </c>
      <c r="F7" s="265"/>
      <c r="G7" s="279"/>
      <c r="H7" s="277"/>
      <c r="I7" s="821" t="s">
        <v>1863</v>
      </c>
      <c r="J7" s="821"/>
      <c r="K7" s="822"/>
      <c r="L7" s="253"/>
    </row>
    <row r="8" spans="2:12" s="272" customFormat="1" ht="18" customHeight="1" x14ac:dyDescent="0.25">
      <c r="B8" s="268"/>
      <c r="C8" s="280" t="s">
        <v>1864</v>
      </c>
      <c r="D8" s="563">
        <f>IF('Brewhouse Setup &amp; Calcs'!$B$2="US Customary",'Brewhouse Setup &amp; Calcs'!B43/4,"NA")</f>
        <v>5.15625</v>
      </c>
      <c r="E8" s="563">
        <f>IF('Brewhouse Setup &amp; Calcs'!$B$2="US Customary",'Brewhouse Setup &amp; Calcs'!B48/4,"NA")</f>
        <v>3.8204270000000005</v>
      </c>
      <c r="F8" s="279"/>
      <c r="G8" s="279"/>
      <c r="H8" s="277"/>
      <c r="I8" s="821"/>
      <c r="J8" s="821"/>
      <c r="K8" s="822"/>
    </row>
    <row r="9" spans="2:12" s="272" customFormat="1" ht="18" customHeight="1" x14ac:dyDescent="0.25">
      <c r="B9" s="268"/>
      <c r="C9" s="280" t="s">
        <v>1865</v>
      </c>
      <c r="D9" s="281">
        <v>0</v>
      </c>
      <c r="E9" s="281">
        <v>0</v>
      </c>
      <c r="F9" s="279"/>
      <c r="G9" s="279"/>
      <c r="H9" s="277"/>
      <c r="I9" s="821"/>
      <c r="J9" s="821"/>
      <c r="K9" s="822"/>
    </row>
    <row r="10" spans="2:12" s="272" customFormat="1" ht="15" customHeight="1" thickBot="1" x14ac:dyDescent="0.3">
      <c r="B10" s="282"/>
      <c r="C10" s="283"/>
      <c r="D10" s="284"/>
      <c r="E10" s="284"/>
      <c r="F10" s="284"/>
      <c r="G10" s="284"/>
      <c r="H10" s="285"/>
      <c r="I10" s="823"/>
      <c r="J10" s="823"/>
      <c r="K10" s="824"/>
    </row>
    <row r="11" spans="2:12" s="272" customFormat="1" ht="15" customHeight="1" x14ac:dyDescent="0.25">
      <c r="B11" s="286"/>
      <c r="C11" s="287" t="s">
        <v>1866</v>
      </c>
      <c r="D11" s="288"/>
      <c r="E11" s="288"/>
      <c r="F11" s="288"/>
      <c r="G11" s="289" t="s">
        <v>1867</v>
      </c>
      <c r="H11" s="290"/>
      <c r="I11" s="290" t="s">
        <v>1868</v>
      </c>
      <c r="J11" s="290" t="s">
        <v>1869</v>
      </c>
      <c r="K11" s="291"/>
    </row>
    <row r="12" spans="2:12" s="272" customFormat="1" ht="15" customHeight="1" x14ac:dyDescent="0.25">
      <c r="B12" s="292"/>
      <c r="C12" s="293"/>
      <c r="D12" s="294" t="s">
        <v>1870</v>
      </c>
      <c r="E12" s="294" t="s">
        <v>1871</v>
      </c>
      <c r="F12" s="294" t="s">
        <v>1872</v>
      </c>
      <c r="G12" s="290" t="s">
        <v>1795</v>
      </c>
      <c r="H12" s="295">
        <v>1</v>
      </c>
      <c r="I12" s="296" t="s">
        <v>1873</v>
      </c>
      <c r="J12" s="297"/>
      <c r="K12" s="298"/>
    </row>
    <row r="13" spans="2:12" s="272" customFormat="1" ht="15" customHeight="1" x14ac:dyDescent="0.25">
      <c r="B13" s="292"/>
      <c r="C13" s="299"/>
      <c r="D13" s="605" t="s">
        <v>66</v>
      </c>
      <c r="E13" s="294" t="s">
        <v>1874</v>
      </c>
      <c r="F13" s="300" t="s">
        <v>1875</v>
      </c>
      <c r="G13" s="290" t="s">
        <v>1876</v>
      </c>
      <c r="H13" s="295">
        <v>2</v>
      </c>
      <c r="I13" s="301" t="s">
        <v>1877</v>
      </c>
      <c r="J13" s="302">
        <v>5.7</v>
      </c>
      <c r="K13" s="303"/>
    </row>
    <row r="14" spans="2:12" s="272" customFormat="1" ht="18" customHeight="1" x14ac:dyDescent="0.25">
      <c r="B14" s="292"/>
      <c r="C14" s="816" t="s">
        <v>1878</v>
      </c>
      <c r="D14" s="604">
        <v>2</v>
      </c>
      <c r="E14" s="563">
        <f>IF('Brewhouse Setup &amp; Calcs'!$B$2="US Customary",'Grain &amp; Sugar Calcs'!C5,"NA")</f>
        <v>10.25</v>
      </c>
      <c r="F14" s="603">
        <v>0</v>
      </c>
      <c r="G14" s="304">
        <f t="shared" ref="G14:G22" si="0">IF(D14=10,5.22-0.00504*F14,VLOOKUP(D14,H$12:J$22,3,FALSE))</f>
        <v>5.7</v>
      </c>
      <c r="H14" s="295">
        <v>3</v>
      </c>
      <c r="I14" s="301" t="s">
        <v>1879</v>
      </c>
      <c r="J14" s="302">
        <v>5.79</v>
      </c>
      <c r="K14" s="303"/>
    </row>
    <row r="15" spans="2:12" s="272" customFormat="1" ht="18" customHeight="1" x14ac:dyDescent="0.25">
      <c r="B15" s="292"/>
      <c r="C15" s="816"/>
      <c r="D15" s="604">
        <v>2</v>
      </c>
      <c r="E15" s="563">
        <f>IF('Brewhouse Setup &amp; Calcs'!$B$2="US Customary",'Grain &amp; Sugar Calcs'!C6,"NA")</f>
        <v>3</v>
      </c>
      <c r="F15" s="603">
        <v>0</v>
      </c>
      <c r="G15" s="304">
        <f t="shared" si="0"/>
        <v>5.7</v>
      </c>
      <c r="H15" s="295">
        <v>4</v>
      </c>
      <c r="I15" s="301" t="s">
        <v>1880</v>
      </c>
      <c r="J15" s="302">
        <v>5.77</v>
      </c>
      <c r="K15" s="303"/>
    </row>
    <row r="16" spans="2:12" s="272" customFormat="1" ht="18" customHeight="1" x14ac:dyDescent="0.25">
      <c r="B16" s="292"/>
      <c r="C16" s="816"/>
      <c r="D16" s="604">
        <v>10</v>
      </c>
      <c r="E16" s="563">
        <f>IF('Brewhouse Setup &amp; Calcs'!$B$2="US Customary",'Grain &amp; Sugar Calcs'!C7,"NA")</f>
        <v>0.5</v>
      </c>
      <c r="F16" s="603">
        <v>40</v>
      </c>
      <c r="G16" s="304">
        <f t="shared" si="0"/>
        <v>5.0183999999999997</v>
      </c>
      <c r="H16" s="295">
        <v>5</v>
      </c>
      <c r="I16" s="301" t="s">
        <v>1881</v>
      </c>
      <c r="J16" s="302">
        <v>5.43</v>
      </c>
      <c r="K16" s="303"/>
    </row>
    <row r="17" spans="2:12" s="272" customFormat="1" ht="18" customHeight="1" x14ac:dyDescent="0.25">
      <c r="B17" s="292"/>
      <c r="C17" s="816"/>
      <c r="D17" s="604">
        <v>1</v>
      </c>
      <c r="E17" s="563">
        <f>IF('Brewhouse Setup &amp; Calcs'!$B$2="US Customary",'Grain &amp; Sugar Calcs'!C8,"NA")</f>
        <v>0</v>
      </c>
      <c r="F17" s="603">
        <v>0</v>
      </c>
      <c r="G17" s="304">
        <f t="shared" si="0"/>
        <v>0</v>
      </c>
      <c r="H17" s="295">
        <v>6</v>
      </c>
      <c r="I17" s="301" t="s">
        <v>1882</v>
      </c>
      <c r="J17" s="302">
        <v>5.75</v>
      </c>
      <c r="K17" s="303"/>
    </row>
    <row r="18" spans="2:12" s="272" customFormat="1" ht="18" customHeight="1" x14ac:dyDescent="0.25">
      <c r="B18" s="292"/>
      <c r="C18" s="816"/>
      <c r="D18" s="604">
        <v>1</v>
      </c>
      <c r="E18" s="563">
        <f>IF('Brewhouse Setup &amp; Calcs'!$B$2="US Customary",'Grain &amp; Sugar Calcs'!C9,"NA")</f>
        <v>0</v>
      </c>
      <c r="F18" s="603">
        <v>0</v>
      </c>
      <c r="G18" s="304">
        <f t="shared" si="0"/>
        <v>0</v>
      </c>
      <c r="H18" s="295">
        <v>7</v>
      </c>
      <c r="I18" s="301" t="s">
        <v>1883</v>
      </c>
      <c r="J18" s="302">
        <v>6.04</v>
      </c>
      <c r="K18" s="303"/>
    </row>
    <row r="19" spans="2:12" s="272" customFormat="1" ht="18" customHeight="1" x14ac:dyDescent="0.25">
      <c r="B19" s="292"/>
      <c r="C19" s="816"/>
      <c r="D19" s="604">
        <v>1</v>
      </c>
      <c r="E19" s="563">
        <f>IF('Brewhouse Setup &amp; Calcs'!$B$2="US Customary",'Grain &amp; Sugar Calcs'!C10,"NA")</f>
        <v>0</v>
      </c>
      <c r="F19" s="603">
        <v>0</v>
      </c>
      <c r="G19" s="304">
        <f t="shared" si="0"/>
        <v>0</v>
      </c>
      <c r="H19" s="295">
        <v>8</v>
      </c>
      <c r="I19" s="301" t="s">
        <v>1884</v>
      </c>
      <c r="J19" s="302">
        <v>5.56</v>
      </c>
      <c r="K19" s="303"/>
    </row>
    <row r="20" spans="2:12" s="272" customFormat="1" ht="18" customHeight="1" x14ac:dyDescent="0.25">
      <c r="B20" s="292"/>
      <c r="C20" s="816"/>
      <c r="D20" s="604">
        <v>1</v>
      </c>
      <c r="E20" s="563">
        <f>IF('Brewhouse Setup &amp; Calcs'!$B$2="US Customary",'Grain &amp; Sugar Calcs'!C11,"NA")</f>
        <v>0</v>
      </c>
      <c r="F20" s="603">
        <v>0</v>
      </c>
      <c r="G20" s="304">
        <f t="shared" si="0"/>
        <v>0</v>
      </c>
      <c r="H20" s="295">
        <v>9</v>
      </c>
      <c r="I20" s="301" t="s">
        <v>1885</v>
      </c>
      <c r="J20" s="302">
        <v>5.7</v>
      </c>
      <c r="K20" s="303"/>
    </row>
    <row r="21" spans="2:12" s="272" customFormat="1" ht="18" customHeight="1" x14ac:dyDescent="0.25">
      <c r="B21" s="292"/>
      <c r="C21" s="816"/>
      <c r="D21" s="604">
        <v>1</v>
      </c>
      <c r="E21" s="563">
        <f>IF('Brewhouse Setup &amp; Calcs'!$B$2="US Customary",'Grain &amp; Sugar Calcs'!C12,"NA")</f>
        <v>0</v>
      </c>
      <c r="F21" s="603">
        <v>0</v>
      </c>
      <c r="G21" s="304">
        <f t="shared" si="0"/>
        <v>0</v>
      </c>
      <c r="H21" s="295">
        <v>10</v>
      </c>
      <c r="I21" s="301" t="s">
        <v>1886</v>
      </c>
      <c r="J21" s="302" t="s">
        <v>1887</v>
      </c>
      <c r="K21" s="303"/>
    </row>
    <row r="22" spans="2:12" s="272" customFormat="1" ht="18" customHeight="1" x14ac:dyDescent="0.25">
      <c r="B22" s="292"/>
      <c r="C22" s="816"/>
      <c r="D22" s="604">
        <v>1</v>
      </c>
      <c r="E22" s="563">
        <f>IF('Brewhouse Setup &amp; Calcs'!$B$2="US Customary",'Grain &amp; Sugar Calcs'!C13,"NA")</f>
        <v>0</v>
      </c>
      <c r="F22" s="603">
        <v>0</v>
      </c>
      <c r="G22" s="304">
        <f t="shared" si="0"/>
        <v>0</v>
      </c>
      <c r="H22" s="295">
        <v>11</v>
      </c>
      <c r="I22" s="305" t="s">
        <v>1888</v>
      </c>
      <c r="J22" s="306">
        <v>4.71</v>
      </c>
      <c r="K22" s="303"/>
    </row>
    <row r="23" spans="2:12" s="272" customFormat="1" ht="15" customHeight="1" x14ac:dyDescent="0.25">
      <c r="B23" s="292"/>
      <c r="C23" s="307"/>
      <c r="D23" s="606" t="s">
        <v>1889</v>
      </c>
      <c r="E23" s="309">
        <f>SUM(E14:E22)</f>
        <v>13.75</v>
      </c>
      <c r="F23" s="310"/>
      <c r="G23" s="311"/>
      <c r="H23" s="786" t="s">
        <v>1890</v>
      </c>
      <c r="I23" s="787"/>
      <c r="J23" s="787"/>
      <c r="K23" s="788"/>
    </row>
    <row r="24" spans="2:12" s="272" customFormat="1" ht="15" customHeight="1" x14ac:dyDescent="0.25">
      <c r="B24" s="292"/>
      <c r="C24" s="307"/>
      <c r="D24" s="308" t="s">
        <v>1891</v>
      </c>
      <c r="E24" s="309" t="str">
        <f>ROUND(D8*4/E23,2)&amp;" qt/lb"</f>
        <v>1.5 qt/lb</v>
      </c>
      <c r="F24" s="312"/>
      <c r="G24" s="311"/>
      <c r="H24" s="787"/>
      <c r="I24" s="787"/>
      <c r="J24" s="787"/>
      <c r="K24" s="788"/>
    </row>
    <row r="25" spans="2:12" s="272" customFormat="1" ht="15" customHeight="1" x14ac:dyDescent="0.25">
      <c r="B25" s="292"/>
      <c r="C25" s="307"/>
      <c r="D25" s="308"/>
      <c r="E25" s="309"/>
      <c r="F25" s="312"/>
      <c r="G25" s="311"/>
      <c r="H25" s="787"/>
      <c r="I25" s="787"/>
      <c r="J25" s="787"/>
      <c r="K25" s="788"/>
    </row>
    <row r="26" spans="2:12" ht="15" customHeight="1" thickBot="1" x14ac:dyDescent="0.3">
      <c r="B26" s="313"/>
      <c r="C26" s="314"/>
      <c r="D26" s="314"/>
      <c r="E26" s="314"/>
      <c r="F26" s="315"/>
      <c r="G26" s="315"/>
      <c r="H26" s="789"/>
      <c r="I26" s="789"/>
      <c r="J26" s="789"/>
      <c r="K26" s="790"/>
      <c r="L26" s="253"/>
    </row>
    <row r="27" spans="2:12" ht="14.25" customHeight="1" x14ac:dyDescent="0.25">
      <c r="B27" s="316"/>
      <c r="C27" s="317" t="s">
        <v>1892</v>
      </c>
      <c r="D27" s="318"/>
      <c r="E27" s="319"/>
      <c r="F27" s="320"/>
      <c r="G27" s="320"/>
      <c r="H27" s="791" t="s">
        <v>1893</v>
      </c>
      <c r="I27" s="791"/>
      <c r="J27" s="791"/>
      <c r="K27" s="792"/>
      <c r="L27" s="253"/>
    </row>
    <row r="28" spans="2:12" ht="15" customHeight="1" x14ac:dyDescent="0.25">
      <c r="B28" s="321"/>
      <c r="C28" s="322"/>
      <c r="D28" s="795" t="s">
        <v>1894</v>
      </c>
      <c r="E28" s="797" t="s">
        <v>1895</v>
      </c>
      <c r="F28" s="800" t="s">
        <v>1896</v>
      </c>
      <c r="G28" s="802" t="s">
        <v>1897</v>
      </c>
      <c r="H28" s="793"/>
      <c r="I28" s="793"/>
      <c r="J28" s="793"/>
      <c r="K28" s="794"/>
      <c r="L28" s="253"/>
    </row>
    <row r="29" spans="2:12" ht="15" customHeight="1" x14ac:dyDescent="0.25">
      <c r="B29" s="321"/>
      <c r="C29" s="323"/>
      <c r="D29" s="795"/>
      <c r="E29" s="798"/>
      <c r="F29" s="800"/>
      <c r="G29" s="802"/>
      <c r="H29" s="793"/>
      <c r="I29" s="793"/>
      <c r="J29" s="793"/>
      <c r="K29" s="794"/>
      <c r="L29" s="253"/>
    </row>
    <row r="30" spans="2:12" ht="15" customHeight="1" thickBot="1" x14ac:dyDescent="0.3">
      <c r="B30" s="321"/>
      <c r="C30" s="324"/>
      <c r="D30" s="796"/>
      <c r="E30" s="799"/>
      <c r="F30" s="801"/>
      <c r="G30" s="803"/>
      <c r="H30" s="325"/>
      <c r="I30" s="325"/>
      <c r="J30" s="325"/>
      <c r="K30" s="326"/>
      <c r="L30" s="253"/>
    </row>
    <row r="31" spans="2:12" ht="27.75" customHeight="1" thickTop="1" thickBot="1" x14ac:dyDescent="0.3">
      <c r="B31" s="321"/>
      <c r="C31" s="327"/>
      <c r="D31" s="328">
        <f>(1-D$9)*I$5*IF(K$3=1,50/61,IF(OR(K$3=0,K$3=2),1,"ERROR"))+(F$43*130+E$43*157-176.1*J36*J35*2-4160.4*H35*H36*2.5+D$43*357)/D$8</f>
        <v>101.6</v>
      </c>
      <c r="E31" s="329">
        <f>D31-((D50/1.4)+(E50/1.7))</f>
        <v>67.852100840336121</v>
      </c>
      <c r="F31" s="330">
        <f>(E14*G14+E15*G15+E16*G16+E17*G17+E18*G18+E19*G19+E20*G20+E21*G21+E22*G22)/E23+(0.1085*D8/E23+0.013)*E31/50</f>
        <v>5.7480707387318564</v>
      </c>
      <c r="G31" s="331" t="s">
        <v>1898</v>
      </c>
      <c r="H31" s="793" t="s">
        <v>1899</v>
      </c>
      <c r="I31" s="804"/>
      <c r="J31" s="804"/>
      <c r="K31" s="805"/>
      <c r="L31" s="253"/>
    </row>
    <row r="32" spans="2:12" ht="15" customHeight="1" thickTop="1" thickBot="1" x14ac:dyDescent="0.3">
      <c r="B32" s="332"/>
      <c r="C32" s="333"/>
      <c r="D32" s="333"/>
      <c r="E32" s="333"/>
      <c r="F32" s="333"/>
      <c r="G32" s="334"/>
      <c r="H32" s="806"/>
      <c r="I32" s="806"/>
      <c r="J32" s="806"/>
      <c r="K32" s="807"/>
      <c r="L32" s="253"/>
    </row>
    <row r="33" spans="2:12" ht="15" customHeight="1" x14ac:dyDescent="0.25">
      <c r="B33" s="335"/>
      <c r="C33" s="336" t="s">
        <v>1900</v>
      </c>
      <c r="D33" s="337"/>
      <c r="E33" s="337"/>
      <c r="F33" s="337"/>
      <c r="G33" s="337"/>
      <c r="H33" s="337"/>
      <c r="I33" s="338"/>
      <c r="J33" s="339"/>
      <c r="K33" s="340"/>
      <c r="L33" s="253"/>
    </row>
    <row r="34" spans="2:12" ht="15" customHeight="1" x14ac:dyDescent="0.25">
      <c r="B34" s="341"/>
      <c r="C34" s="342"/>
      <c r="D34" s="343" t="s">
        <v>1901</v>
      </c>
      <c r="E34" s="343" t="s">
        <v>1902</v>
      </c>
      <c r="F34" s="343" t="s">
        <v>1903</v>
      </c>
      <c r="G34" s="344"/>
      <c r="H34" s="344" t="s">
        <v>1904</v>
      </c>
      <c r="I34" s="345"/>
      <c r="J34" s="344" t="s">
        <v>1905</v>
      </c>
      <c r="K34" s="346"/>
      <c r="L34" s="253"/>
    </row>
    <row r="35" spans="2:12" ht="15" customHeight="1" x14ac:dyDescent="0.25">
      <c r="B35" s="341"/>
      <c r="C35" s="347" t="s">
        <v>1906</v>
      </c>
      <c r="D35" s="344" t="s">
        <v>1907</v>
      </c>
      <c r="E35" s="344" t="s">
        <v>1908</v>
      </c>
      <c r="F35" s="344" t="s">
        <v>1909</v>
      </c>
      <c r="G35" s="348" t="s">
        <v>1910</v>
      </c>
      <c r="H35" s="349">
        <v>0.02</v>
      </c>
      <c r="I35" s="350" t="s">
        <v>1910</v>
      </c>
      <c r="J35" s="351">
        <v>0.88</v>
      </c>
      <c r="K35" s="346"/>
      <c r="L35" s="253"/>
    </row>
    <row r="36" spans="2:12" s="272" customFormat="1" ht="18" customHeight="1" x14ac:dyDescent="0.25">
      <c r="B36" s="352"/>
      <c r="C36" s="348" t="s">
        <v>1911</v>
      </c>
      <c r="D36" s="607"/>
      <c r="E36" s="607"/>
      <c r="F36" s="607"/>
      <c r="G36" s="350" t="s">
        <v>1912</v>
      </c>
      <c r="H36" s="608">
        <v>0</v>
      </c>
      <c r="I36" s="350" t="s">
        <v>1913</v>
      </c>
      <c r="J36" s="607">
        <v>0</v>
      </c>
      <c r="K36" s="354"/>
    </row>
    <row r="37" spans="2:12" ht="18" customHeight="1" x14ac:dyDescent="0.25">
      <c r="B37" s="341"/>
      <c r="C37" s="348" t="s">
        <v>1914</v>
      </c>
      <c r="D37" s="621" t="b">
        <v>1</v>
      </c>
      <c r="E37" s="621" t="b">
        <v>1</v>
      </c>
      <c r="F37" s="621" t="b">
        <v>1</v>
      </c>
      <c r="G37" s="355"/>
      <c r="H37" s="356" t="str">
        <f>"("&amp;ROUND(100*H36/E23/16,1)&amp;"% of total wt)"</f>
        <v>(0% of total wt)</v>
      </c>
      <c r="I37" s="357" t="s">
        <v>1915</v>
      </c>
      <c r="J37" s="345"/>
      <c r="K37" s="346"/>
      <c r="L37" s="253"/>
    </row>
    <row r="38" spans="2:12" s="272" customFormat="1" ht="18" customHeight="1" x14ac:dyDescent="0.25">
      <c r="B38" s="352"/>
      <c r="C38" s="348" t="s">
        <v>1916</v>
      </c>
      <c r="D38" s="358">
        <f>IF(D37,D36/$D8*$E8,0)</f>
        <v>0</v>
      </c>
      <c r="E38" s="358">
        <f>IF(E37,E36/$D8*$E8,0)</f>
        <v>0</v>
      </c>
      <c r="F38" s="358">
        <f>IF(F37,F36/$D8*$E8,0)</f>
        <v>0</v>
      </c>
      <c r="G38" s="355"/>
      <c r="H38" s="359" t="s">
        <v>1917</v>
      </c>
      <c r="I38" s="360"/>
      <c r="J38" s="361"/>
      <c r="K38" s="362"/>
    </row>
    <row r="39" spans="2:12" s="272" customFormat="1" ht="15" customHeight="1" thickBot="1" x14ac:dyDescent="0.3">
      <c r="B39" s="352"/>
      <c r="C39" s="363" t="s">
        <v>1918</v>
      </c>
      <c r="D39" s="355"/>
      <c r="E39" s="355"/>
      <c r="F39" s="355"/>
      <c r="G39" s="355"/>
      <c r="H39" s="364"/>
      <c r="I39" s="360"/>
      <c r="J39" s="365"/>
      <c r="K39" s="366"/>
    </row>
    <row r="40" spans="2:12" s="272" customFormat="1" ht="15" customHeight="1" x14ac:dyDescent="0.25">
      <c r="B40" s="367"/>
      <c r="C40" s="336" t="s">
        <v>1919</v>
      </c>
      <c r="D40" s="368"/>
      <c r="E40" s="368"/>
      <c r="F40" s="368"/>
      <c r="G40" s="808" t="s">
        <v>1920</v>
      </c>
      <c r="H40" s="808"/>
      <c r="I40" s="808"/>
      <c r="J40" s="808"/>
      <c r="K40" s="809"/>
    </row>
    <row r="41" spans="2:12" s="272" customFormat="1" ht="15" customHeight="1" x14ac:dyDescent="0.25">
      <c r="B41" s="352"/>
      <c r="C41" s="348"/>
      <c r="D41" s="343" t="s">
        <v>1921</v>
      </c>
      <c r="E41" s="343" t="s">
        <v>1922</v>
      </c>
      <c r="F41" s="369" t="s">
        <v>1923</v>
      </c>
      <c r="G41" s="810"/>
      <c r="H41" s="810"/>
      <c r="I41" s="810"/>
      <c r="J41" s="810"/>
      <c r="K41" s="811"/>
    </row>
    <row r="42" spans="2:12" s="272" customFormat="1" ht="15" customHeight="1" x14ac:dyDescent="0.25">
      <c r="B42" s="341"/>
      <c r="C42" s="347" t="s">
        <v>1906</v>
      </c>
      <c r="D42" s="344" t="s">
        <v>1924</v>
      </c>
      <c r="E42" s="344" t="s">
        <v>1925</v>
      </c>
      <c r="F42" s="370" t="s">
        <v>1926</v>
      </c>
      <c r="G42" s="810"/>
      <c r="H42" s="810"/>
      <c r="I42" s="810"/>
      <c r="J42" s="810"/>
      <c r="K42" s="811"/>
    </row>
    <row r="43" spans="2:12" s="272" customFormat="1" ht="18" customHeight="1" x14ac:dyDescent="0.25">
      <c r="B43" s="352"/>
      <c r="C43" s="348" t="s">
        <v>1911</v>
      </c>
      <c r="D43" s="607"/>
      <c r="E43" s="607"/>
      <c r="F43" s="607"/>
      <c r="G43" s="371"/>
      <c r="H43" s="371"/>
      <c r="I43" s="371"/>
      <c r="J43" s="355"/>
      <c r="K43" s="354"/>
    </row>
    <row r="44" spans="2:12" s="272" customFormat="1" ht="18" customHeight="1" x14ac:dyDescent="0.25">
      <c r="B44" s="341"/>
      <c r="C44" s="348" t="s">
        <v>1914</v>
      </c>
      <c r="D44" s="621" t="b">
        <v>1</v>
      </c>
      <c r="E44" s="621" t="b">
        <v>1</v>
      </c>
      <c r="F44" s="621" t="b">
        <v>1</v>
      </c>
      <c r="G44" s="371"/>
      <c r="H44" s="371"/>
      <c r="I44" s="371"/>
      <c r="J44" s="355"/>
      <c r="K44" s="354"/>
    </row>
    <row r="45" spans="2:12" s="272" customFormat="1" ht="18" customHeight="1" x14ac:dyDescent="0.25">
      <c r="B45" s="352"/>
      <c r="C45" s="348" t="s">
        <v>1916</v>
      </c>
      <c r="D45" s="358">
        <f>IF(D44,D43/$D8*$E8,0)</f>
        <v>0</v>
      </c>
      <c r="E45" s="358">
        <f>IF(E44,E43/$D8*$E8,0)</f>
        <v>0</v>
      </c>
      <c r="F45" s="358">
        <f>IF(F44,F43/$D8*$E8,0)</f>
        <v>0</v>
      </c>
      <c r="G45" s="355"/>
      <c r="H45" s="344"/>
      <c r="I45" s="344"/>
      <c r="J45" s="355"/>
      <c r="K45" s="354"/>
    </row>
    <row r="46" spans="2:12" ht="15" customHeight="1" thickBot="1" x14ac:dyDescent="0.3">
      <c r="B46" s="352"/>
      <c r="C46" s="363" t="s">
        <v>1918</v>
      </c>
      <c r="D46" s="372"/>
      <c r="E46" s="372"/>
      <c r="F46" s="373"/>
      <c r="G46" s="374"/>
      <c r="H46" s="372"/>
      <c r="I46" s="373"/>
      <c r="J46" s="373"/>
      <c r="K46" s="375"/>
      <c r="L46" s="253"/>
    </row>
    <row r="47" spans="2:12" ht="15" customHeight="1" x14ac:dyDescent="0.25">
      <c r="B47" s="259"/>
      <c r="C47" s="260" t="s">
        <v>1927</v>
      </c>
      <c r="D47" s="261"/>
      <c r="E47" s="261"/>
      <c r="F47" s="261"/>
      <c r="G47" s="261"/>
      <c r="H47" s="261"/>
      <c r="I47" s="261"/>
      <c r="J47" s="261"/>
      <c r="K47" s="376"/>
      <c r="L47" s="253"/>
    </row>
    <row r="48" spans="2:12" ht="15" customHeight="1" x14ac:dyDescent="0.25">
      <c r="B48" s="263"/>
      <c r="C48" s="264"/>
      <c r="D48" s="265" t="s">
        <v>1845</v>
      </c>
      <c r="E48" s="265" t="s">
        <v>1846</v>
      </c>
      <c r="F48" s="265" t="s">
        <v>1847</v>
      </c>
      <c r="G48" s="265" t="s">
        <v>1848</v>
      </c>
      <c r="H48" s="265" t="s">
        <v>1849</v>
      </c>
      <c r="I48" s="812" t="s">
        <v>1928</v>
      </c>
      <c r="J48" s="812"/>
      <c r="K48" s="377"/>
      <c r="L48" s="253"/>
    </row>
    <row r="49" spans="1:14" s="378" customFormat="1" ht="15" customHeight="1" x14ac:dyDescent="0.35">
      <c r="B49" s="379"/>
      <c r="C49" s="380"/>
      <c r="D49" s="267" t="s">
        <v>1852</v>
      </c>
      <c r="E49" s="267" t="s">
        <v>1853</v>
      </c>
      <c r="F49" s="267" t="s">
        <v>1854</v>
      </c>
      <c r="G49" s="267" t="s">
        <v>1855</v>
      </c>
      <c r="H49" s="267" t="s">
        <v>1856</v>
      </c>
      <c r="I49" s="813" t="s">
        <v>1929</v>
      </c>
      <c r="J49" s="813"/>
      <c r="K49" s="381"/>
      <c r="L49" s="382"/>
      <c r="M49" s="272"/>
    </row>
    <row r="50" spans="1:14" s="272" customFormat="1" ht="18" customHeight="1" thickBot="1" x14ac:dyDescent="0.3">
      <c r="B50" s="268"/>
      <c r="C50" s="280" t="s">
        <v>1930</v>
      </c>
      <c r="D50" s="383">
        <f>(1-D$9)*D$5+(F$43*105.89+D$36*60+E$36*72+D$43*143)/D$8</f>
        <v>37.200000000000003</v>
      </c>
      <c r="E50" s="383">
        <f>(1-D$9)*E$5+F$36*24.6/D$8</f>
        <v>12.2</v>
      </c>
      <c r="F50" s="383">
        <f>(1-D$9)*F$5+E$43*72.3/D$8</f>
        <v>9.1</v>
      </c>
      <c r="G50" s="383">
        <f>(1-D$9)*G$5+E$36*127.47/D$8</f>
        <v>16</v>
      </c>
      <c r="H50" s="383">
        <f>(1-D$9)*H$5+(D$36*147.4+F$36*103)/D$8</f>
        <v>24.5</v>
      </c>
      <c r="I50" s="814">
        <f>G50/H50</f>
        <v>0.65306122448979587</v>
      </c>
      <c r="J50" s="815"/>
      <c r="K50" s="271"/>
    </row>
    <row r="51" spans="1:14" s="272" customFormat="1" ht="18" customHeight="1" thickBot="1" x14ac:dyDescent="0.3">
      <c r="B51" s="268"/>
      <c r="C51" s="280" t="s">
        <v>1931</v>
      </c>
      <c r="D51" s="384">
        <f>IF(E8=0,D50,(1-(((D$9*D$8)+(E$9*E$8))/(D$8+E$8)))*D$5+((F$43+F$45)*105.89+(D$36+D$38)*60+(E$36+E$38)*72+(D$43+D$45)*143)/(D$8+E$8))</f>
        <v>37.200000000000003</v>
      </c>
      <c r="E51" s="384">
        <f>IF(E8=0,E50,(1-(((D$9*D$8)+(E$9*E$8))/(D$8+E$8)))*E$5+(F$36+F$38)*24.6/(D$8+E$8))</f>
        <v>12.2</v>
      </c>
      <c r="F51" s="384">
        <f>IF(E8=0,F50,(1-(((D$9*D$8)+(E$9*E$8))/(D$8+E$8)))*F$5+(E$43+E$45)*72.3/(D$8+E$8))</f>
        <v>9.1</v>
      </c>
      <c r="G51" s="384">
        <f>IF(E8=0,G50,(1-(((D$9*D$8)+(E$9*E$8))/(D$8+E$8)))*G$5+(E$36+E$38)*127.47/(D$8+E$8))</f>
        <v>16</v>
      </c>
      <c r="H51" s="384">
        <f>IF(E8=0,H50,(1-(((D$9*D$8)+(E$9*E$8))/(D$8+E$8)))*H$5+((D$36+D$38)*147.4+(F$36+F$38)*103)/(D$8+E$8))</f>
        <v>24.5</v>
      </c>
      <c r="I51" s="784">
        <f>G51/H51</f>
        <v>0.65306122448979587</v>
      </c>
      <c r="J51" s="785"/>
      <c r="K51" s="271"/>
      <c r="M51" s="253"/>
    </row>
    <row r="52" spans="1:14" ht="18" customHeight="1" x14ac:dyDescent="0.25">
      <c r="B52" s="263"/>
      <c r="C52" s="385" t="s">
        <v>1932</v>
      </c>
      <c r="D52" s="386" t="s">
        <v>1933</v>
      </c>
      <c r="E52" s="387" t="s">
        <v>1934</v>
      </c>
      <c r="F52" s="386" t="s">
        <v>1935</v>
      </c>
      <c r="G52" s="386" t="s">
        <v>1936</v>
      </c>
      <c r="H52" s="388" t="s">
        <v>1937</v>
      </c>
      <c r="I52" s="774" t="str">
        <f>IF(I51&lt;0.77,"Below .77, May enhance bitterness", IF(I51&lt;1.3,".77 to 1.3 = Balanced","Above 1.3 may enhance maltiness"))</f>
        <v>Below .77, May enhance bitterness</v>
      </c>
      <c r="J52" s="775"/>
      <c r="K52" s="377"/>
      <c r="L52" s="253"/>
    </row>
    <row r="53" spans="1:14" ht="15" customHeight="1" x14ac:dyDescent="0.25">
      <c r="B53" s="263"/>
      <c r="C53" s="776" t="s">
        <v>1938</v>
      </c>
      <c r="D53" s="776"/>
      <c r="E53" s="776"/>
      <c r="F53" s="776"/>
      <c r="G53" s="776"/>
      <c r="H53" s="776"/>
      <c r="I53" s="776"/>
      <c r="J53" s="776"/>
      <c r="K53" s="777"/>
      <c r="L53" s="253"/>
      <c r="M53" s="272"/>
      <c r="N53" s="382"/>
    </row>
    <row r="54" spans="1:14" ht="15" customHeight="1" thickBot="1" x14ac:dyDescent="0.3">
      <c r="B54" s="389"/>
      <c r="C54" s="778"/>
      <c r="D54" s="778"/>
      <c r="E54" s="778"/>
      <c r="F54" s="778"/>
      <c r="G54" s="778"/>
      <c r="H54" s="778"/>
      <c r="I54" s="779"/>
      <c r="J54" s="779"/>
      <c r="K54" s="780"/>
    </row>
    <row r="55" spans="1:14" ht="15" customHeight="1" x14ac:dyDescent="0.25">
      <c r="B55" s="390"/>
      <c r="C55" s="391"/>
      <c r="D55" s="391"/>
      <c r="E55" s="391"/>
      <c r="F55" s="391"/>
      <c r="G55" s="391"/>
      <c r="H55" s="391"/>
      <c r="I55" s="392"/>
      <c r="J55" s="392"/>
      <c r="K55" s="392"/>
    </row>
    <row r="56" spans="1:14" s="23" customFormat="1" ht="23.25" customHeight="1" x14ac:dyDescent="0.25">
      <c r="B56" s="393"/>
      <c r="C56" s="781" t="s">
        <v>1939</v>
      </c>
      <c r="D56" s="781"/>
      <c r="E56" s="781"/>
      <c r="F56" s="781"/>
      <c r="G56" s="781"/>
      <c r="H56" s="781"/>
      <c r="I56" s="781"/>
      <c r="J56" s="781"/>
      <c r="K56" s="781"/>
    </row>
    <row r="57" spans="1:14" ht="15" customHeight="1" x14ac:dyDescent="0.25">
      <c r="A57" s="394"/>
      <c r="B57" s="395"/>
      <c r="C57" s="396"/>
      <c r="D57" s="396"/>
      <c r="E57" s="396"/>
      <c r="F57" s="396"/>
      <c r="G57" s="396"/>
      <c r="H57" s="396"/>
      <c r="I57" s="112"/>
      <c r="J57" s="112"/>
      <c r="K57" s="112"/>
    </row>
    <row r="58" spans="1:14" ht="15" customHeight="1" x14ac:dyDescent="0.25">
      <c r="A58" s="394"/>
      <c r="B58" s="395"/>
      <c r="C58" s="396"/>
      <c r="D58" s="397" t="s">
        <v>1940</v>
      </c>
      <c r="E58" s="398"/>
      <c r="F58" s="398"/>
      <c r="G58" s="398"/>
      <c r="H58" s="398"/>
      <c r="I58" s="398"/>
      <c r="J58" s="398"/>
      <c r="K58" s="112"/>
    </row>
    <row r="59" spans="1:14" ht="15" customHeight="1" x14ac:dyDescent="0.25">
      <c r="A59" s="394"/>
      <c r="B59" s="395"/>
      <c r="C59" s="396"/>
      <c r="D59" s="398"/>
      <c r="E59" s="398"/>
      <c r="F59" s="398"/>
      <c r="G59" s="398"/>
      <c r="H59" s="398"/>
      <c r="I59" s="398"/>
      <c r="J59" s="398"/>
      <c r="K59" s="112"/>
    </row>
    <row r="60" spans="1:14" ht="15" customHeight="1" x14ac:dyDescent="0.25">
      <c r="A60" s="394"/>
      <c r="B60" s="395"/>
      <c r="C60" s="396"/>
      <c r="D60" s="398"/>
      <c r="E60" s="398"/>
      <c r="F60" s="398"/>
      <c r="G60" s="398"/>
      <c r="H60" s="398"/>
      <c r="I60" s="398"/>
      <c r="J60" s="398"/>
      <c r="K60" s="112"/>
    </row>
    <row r="61" spans="1:14" ht="15" customHeight="1" x14ac:dyDescent="0.25">
      <c r="A61" s="394"/>
      <c r="B61" s="395"/>
      <c r="C61" s="396"/>
      <c r="D61" s="399"/>
      <c r="E61" s="399"/>
      <c r="F61" s="396"/>
      <c r="G61" s="396"/>
      <c r="H61" s="396"/>
      <c r="I61" s="112"/>
      <c r="J61" s="112"/>
      <c r="K61" s="112"/>
    </row>
    <row r="62" spans="1:14" ht="15" customHeight="1" x14ac:dyDescent="0.25">
      <c r="A62" s="394"/>
      <c r="B62" s="395"/>
      <c r="C62" s="397" t="s">
        <v>1941</v>
      </c>
      <c r="D62" s="399"/>
      <c r="E62" s="399"/>
      <c r="F62" s="396"/>
      <c r="G62" s="396"/>
      <c r="H62" s="396"/>
      <c r="I62" s="112"/>
      <c r="J62" s="112"/>
      <c r="K62" s="112"/>
    </row>
    <row r="63" spans="1:14" ht="41.25" customHeight="1" x14ac:dyDescent="0.25">
      <c r="A63" s="394"/>
      <c r="B63" s="395"/>
      <c r="C63" s="396"/>
      <c r="D63" s="399"/>
      <c r="E63" s="399"/>
      <c r="F63" s="396"/>
      <c r="G63" s="396"/>
      <c r="H63" s="396"/>
      <c r="I63" s="112"/>
      <c r="J63" s="112"/>
      <c r="K63" s="112"/>
    </row>
    <row r="64" spans="1:14" s="400" customFormat="1" ht="21.75" customHeight="1" x14ac:dyDescent="0.3">
      <c r="C64" s="782" t="s">
        <v>1942</v>
      </c>
      <c r="D64" s="782"/>
      <c r="E64" s="782"/>
      <c r="F64" s="782"/>
      <c r="G64" s="782"/>
      <c r="H64" s="782"/>
      <c r="I64" s="782"/>
      <c r="J64" s="782"/>
    </row>
    <row r="65" spans="3:12" x14ac:dyDescent="0.25">
      <c r="C65" s="783" t="s">
        <v>1943</v>
      </c>
      <c r="D65" s="783"/>
      <c r="E65" s="783"/>
      <c r="F65" s="783"/>
      <c r="G65" s="783"/>
      <c r="H65" s="783"/>
      <c r="I65" s="783"/>
      <c r="J65" s="783"/>
      <c r="K65" s="783"/>
    </row>
    <row r="66" spans="3:12" ht="12.75" customHeight="1" x14ac:dyDescent="0.25">
      <c r="C66" s="771" t="s">
        <v>1944</v>
      </c>
      <c r="D66" s="771"/>
      <c r="E66" s="771"/>
      <c r="F66" s="771"/>
      <c r="G66" s="771"/>
      <c r="H66" s="771"/>
      <c r="I66" s="771"/>
      <c r="J66" s="771"/>
      <c r="K66" s="771"/>
    </row>
    <row r="67" spans="3:12" s="404" customFormat="1" ht="12" customHeight="1" x14ac:dyDescent="0.25">
      <c r="C67" s="401" t="s">
        <v>1945</v>
      </c>
      <c r="D67" s="402"/>
      <c r="E67" s="402"/>
      <c r="F67" s="402"/>
      <c r="G67" s="403"/>
      <c r="H67" s="403"/>
      <c r="I67" s="403"/>
      <c r="J67" s="403"/>
      <c r="K67" s="403"/>
      <c r="L67" s="403"/>
    </row>
    <row r="68" spans="3:12" ht="12" customHeight="1" x14ac:dyDescent="0.25">
      <c r="C68" s="772" t="s">
        <v>1946</v>
      </c>
      <c r="D68" s="773"/>
      <c r="E68" s="773"/>
      <c r="F68" s="773"/>
      <c r="G68" s="773"/>
      <c r="H68" s="773"/>
      <c r="I68" s="773"/>
      <c r="J68" s="773"/>
    </row>
    <row r="69" spans="3:12" ht="12" customHeight="1" x14ac:dyDescent="0.25">
      <c r="C69" s="405" t="s">
        <v>1947</v>
      </c>
      <c r="D69" s="406"/>
      <c r="E69" s="406"/>
      <c r="F69" s="406"/>
      <c r="G69" s="406"/>
      <c r="H69" s="406"/>
      <c r="I69" s="406"/>
      <c r="J69" s="406"/>
    </row>
    <row r="70" spans="3:12" ht="12" customHeight="1" x14ac:dyDescent="0.25">
      <c r="C70" s="772" t="s">
        <v>1948</v>
      </c>
      <c r="D70" s="773"/>
      <c r="E70" s="773"/>
      <c r="F70" s="773"/>
      <c r="G70" s="773"/>
      <c r="H70" s="773"/>
      <c r="I70" s="773"/>
      <c r="J70" s="773"/>
    </row>
    <row r="72" spans="3:12" x14ac:dyDescent="0.25">
      <c r="C72" s="407" t="s">
        <v>1949</v>
      </c>
    </row>
    <row r="73" spans="3:12" x14ac:dyDescent="0.25">
      <c r="C73" s="401" t="s">
        <v>1950</v>
      </c>
    </row>
    <row r="74" spans="3:12" x14ac:dyDescent="0.25">
      <c r="C74" s="407" t="s">
        <v>1951</v>
      </c>
    </row>
    <row r="77" spans="3:12" ht="12.75" customHeight="1" x14ac:dyDescent="0.25"/>
  </sheetData>
  <sheetProtection sheet="1" objects="1" scenarios="1"/>
  <mergeCells count="27">
    <mergeCell ref="C14:C22"/>
    <mergeCell ref="C1:K1"/>
    <mergeCell ref="I3:J3"/>
    <mergeCell ref="K3:K4"/>
    <mergeCell ref="I4:J4"/>
    <mergeCell ref="I7:K10"/>
    <mergeCell ref="I51:J51"/>
    <mergeCell ref="H23:K26"/>
    <mergeCell ref="H27:K29"/>
    <mergeCell ref="D28:D30"/>
    <mergeCell ref="E28:E30"/>
    <mergeCell ref="F28:F30"/>
    <mergeCell ref="G28:G30"/>
    <mergeCell ref="H31:K32"/>
    <mergeCell ref="G40:K42"/>
    <mergeCell ref="I48:J48"/>
    <mergeCell ref="I49:J49"/>
    <mergeCell ref="I50:J50"/>
    <mergeCell ref="C66:K66"/>
    <mergeCell ref="C68:J68"/>
    <mergeCell ref="C70:J70"/>
    <mergeCell ref="I52:J52"/>
    <mergeCell ref="C53:K53"/>
    <mergeCell ref="C54:K54"/>
    <mergeCell ref="C56:K56"/>
    <mergeCell ref="C64:J64"/>
    <mergeCell ref="C65:K65"/>
  </mergeCells>
  <conditionalFormatting sqref="D52">
    <cfRule type="expression" dxfId="29" priority="1" stopIfTrue="1">
      <formula>OR(D$51&lt;49.5,D$51&gt;150.5)</formula>
    </cfRule>
  </conditionalFormatting>
  <conditionalFormatting sqref="E52">
    <cfRule type="expression" dxfId="28" priority="2" stopIfTrue="1">
      <formula>OR(E$51&lt;9.5,E$51&gt;30.5)</formula>
    </cfRule>
  </conditionalFormatting>
  <conditionalFormatting sqref="F52">
    <cfRule type="expression" dxfId="27" priority="3" stopIfTrue="1">
      <formula>OR(F$51&lt;0,F$51&gt;150.5)</formula>
    </cfRule>
  </conditionalFormatting>
  <conditionalFormatting sqref="G52">
    <cfRule type="expression" dxfId="26" priority="4" stopIfTrue="1">
      <formula>OR(G$51&lt;0,G$51&gt;250.5)</formula>
    </cfRule>
  </conditionalFormatting>
  <conditionalFormatting sqref="H52">
    <cfRule type="expression" dxfId="25" priority="5" stopIfTrue="1">
      <formula>OR(H$51&lt;49.5,H$51&gt;350.5)</formula>
    </cfRule>
  </conditionalFormatting>
  <conditionalFormatting sqref="F14:F22">
    <cfRule type="expression" dxfId="24" priority="6" stopIfTrue="1">
      <formula>AND($D14=10)</formula>
    </cfRule>
  </conditionalFormatting>
  <conditionalFormatting sqref="G31">
    <cfRule type="expression" dxfId="23" priority="7" stopIfTrue="1">
      <formula>OR(F$31&lt;5.4,F$31&gt;5.6)</formula>
    </cfRule>
  </conditionalFormatting>
  <hyperlinks>
    <hyperlink ref="C72" r:id="rId1" xr:uid="{D3DFB26E-04CE-4F86-93D6-4CB8E41AA4ED}"/>
    <hyperlink ref="C66:J66" r:id="rId2" display="Calculations for Alkalinity, RA, and pH were based on Kai Troester's paper: &quot;The effect of brewing water and grist composition on the pH of the mash&quot;  2009" xr:uid="{2EEB58DB-3DA7-4C95-A0D7-F557F890517A}"/>
    <hyperlink ref="C68:J68" r:id="rId3" display="Recommended mineral ranges are from John Palmer's &quot;How to Brew&quot;" xr:uid="{468158AC-4F48-4B8C-B98B-3D560172389C}"/>
    <hyperlink ref="C70:J70" r:id="rId4" display="Recommended Cl to SO4 ratio ranges are from John Palmer's RA spreadsheet" xr:uid="{71A96227-8BB7-4C35-8F3F-DC7AA97B0AC9}"/>
    <hyperlink ref="C74"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1798320</xdr:colOff>
                <xdr:row>78</xdr:row>
                <xdr:rowOff>99060</xdr:rowOff>
              </from>
              <to>
                <xdr:col>3</xdr:col>
                <xdr:colOff>518160</xdr:colOff>
                <xdr:row>78</xdr:row>
                <xdr:rowOff>106680</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56</xdr:row>
                <xdr:rowOff>175260</xdr:rowOff>
              </from>
              <to>
                <xdr:col>2</xdr:col>
                <xdr:colOff>1584960</xdr:colOff>
                <xdr:row>60</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7620</xdr:colOff>
                    <xdr:row>13</xdr:row>
                    <xdr:rowOff>7620</xdr:rowOff>
                  </from>
                  <to>
                    <xdr:col>3</xdr:col>
                    <xdr:colOff>975360</xdr:colOff>
                    <xdr:row>13</xdr:row>
                    <xdr:rowOff>213360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960120</xdr:colOff>
                    <xdr:row>2</xdr:row>
                    <xdr:rowOff>0</xdr:rowOff>
                  </from>
                  <to>
                    <xdr:col>8</xdr:col>
                    <xdr:colOff>297180</xdr:colOff>
                    <xdr:row>3</xdr:row>
                    <xdr:rowOff>30480</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43</xdr:row>
                    <xdr:rowOff>0</xdr:rowOff>
                  </from>
                  <to>
                    <xdr:col>5</xdr:col>
                    <xdr:colOff>693420</xdr:colOff>
                    <xdr:row>44</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36</xdr:row>
                    <xdr:rowOff>0</xdr:rowOff>
                  </from>
                  <to>
                    <xdr:col>3</xdr:col>
                    <xdr:colOff>693420</xdr:colOff>
                    <xdr:row>36</xdr:row>
                    <xdr:rowOff>220980</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36</xdr:row>
                    <xdr:rowOff>0</xdr:rowOff>
                  </from>
                  <to>
                    <xdr:col>4</xdr:col>
                    <xdr:colOff>693420</xdr:colOff>
                    <xdr:row>36</xdr:row>
                    <xdr:rowOff>220980</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36</xdr:row>
                    <xdr:rowOff>0</xdr:rowOff>
                  </from>
                  <to>
                    <xdr:col>5</xdr:col>
                    <xdr:colOff>693420</xdr:colOff>
                    <xdr:row>37</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43</xdr:row>
                    <xdr:rowOff>0</xdr:rowOff>
                  </from>
                  <to>
                    <xdr:col>4</xdr:col>
                    <xdr:colOff>693420</xdr:colOff>
                    <xdr:row>44</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43</xdr:row>
                    <xdr:rowOff>0</xdr:rowOff>
                  </from>
                  <to>
                    <xdr:col>3</xdr:col>
                    <xdr:colOff>693420</xdr:colOff>
                    <xdr:row>44</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5"/>
  <sheetViews>
    <sheetView showGridLines="0" topLeftCell="A17" zoomScale="85" workbookViewId="0">
      <selection activeCell="D24" sqref="D24"/>
    </sheetView>
  </sheetViews>
  <sheetFormatPr defaultRowHeight="13.2" x14ac:dyDescent="0.25"/>
  <cols>
    <col min="1" max="2" width="1.6640625" style="408" customWidth="1"/>
    <col min="3" max="3" width="29.6640625" style="409" customWidth="1"/>
    <col min="4" max="9" width="14.6640625" style="408" customWidth="1"/>
    <col min="10" max="10" width="14.88671875" style="408" customWidth="1"/>
    <col min="11" max="11" width="5.44140625" style="408" customWidth="1"/>
    <col min="12" max="12" width="9.5546875" style="408" customWidth="1"/>
    <col min="13" max="13" width="8.88671875" style="408"/>
    <col min="14" max="14" width="13.44140625" style="408" bestFit="1" customWidth="1"/>
    <col min="15" max="16384" width="8.88671875" style="408"/>
  </cols>
  <sheetData>
    <row r="1" spans="2:12" ht="21.6" thickBot="1" x14ac:dyDescent="0.45">
      <c r="C1" s="868" t="s">
        <v>1953</v>
      </c>
      <c r="D1" s="868"/>
      <c r="E1" s="868"/>
      <c r="F1" s="868"/>
      <c r="G1" s="868"/>
      <c r="H1" s="868"/>
      <c r="I1" s="868"/>
      <c r="J1" s="868"/>
      <c r="K1" s="868"/>
      <c r="L1" s="409"/>
    </row>
    <row r="2" spans="2:12" ht="15" customHeight="1" x14ac:dyDescent="0.25">
      <c r="B2" s="410"/>
      <c r="C2" s="411" t="s">
        <v>1844</v>
      </c>
      <c r="D2" s="412"/>
      <c r="E2" s="412"/>
      <c r="F2" s="412"/>
      <c r="G2" s="412"/>
      <c r="H2" s="412"/>
      <c r="I2" s="412"/>
      <c r="J2" s="412"/>
      <c r="K2" s="413"/>
      <c r="L2" s="409"/>
    </row>
    <row r="3" spans="2:12" ht="15" customHeight="1" x14ac:dyDescent="0.35">
      <c r="B3" s="414"/>
      <c r="C3" s="415"/>
      <c r="D3" s="416" t="s">
        <v>1845</v>
      </c>
      <c r="E3" s="416" t="s">
        <v>1846</v>
      </c>
      <c r="F3" s="416" t="s">
        <v>1847</v>
      </c>
      <c r="G3" s="416" t="s">
        <v>1848</v>
      </c>
      <c r="H3" s="416" t="s">
        <v>1849</v>
      </c>
      <c r="I3" s="869" t="s">
        <v>1850</v>
      </c>
      <c r="J3" s="869"/>
      <c r="K3" s="870">
        <v>2</v>
      </c>
      <c r="L3" s="409"/>
    </row>
    <row r="4" spans="2:12" ht="15" customHeight="1" x14ac:dyDescent="0.35">
      <c r="B4" s="414"/>
      <c r="C4" s="417" t="s">
        <v>1851</v>
      </c>
      <c r="D4" s="418" t="s">
        <v>1852</v>
      </c>
      <c r="E4" s="418" t="s">
        <v>1853</v>
      </c>
      <c r="F4" s="418" t="s">
        <v>1854</v>
      </c>
      <c r="G4" s="418" t="s">
        <v>1855</v>
      </c>
      <c r="H4" s="418" t="s">
        <v>1856</v>
      </c>
      <c r="I4" s="871" t="s">
        <v>1857</v>
      </c>
      <c r="J4" s="871"/>
      <c r="K4" s="870"/>
      <c r="L4" s="409"/>
    </row>
    <row r="5" spans="2:12" s="423" customFormat="1" ht="18" customHeight="1" x14ac:dyDescent="0.25">
      <c r="B5" s="419"/>
      <c r="C5" s="420" t="s">
        <v>1858</v>
      </c>
      <c r="D5" s="600">
        <f>'Recipe Sheet'!N8</f>
        <v>37.200000000000003</v>
      </c>
      <c r="E5" s="600">
        <f>'Recipe Sheet'!N9</f>
        <v>12.2</v>
      </c>
      <c r="F5" s="600">
        <f>'Recipe Sheet'!N10</f>
        <v>9.1</v>
      </c>
      <c r="G5" s="600">
        <f>'Recipe Sheet'!N11</f>
        <v>16</v>
      </c>
      <c r="H5" s="600">
        <f>'Recipe Sheet'!N12</f>
        <v>24.5</v>
      </c>
      <c r="I5" s="600">
        <f>'Recipe Sheet'!N13</f>
        <v>101.6</v>
      </c>
      <c r="J5" s="421"/>
      <c r="K5" s="422"/>
    </row>
    <row r="6" spans="2:12" ht="15" customHeight="1" x14ac:dyDescent="0.25">
      <c r="B6" s="414"/>
      <c r="C6" s="424" t="s">
        <v>1859</v>
      </c>
      <c r="D6" s="416"/>
      <c r="E6" s="425"/>
      <c r="F6" s="426"/>
      <c r="G6" s="426"/>
      <c r="H6" s="427"/>
      <c r="I6" s="427"/>
      <c r="J6" s="428"/>
      <c r="K6" s="429"/>
      <c r="L6" s="409"/>
    </row>
    <row r="7" spans="2:12" ht="15" customHeight="1" x14ac:dyDescent="0.25">
      <c r="B7" s="414"/>
      <c r="C7" s="417" t="s">
        <v>1860</v>
      </c>
      <c r="D7" s="416" t="s">
        <v>1861</v>
      </c>
      <c r="E7" s="416" t="s">
        <v>1862</v>
      </c>
      <c r="F7" s="416"/>
      <c r="G7" s="430"/>
      <c r="H7" s="428"/>
      <c r="I7" s="872" t="s">
        <v>1863</v>
      </c>
      <c r="J7" s="872"/>
      <c r="K7" s="873"/>
      <c r="L7" s="409"/>
    </row>
    <row r="8" spans="2:12" s="423" customFormat="1" ht="18" customHeight="1" x14ac:dyDescent="0.25">
      <c r="B8" s="419"/>
      <c r="C8" s="431" t="s">
        <v>1954</v>
      </c>
      <c r="D8" s="563" t="str">
        <f>IF('Brewhouse Setup &amp; Calcs'!$B$2="Metric",'Brewhouse Setup &amp; Calcs'!B43,"NA")</f>
        <v>NA</v>
      </c>
      <c r="E8" s="563" t="str">
        <f>IF('Brewhouse Setup &amp; Calcs'!$B$2="Metric",'Brewhouse Setup &amp; Calcs'!B48,"NA")</f>
        <v>NA</v>
      </c>
      <c r="F8" s="430"/>
      <c r="G8" s="430"/>
      <c r="H8" s="428"/>
      <c r="I8" s="872"/>
      <c r="J8" s="872"/>
      <c r="K8" s="873"/>
    </row>
    <row r="9" spans="2:12" s="423" customFormat="1" ht="18" customHeight="1" x14ac:dyDescent="0.25">
      <c r="B9" s="419"/>
      <c r="C9" s="433" t="s">
        <v>1955</v>
      </c>
      <c r="D9" s="434" t="e">
        <f>D8/3.785412</f>
        <v>#VALUE!</v>
      </c>
      <c r="E9" s="434" t="e">
        <f>E8/3.785412</f>
        <v>#VALUE!</v>
      </c>
      <c r="F9" s="430"/>
      <c r="G9" s="430"/>
      <c r="H9" s="428"/>
      <c r="I9" s="872"/>
      <c r="J9" s="872"/>
      <c r="K9" s="873"/>
    </row>
    <row r="10" spans="2:12" s="423" customFormat="1" ht="18" customHeight="1" x14ac:dyDescent="0.25">
      <c r="B10" s="419"/>
      <c r="C10" s="431" t="s">
        <v>1865</v>
      </c>
      <c r="D10" s="281">
        <v>0</v>
      </c>
      <c r="E10" s="281">
        <v>0</v>
      </c>
      <c r="F10" s="430"/>
      <c r="G10" s="430"/>
      <c r="H10" s="428"/>
      <c r="I10" s="872"/>
      <c r="J10" s="872"/>
      <c r="K10" s="873"/>
    </row>
    <row r="11" spans="2:12" s="423" customFormat="1" ht="15" customHeight="1" thickBot="1" x14ac:dyDescent="0.3">
      <c r="B11" s="435"/>
      <c r="C11" s="436"/>
      <c r="D11" s="437"/>
      <c r="E11" s="437"/>
      <c r="F11" s="437"/>
      <c r="G11" s="437"/>
      <c r="H11" s="438"/>
      <c r="I11" s="874"/>
      <c r="J11" s="874"/>
      <c r="K11" s="875"/>
    </row>
    <row r="12" spans="2:12" s="423" customFormat="1" ht="15" customHeight="1" x14ac:dyDescent="0.25">
      <c r="B12" s="439"/>
      <c r="C12" s="440" t="s">
        <v>1866</v>
      </c>
      <c r="D12" s="441"/>
      <c r="E12" s="441"/>
      <c r="F12" s="441"/>
      <c r="G12" s="442" t="s">
        <v>1867</v>
      </c>
      <c r="H12" s="443"/>
      <c r="I12" s="443" t="s">
        <v>1868</v>
      </c>
      <c r="J12" s="443" t="s">
        <v>1869</v>
      </c>
      <c r="K12" s="444"/>
    </row>
    <row r="13" spans="2:12" s="423" customFormat="1" ht="15" customHeight="1" x14ac:dyDescent="0.25">
      <c r="B13" s="445"/>
      <c r="C13" s="446"/>
      <c r="D13" s="447" t="s">
        <v>1870</v>
      </c>
      <c r="E13" s="447" t="s">
        <v>1871</v>
      </c>
      <c r="F13" s="447" t="s">
        <v>1872</v>
      </c>
      <c r="G13" s="443" t="s">
        <v>1795</v>
      </c>
      <c r="H13" s="448">
        <v>1</v>
      </c>
      <c r="I13" s="449" t="s">
        <v>1873</v>
      </c>
      <c r="J13" s="450"/>
      <c r="K13" s="451"/>
    </row>
    <row r="14" spans="2:12" s="423" customFormat="1" ht="15" customHeight="1" x14ac:dyDescent="0.25">
      <c r="B14" s="445"/>
      <c r="C14" s="452"/>
      <c r="D14" s="624" t="s">
        <v>66</v>
      </c>
      <c r="E14" s="447" t="s">
        <v>1956</v>
      </c>
      <c r="F14" s="453" t="s">
        <v>1875</v>
      </c>
      <c r="G14" s="443" t="s">
        <v>1876</v>
      </c>
      <c r="H14" s="448">
        <v>2</v>
      </c>
      <c r="I14" s="454" t="s">
        <v>1877</v>
      </c>
      <c r="J14" s="455">
        <v>5.7</v>
      </c>
      <c r="K14" s="456"/>
    </row>
    <row r="15" spans="2:12" s="423" customFormat="1" ht="18" customHeight="1" x14ac:dyDescent="0.25">
      <c r="B15" s="445"/>
      <c r="C15" s="867" t="s">
        <v>1878</v>
      </c>
      <c r="D15" s="623">
        <v>1</v>
      </c>
      <c r="E15" s="563" t="str">
        <f>IF('Brewhouse Setup &amp; Calcs'!$B$2="Metric",'Grain &amp; Sugar Calcs'!C5,"NA")</f>
        <v>NA</v>
      </c>
      <c r="F15" s="457">
        <v>0</v>
      </c>
      <c r="G15" s="458">
        <f>IF(D15=10,5.22-0.00504*F15,VLOOKUP(D15,H$13:J$23,3,FALSE))</f>
        <v>0</v>
      </c>
      <c r="H15" s="448">
        <v>3</v>
      </c>
      <c r="I15" s="454" t="s">
        <v>1879</v>
      </c>
      <c r="J15" s="455">
        <v>5.79</v>
      </c>
      <c r="K15" s="456"/>
    </row>
    <row r="16" spans="2:12" s="423" customFormat="1" ht="18" customHeight="1" x14ac:dyDescent="0.25">
      <c r="B16" s="445"/>
      <c r="C16" s="867"/>
      <c r="D16" s="623">
        <v>1</v>
      </c>
      <c r="E16" s="563" t="str">
        <f>IF('Brewhouse Setup &amp; Calcs'!$B$2="Metric",'Grain &amp; Sugar Calcs'!C6,"NA")</f>
        <v>NA</v>
      </c>
      <c r="F16" s="457">
        <v>0</v>
      </c>
      <c r="G16" s="458">
        <f t="shared" ref="G16:G23" si="0">IF(D16=10,5.22-0.00504*F16,VLOOKUP(D16,H$13:J$23,3,FALSE))</f>
        <v>0</v>
      </c>
      <c r="H16" s="448">
        <v>4</v>
      </c>
      <c r="I16" s="454" t="s">
        <v>1880</v>
      </c>
      <c r="J16" s="455">
        <v>5.77</v>
      </c>
      <c r="K16" s="456"/>
    </row>
    <row r="17" spans="2:12" s="423" customFormat="1" ht="18" customHeight="1" x14ac:dyDescent="0.25">
      <c r="B17" s="445"/>
      <c r="C17" s="867"/>
      <c r="D17" s="623">
        <v>1</v>
      </c>
      <c r="E17" s="563" t="str">
        <f>IF('Brewhouse Setup &amp; Calcs'!$B$2="Metric",'Grain &amp; Sugar Calcs'!C7,"NA")</f>
        <v>NA</v>
      </c>
      <c r="F17" s="457">
        <v>40</v>
      </c>
      <c r="G17" s="458">
        <f t="shared" si="0"/>
        <v>0</v>
      </c>
      <c r="H17" s="448">
        <v>5</v>
      </c>
      <c r="I17" s="454" t="s">
        <v>1881</v>
      </c>
      <c r="J17" s="455">
        <v>5.43</v>
      </c>
      <c r="K17" s="456"/>
    </row>
    <row r="18" spans="2:12" s="423" customFormat="1" ht="18" customHeight="1" x14ac:dyDescent="0.25">
      <c r="B18" s="445"/>
      <c r="C18" s="867"/>
      <c r="D18" s="623">
        <v>1</v>
      </c>
      <c r="E18" s="563" t="str">
        <f>IF('Brewhouse Setup &amp; Calcs'!$B$2="Metric",'Grain &amp; Sugar Calcs'!C8,"NA")</f>
        <v>NA</v>
      </c>
      <c r="F18" s="457">
        <v>0</v>
      </c>
      <c r="G18" s="458">
        <f t="shared" si="0"/>
        <v>0</v>
      </c>
      <c r="H18" s="448">
        <v>6</v>
      </c>
      <c r="I18" s="454" t="s">
        <v>1882</v>
      </c>
      <c r="J18" s="455">
        <v>5.75</v>
      </c>
      <c r="K18" s="456"/>
    </row>
    <row r="19" spans="2:12" s="423" customFormat="1" ht="18" customHeight="1" x14ac:dyDescent="0.25">
      <c r="B19" s="445"/>
      <c r="C19" s="867"/>
      <c r="D19" s="623">
        <v>1</v>
      </c>
      <c r="E19" s="563" t="str">
        <f>IF('Brewhouse Setup &amp; Calcs'!$B$2="Metric",'Grain &amp; Sugar Calcs'!C9,"NA")</f>
        <v>NA</v>
      </c>
      <c r="F19" s="457">
        <v>0</v>
      </c>
      <c r="G19" s="458">
        <f t="shared" si="0"/>
        <v>0</v>
      </c>
      <c r="H19" s="448">
        <v>7</v>
      </c>
      <c r="I19" s="454" t="s">
        <v>1883</v>
      </c>
      <c r="J19" s="455">
        <v>6.04</v>
      </c>
      <c r="K19" s="456"/>
    </row>
    <row r="20" spans="2:12" s="423" customFormat="1" ht="18" customHeight="1" x14ac:dyDescent="0.25">
      <c r="B20" s="445"/>
      <c r="C20" s="867"/>
      <c r="D20" s="623">
        <v>1</v>
      </c>
      <c r="E20" s="563" t="str">
        <f>IF('Brewhouse Setup &amp; Calcs'!$B$2="Metric",'Grain &amp; Sugar Calcs'!C10,"NA")</f>
        <v>NA</v>
      </c>
      <c r="F20" s="457">
        <v>0</v>
      </c>
      <c r="G20" s="458">
        <f t="shared" si="0"/>
        <v>0</v>
      </c>
      <c r="H20" s="448">
        <v>8</v>
      </c>
      <c r="I20" s="454" t="s">
        <v>1884</v>
      </c>
      <c r="J20" s="455">
        <v>5.56</v>
      </c>
      <c r="K20" s="456"/>
    </row>
    <row r="21" spans="2:12" s="423" customFormat="1" ht="18" customHeight="1" x14ac:dyDescent="0.25">
      <c r="B21" s="445"/>
      <c r="C21" s="867"/>
      <c r="D21" s="623">
        <v>1</v>
      </c>
      <c r="E21" s="563" t="str">
        <f>IF('Brewhouse Setup &amp; Calcs'!$B$2="Metric",'Grain &amp; Sugar Calcs'!C11,"NA")</f>
        <v>NA</v>
      </c>
      <c r="F21" s="457">
        <v>0</v>
      </c>
      <c r="G21" s="458">
        <f t="shared" si="0"/>
        <v>0</v>
      </c>
      <c r="H21" s="448">
        <v>9</v>
      </c>
      <c r="I21" s="454" t="s">
        <v>1885</v>
      </c>
      <c r="J21" s="455">
        <v>5.7</v>
      </c>
      <c r="K21" s="456"/>
    </row>
    <row r="22" spans="2:12" s="423" customFormat="1" ht="18" customHeight="1" x14ac:dyDescent="0.25">
      <c r="B22" s="445"/>
      <c r="C22" s="867"/>
      <c r="D22" s="623">
        <v>1</v>
      </c>
      <c r="E22" s="563" t="str">
        <f>IF('Brewhouse Setup &amp; Calcs'!$B$2="Metric",'Grain &amp; Sugar Calcs'!C12,"NA")</f>
        <v>NA</v>
      </c>
      <c r="F22" s="457">
        <v>0</v>
      </c>
      <c r="G22" s="458">
        <f t="shared" si="0"/>
        <v>0</v>
      </c>
      <c r="H22" s="448">
        <v>10</v>
      </c>
      <c r="I22" s="454" t="s">
        <v>1886</v>
      </c>
      <c r="J22" s="455" t="s">
        <v>1887</v>
      </c>
      <c r="K22" s="456"/>
    </row>
    <row r="23" spans="2:12" s="423" customFormat="1" ht="18" customHeight="1" x14ac:dyDescent="0.25">
      <c r="B23" s="445"/>
      <c r="C23" s="867"/>
      <c r="D23" s="623">
        <v>1</v>
      </c>
      <c r="E23" s="563" t="str">
        <f>IF('Brewhouse Setup &amp; Calcs'!$B$2="Metric",'Grain &amp; Sugar Calcs'!C13,"NA")</f>
        <v>NA</v>
      </c>
      <c r="F23" s="457">
        <v>0</v>
      </c>
      <c r="G23" s="458">
        <f t="shared" si="0"/>
        <v>0</v>
      </c>
      <c r="H23" s="448">
        <v>11</v>
      </c>
      <c r="I23" s="459" t="s">
        <v>1888</v>
      </c>
      <c r="J23" s="460">
        <v>4.71</v>
      </c>
      <c r="K23" s="456"/>
    </row>
    <row r="24" spans="2:12" s="423" customFormat="1" ht="15" customHeight="1" x14ac:dyDescent="0.25">
      <c r="B24" s="445"/>
      <c r="C24" s="461"/>
      <c r="D24" s="625" t="s">
        <v>1957</v>
      </c>
      <c r="E24" s="463">
        <f>SUM(E15:E23)</f>
        <v>0</v>
      </c>
      <c r="F24" s="464"/>
      <c r="G24" s="465"/>
      <c r="H24" s="837" t="s">
        <v>1890</v>
      </c>
      <c r="I24" s="838"/>
      <c r="J24" s="838"/>
      <c r="K24" s="839"/>
    </row>
    <row r="25" spans="2:12" s="423" customFormat="1" ht="15" customHeight="1" x14ac:dyDescent="0.25">
      <c r="B25" s="445"/>
      <c r="C25" s="461"/>
      <c r="D25" s="448" t="s">
        <v>1958</v>
      </c>
      <c r="E25" s="466">
        <f>E24*2.20462</f>
        <v>0</v>
      </c>
      <c r="F25" s="467"/>
      <c r="G25" s="465"/>
      <c r="H25" s="838"/>
      <c r="I25" s="838"/>
      <c r="J25" s="838"/>
      <c r="K25" s="839"/>
    </row>
    <row r="26" spans="2:12" s="423" customFormat="1" ht="15" customHeight="1" x14ac:dyDescent="0.25">
      <c r="B26" s="445"/>
      <c r="C26" s="461"/>
      <c r="D26" s="462" t="s">
        <v>1891</v>
      </c>
      <c r="E26" s="463" t="e">
        <f>ROUND(D8/E24,2)&amp;" l/kg"</f>
        <v>#VALUE!</v>
      </c>
      <c r="F26" s="467"/>
      <c r="G26" s="465"/>
      <c r="H26" s="838"/>
      <c r="I26" s="838"/>
      <c r="J26" s="838"/>
      <c r="K26" s="839"/>
    </row>
    <row r="27" spans="2:12" ht="15" customHeight="1" thickBot="1" x14ac:dyDescent="0.3">
      <c r="B27" s="468"/>
      <c r="C27" s="469"/>
      <c r="D27" s="470"/>
      <c r="E27" s="443" t="e">
        <f>ROUND(D9*4/E25,2)&amp;" qt/lb"</f>
        <v>#VALUE!</v>
      </c>
      <c r="F27" s="471"/>
      <c r="G27" s="471"/>
      <c r="H27" s="840"/>
      <c r="I27" s="840"/>
      <c r="J27" s="840"/>
      <c r="K27" s="841"/>
      <c r="L27" s="409"/>
    </row>
    <row r="28" spans="2:12" ht="14.25" customHeight="1" x14ac:dyDescent="0.25">
      <c r="B28" s="472"/>
      <c r="C28" s="473" t="s">
        <v>1892</v>
      </c>
      <c r="D28" s="474"/>
      <c r="E28" s="475"/>
      <c r="F28" s="476"/>
      <c r="G28" s="476"/>
      <c r="H28" s="842" t="s">
        <v>1893</v>
      </c>
      <c r="I28" s="842"/>
      <c r="J28" s="842"/>
      <c r="K28" s="843"/>
      <c r="L28" s="409"/>
    </row>
    <row r="29" spans="2:12" ht="15" customHeight="1" x14ac:dyDescent="0.25">
      <c r="B29" s="477"/>
      <c r="C29" s="478"/>
      <c r="D29" s="846" t="s">
        <v>1894</v>
      </c>
      <c r="E29" s="848" t="s">
        <v>1895</v>
      </c>
      <c r="F29" s="851" t="s">
        <v>1896</v>
      </c>
      <c r="G29" s="853" t="s">
        <v>1897</v>
      </c>
      <c r="H29" s="844"/>
      <c r="I29" s="844"/>
      <c r="J29" s="844"/>
      <c r="K29" s="845"/>
      <c r="L29" s="409"/>
    </row>
    <row r="30" spans="2:12" ht="15" customHeight="1" x14ac:dyDescent="0.25">
      <c r="B30" s="477"/>
      <c r="C30" s="479"/>
      <c r="D30" s="846"/>
      <c r="E30" s="849"/>
      <c r="F30" s="851"/>
      <c r="G30" s="853"/>
      <c r="H30" s="844"/>
      <c r="I30" s="844"/>
      <c r="J30" s="844"/>
      <c r="K30" s="845"/>
      <c r="L30" s="409"/>
    </row>
    <row r="31" spans="2:12" ht="15" customHeight="1" thickBot="1" x14ac:dyDescent="0.3">
      <c r="B31" s="477"/>
      <c r="C31" s="480"/>
      <c r="D31" s="847"/>
      <c r="E31" s="850"/>
      <c r="F31" s="852"/>
      <c r="G31" s="854"/>
      <c r="H31" s="481"/>
      <c r="I31" s="481"/>
      <c r="J31" s="481"/>
      <c r="K31" s="482"/>
      <c r="L31" s="409"/>
    </row>
    <row r="32" spans="2:12" ht="27.75" customHeight="1" thickTop="1" thickBot="1" x14ac:dyDescent="0.3">
      <c r="B32" s="477"/>
      <c r="C32" s="483"/>
      <c r="D32" s="484" t="e">
        <f>(1-D$10)*I$5*IF(K$3=1,50/61,IF(OR(K$3=0,K$3=2),1,"ERROR"))+(F$44*130+E$44*157-176.1*J37*J36*2-4160.4*H36*H38*2.5+D$44*357)/D$9</f>
        <v>#VALUE!</v>
      </c>
      <c r="E32" s="485" t="e">
        <f>D32-((D51/1.4)+(E51/1.7))</f>
        <v>#VALUE!</v>
      </c>
      <c r="F32" s="486" t="e">
        <f>(E15*G15+E16*G16+E17*G17+E18*G18+E19*G19+E20*G20+E21*G21+E22*G22+E23*G23)/E24+(0.1085*D9/E25+0.013)*E32/50</f>
        <v>#VALUE!</v>
      </c>
      <c r="G32" s="487" t="s">
        <v>1898</v>
      </c>
      <c r="H32" s="844" t="s">
        <v>1899</v>
      </c>
      <c r="I32" s="855"/>
      <c r="J32" s="855"/>
      <c r="K32" s="856"/>
      <c r="L32" s="409"/>
    </row>
    <row r="33" spans="2:12" ht="15" customHeight="1" thickTop="1" thickBot="1" x14ac:dyDescent="0.3">
      <c r="B33" s="488"/>
      <c r="C33" s="489"/>
      <c r="D33" s="489"/>
      <c r="E33" s="489"/>
      <c r="F33" s="489"/>
      <c r="G33" s="490"/>
      <c r="H33" s="857"/>
      <c r="I33" s="857"/>
      <c r="J33" s="857"/>
      <c r="K33" s="858"/>
      <c r="L33" s="409"/>
    </row>
    <row r="34" spans="2:12" ht="15" customHeight="1" x14ac:dyDescent="0.25">
      <c r="B34" s="491"/>
      <c r="C34" s="492" t="s">
        <v>1900</v>
      </c>
      <c r="D34" s="493"/>
      <c r="E34" s="493"/>
      <c r="F34" s="493"/>
      <c r="G34" s="493"/>
      <c r="H34" s="493"/>
      <c r="I34" s="494"/>
      <c r="J34" s="495"/>
      <c r="K34" s="496"/>
      <c r="L34" s="409"/>
    </row>
    <row r="35" spans="2:12" ht="15" customHeight="1" x14ac:dyDescent="0.25">
      <c r="B35" s="497"/>
      <c r="C35" s="498"/>
      <c r="D35" s="499" t="s">
        <v>1901</v>
      </c>
      <c r="E35" s="499" t="s">
        <v>1902</v>
      </c>
      <c r="F35" s="499" t="s">
        <v>1903</v>
      </c>
      <c r="G35" s="500"/>
      <c r="H35" s="500" t="s">
        <v>1904</v>
      </c>
      <c r="I35" s="501"/>
      <c r="J35" s="500" t="s">
        <v>1905</v>
      </c>
      <c r="K35" s="502"/>
      <c r="L35" s="409"/>
    </row>
    <row r="36" spans="2:12" ht="15" customHeight="1" x14ac:dyDescent="0.25">
      <c r="B36" s="497"/>
      <c r="C36" s="503" t="s">
        <v>1906</v>
      </c>
      <c r="D36" s="500" t="s">
        <v>1907</v>
      </c>
      <c r="E36" s="500" t="s">
        <v>1908</v>
      </c>
      <c r="F36" s="500" t="s">
        <v>1909</v>
      </c>
      <c r="G36" s="504" t="s">
        <v>1910</v>
      </c>
      <c r="H36" s="349">
        <v>0.02</v>
      </c>
      <c r="I36" s="505" t="s">
        <v>1910</v>
      </c>
      <c r="J36" s="351">
        <v>0.88</v>
      </c>
      <c r="K36" s="502"/>
      <c r="L36" s="409"/>
    </row>
    <row r="37" spans="2:12" s="423" customFormat="1" ht="18" customHeight="1" x14ac:dyDescent="0.25">
      <c r="B37" s="506"/>
      <c r="C37" s="504" t="s">
        <v>1911</v>
      </c>
      <c r="D37" s="432"/>
      <c r="E37" s="432"/>
      <c r="F37" s="432"/>
      <c r="G37" s="505" t="s">
        <v>1959</v>
      </c>
      <c r="H37" s="353">
        <v>0</v>
      </c>
      <c r="I37" s="505" t="s">
        <v>1913</v>
      </c>
      <c r="J37" s="432">
        <v>0</v>
      </c>
      <c r="K37" s="507"/>
    </row>
    <row r="38" spans="2:12" ht="18" customHeight="1" x14ac:dyDescent="0.25">
      <c r="B38" s="497"/>
      <c r="C38" s="504" t="s">
        <v>1914</v>
      </c>
      <c r="D38" s="622" t="b">
        <v>1</v>
      </c>
      <c r="E38" s="622" t="b">
        <v>1</v>
      </c>
      <c r="F38" s="622" t="b">
        <v>1</v>
      </c>
      <c r="G38" s="508" t="s">
        <v>1912</v>
      </c>
      <c r="H38" s="509">
        <f>H37/28.34952</f>
        <v>0</v>
      </c>
      <c r="I38" s="510" t="s">
        <v>1915</v>
      </c>
      <c r="J38" s="501"/>
      <c r="K38" s="502"/>
      <c r="L38" s="409"/>
    </row>
    <row r="39" spans="2:12" s="423" customFormat="1" ht="18" customHeight="1" x14ac:dyDescent="0.25">
      <c r="B39" s="506"/>
      <c r="C39" s="504" t="s">
        <v>1916</v>
      </c>
      <c r="D39" s="511" t="e">
        <f>IF(D38,D37/$D8*$E8,0)</f>
        <v>#VALUE!</v>
      </c>
      <c r="E39" s="511" t="e">
        <f>IF(E38,E37/$D8*$E8,0)</f>
        <v>#VALUE!</v>
      </c>
      <c r="F39" s="511" t="e">
        <f>IF(F38,F37/$D8*$E8,0)</f>
        <v>#VALUE!</v>
      </c>
      <c r="G39" s="512"/>
      <c r="H39" s="513" t="e">
        <f>"("&amp;ROUND(100*H37/E24/1000,1)&amp;"% of total wt)"</f>
        <v>#DIV/0!</v>
      </c>
      <c r="I39" s="514" t="s">
        <v>1960</v>
      </c>
      <c r="J39" s="515"/>
      <c r="K39" s="516"/>
    </row>
    <row r="40" spans="2:12" s="423" customFormat="1" ht="15" customHeight="1" thickBot="1" x14ac:dyDescent="0.3">
      <c r="B40" s="506"/>
      <c r="C40" s="517" t="s">
        <v>1918</v>
      </c>
      <c r="D40" s="512"/>
      <c r="E40" s="512"/>
      <c r="F40" s="512"/>
      <c r="G40" s="512"/>
      <c r="H40" s="518"/>
      <c r="I40" s="515"/>
      <c r="J40" s="519"/>
      <c r="K40" s="520"/>
    </row>
    <row r="41" spans="2:12" s="423" customFormat="1" ht="15" customHeight="1" x14ac:dyDescent="0.25">
      <c r="B41" s="521"/>
      <c r="C41" s="492" t="s">
        <v>1919</v>
      </c>
      <c r="D41" s="522"/>
      <c r="E41" s="522"/>
      <c r="F41" s="522"/>
      <c r="G41" s="859" t="s">
        <v>1920</v>
      </c>
      <c r="H41" s="859"/>
      <c r="I41" s="859"/>
      <c r="J41" s="859"/>
      <c r="K41" s="860"/>
    </row>
    <row r="42" spans="2:12" s="423" customFormat="1" ht="15" customHeight="1" x14ac:dyDescent="0.25">
      <c r="B42" s="506"/>
      <c r="C42" s="504"/>
      <c r="D42" s="499" t="s">
        <v>1921</v>
      </c>
      <c r="E42" s="499" t="s">
        <v>1922</v>
      </c>
      <c r="F42" s="523" t="s">
        <v>1923</v>
      </c>
      <c r="G42" s="861"/>
      <c r="H42" s="861"/>
      <c r="I42" s="861"/>
      <c r="J42" s="861"/>
      <c r="K42" s="862"/>
    </row>
    <row r="43" spans="2:12" s="423" customFormat="1" ht="15" customHeight="1" x14ac:dyDescent="0.25">
      <c r="B43" s="497"/>
      <c r="C43" s="503" t="s">
        <v>1906</v>
      </c>
      <c r="D43" s="500" t="s">
        <v>1924</v>
      </c>
      <c r="E43" s="500" t="s">
        <v>1925</v>
      </c>
      <c r="F43" s="524" t="s">
        <v>1926</v>
      </c>
      <c r="G43" s="861"/>
      <c r="H43" s="861"/>
      <c r="I43" s="861"/>
      <c r="J43" s="861"/>
      <c r="K43" s="862"/>
    </row>
    <row r="44" spans="2:12" s="423" customFormat="1" ht="18" customHeight="1" x14ac:dyDescent="0.25">
      <c r="B44" s="506"/>
      <c r="C44" s="504" t="s">
        <v>1911</v>
      </c>
      <c r="D44" s="432"/>
      <c r="E44" s="432"/>
      <c r="F44" s="432"/>
      <c r="G44" s="525"/>
      <c r="H44" s="525"/>
      <c r="I44" s="525"/>
      <c r="J44" s="512"/>
      <c r="K44" s="507"/>
    </row>
    <row r="45" spans="2:12" s="423" customFormat="1" ht="18" customHeight="1" x14ac:dyDescent="0.25">
      <c r="B45" s="497"/>
      <c r="C45" s="504" t="s">
        <v>1914</v>
      </c>
      <c r="D45" s="622" t="b">
        <v>1</v>
      </c>
      <c r="E45" s="622" t="b">
        <v>1</v>
      </c>
      <c r="F45" s="622" t="b">
        <v>1</v>
      </c>
      <c r="G45" s="525"/>
      <c r="H45" s="525"/>
      <c r="I45" s="525"/>
      <c r="J45" s="512"/>
      <c r="K45" s="507"/>
    </row>
    <row r="46" spans="2:12" s="423" customFormat="1" ht="18" customHeight="1" x14ac:dyDescent="0.25">
      <c r="B46" s="506"/>
      <c r="C46" s="504" t="s">
        <v>1916</v>
      </c>
      <c r="D46" s="511" t="e">
        <f>IF(D45,D44/$D8*$E8,0)</f>
        <v>#VALUE!</v>
      </c>
      <c r="E46" s="511" t="e">
        <f>IF(E45,E44/$D8*$E8,0)</f>
        <v>#VALUE!</v>
      </c>
      <c r="F46" s="511" t="e">
        <f>IF(F45,F44/$D8*$E8,0)</f>
        <v>#VALUE!</v>
      </c>
      <c r="G46" s="512"/>
      <c r="H46" s="500"/>
      <c r="I46" s="500"/>
      <c r="J46" s="512"/>
      <c r="K46" s="507"/>
    </row>
    <row r="47" spans="2:12" ht="15" customHeight="1" thickBot="1" x14ac:dyDescent="0.3">
      <c r="B47" s="506"/>
      <c r="C47" s="517" t="s">
        <v>1918</v>
      </c>
      <c r="D47" s="526"/>
      <c r="E47" s="526"/>
      <c r="F47" s="527"/>
      <c r="G47" s="528"/>
      <c r="H47" s="526"/>
      <c r="I47" s="527"/>
      <c r="J47" s="527"/>
      <c r="K47" s="529"/>
      <c r="L47" s="409"/>
    </row>
    <row r="48" spans="2:12" ht="15" customHeight="1" x14ac:dyDescent="0.25">
      <c r="B48" s="410"/>
      <c r="C48" s="411" t="s">
        <v>1927</v>
      </c>
      <c r="D48" s="412"/>
      <c r="E48" s="412"/>
      <c r="F48" s="412"/>
      <c r="G48" s="412"/>
      <c r="H48" s="412"/>
      <c r="I48" s="412"/>
      <c r="J48" s="412"/>
      <c r="K48" s="530"/>
      <c r="L48" s="409"/>
    </row>
    <row r="49" spans="1:14" ht="15" customHeight="1" x14ac:dyDescent="0.25">
      <c r="B49" s="414"/>
      <c r="C49" s="415"/>
      <c r="D49" s="416" t="s">
        <v>1845</v>
      </c>
      <c r="E49" s="416" t="s">
        <v>1846</v>
      </c>
      <c r="F49" s="416" t="s">
        <v>1847</v>
      </c>
      <c r="G49" s="416" t="s">
        <v>1848</v>
      </c>
      <c r="H49" s="416" t="s">
        <v>1849</v>
      </c>
      <c r="I49" s="863" t="s">
        <v>1928</v>
      </c>
      <c r="J49" s="863"/>
      <c r="K49" s="531"/>
      <c r="L49" s="409"/>
    </row>
    <row r="50" spans="1:14" s="532" customFormat="1" ht="15" customHeight="1" x14ac:dyDescent="0.35">
      <c r="B50" s="533"/>
      <c r="C50" s="534"/>
      <c r="D50" s="418" t="s">
        <v>1852</v>
      </c>
      <c r="E50" s="418" t="s">
        <v>1853</v>
      </c>
      <c r="F50" s="418" t="s">
        <v>1854</v>
      </c>
      <c r="G50" s="418" t="s">
        <v>1855</v>
      </c>
      <c r="H50" s="418" t="s">
        <v>1856</v>
      </c>
      <c r="I50" s="864" t="s">
        <v>1929</v>
      </c>
      <c r="J50" s="864"/>
      <c r="K50" s="535"/>
      <c r="L50" s="536"/>
      <c r="M50" s="423"/>
    </row>
    <row r="51" spans="1:14" s="423" customFormat="1" ht="18" customHeight="1" thickBot="1" x14ac:dyDescent="0.3">
      <c r="B51" s="419"/>
      <c r="C51" s="431" t="s">
        <v>1930</v>
      </c>
      <c r="D51" s="537" t="e">
        <f>(1-D$10)*D$5+(F$44*105.89+D$37*60+E$37*72+D$44*143)/D$9</f>
        <v>#VALUE!</v>
      </c>
      <c r="E51" s="537" t="e">
        <f>(1-D$10)*E$5+F$37*24.6/D$9</f>
        <v>#VALUE!</v>
      </c>
      <c r="F51" s="537" t="e">
        <f>(1-D$10)*F$5+E$44*72.3/D$9</f>
        <v>#VALUE!</v>
      </c>
      <c r="G51" s="537" t="e">
        <f>(1-D$10)*G$5+E$37*127.47/D$9</f>
        <v>#VALUE!</v>
      </c>
      <c r="H51" s="537" t="e">
        <f>(1-D$10)*H$5+(D$37*147.4+F$37*103)/D$9</f>
        <v>#VALUE!</v>
      </c>
      <c r="I51" s="865" t="e">
        <f>G51/H51</f>
        <v>#VALUE!</v>
      </c>
      <c r="J51" s="866"/>
      <c r="K51" s="422"/>
    </row>
    <row r="52" spans="1:14" s="423" customFormat="1" ht="18" customHeight="1" thickBot="1" x14ac:dyDescent="0.3">
      <c r="B52" s="419"/>
      <c r="C52" s="431" t="s">
        <v>1931</v>
      </c>
      <c r="D52" s="538" t="e">
        <f>IF(E8=0,D51,(1-(((D$10*D$9)+(E$10*E$9))/(D$9+E$9)))*D$5+((F$44+F$46)*105.89+(D$37+D$39)*60+(E$37+E$39)*72+(D$44+D$46)*143)/(D$9+E$9))</f>
        <v>#VALUE!</v>
      </c>
      <c r="E52" s="538" t="e">
        <f>IF(E8=0,E51,(1-(((D$10*D$9)+(E$10*E$9))/(D$9+E$9)))*E$5+(F$37+F$39)*24.6/(D$9+E$9))</f>
        <v>#VALUE!</v>
      </c>
      <c r="F52" s="538" t="e">
        <f>IF(E8=0,F51,(1-(((D$10*D$9)+(E$10*E$9))/(D$9+E$9)))*F$5+(E$44+E$46)*72.3/(D$9+E$9))</f>
        <v>#VALUE!</v>
      </c>
      <c r="G52" s="538" t="e">
        <f>IF(E8=0,G51,(1-(((D$10*D$9)+(E$10*E$9))/(D$9+E$9)))*G$5+(E$37+E$39)*127.47/(D$9+E$9))</f>
        <v>#VALUE!</v>
      </c>
      <c r="H52" s="538" t="e">
        <f>IF(E8=0,H51,(1-(((D$10*D$9)+(E$10*E$9))/(D$9+E$9)))*H$5+((D$37+D$39)*147.4+(F$37+F$39)*103)/(D$9+E$9))</f>
        <v>#VALUE!</v>
      </c>
      <c r="I52" s="835" t="e">
        <f>G52/H52</f>
        <v>#VALUE!</v>
      </c>
      <c r="J52" s="836"/>
      <c r="K52" s="422"/>
      <c r="M52" s="409"/>
    </row>
    <row r="53" spans="1:14" ht="18" customHeight="1" x14ac:dyDescent="0.25">
      <c r="B53" s="414"/>
      <c r="C53" s="539" t="s">
        <v>1932</v>
      </c>
      <c r="D53" s="540" t="s">
        <v>1933</v>
      </c>
      <c r="E53" s="541" t="s">
        <v>1934</v>
      </c>
      <c r="F53" s="540" t="s">
        <v>1935</v>
      </c>
      <c r="G53" s="540" t="s">
        <v>1936</v>
      </c>
      <c r="H53" s="542" t="s">
        <v>1937</v>
      </c>
      <c r="I53" s="825" t="e">
        <f>IF(I52&lt;0.77,"Below .77, May enhance bitterness", IF(I52&lt;1.3,".77 to 1.3 = Balanced","Above 1.3 may enhance maltiness"))</f>
        <v>#VALUE!</v>
      </c>
      <c r="J53" s="826"/>
      <c r="K53" s="531"/>
      <c r="L53" s="409"/>
    </row>
    <row r="54" spans="1:14" ht="15" customHeight="1" x14ac:dyDescent="0.25">
      <c r="B54" s="414"/>
      <c r="C54" s="827" t="s">
        <v>1938</v>
      </c>
      <c r="D54" s="827"/>
      <c r="E54" s="827"/>
      <c r="F54" s="827"/>
      <c r="G54" s="827"/>
      <c r="H54" s="827"/>
      <c r="I54" s="827"/>
      <c r="J54" s="827"/>
      <c r="K54" s="828"/>
      <c r="L54" s="409"/>
      <c r="M54" s="423"/>
      <c r="N54" s="536"/>
    </row>
    <row r="55" spans="1:14" ht="15" customHeight="1" thickBot="1" x14ac:dyDescent="0.3">
      <c r="B55" s="543"/>
      <c r="C55" s="829"/>
      <c r="D55" s="829"/>
      <c r="E55" s="829"/>
      <c r="F55" s="829"/>
      <c r="G55" s="829"/>
      <c r="H55" s="829"/>
      <c r="I55" s="830"/>
      <c r="J55" s="830"/>
      <c r="K55" s="831"/>
    </row>
    <row r="56" spans="1:14" s="544" customFormat="1" ht="15" customHeight="1" x14ac:dyDescent="0.25">
      <c r="B56" s="545"/>
      <c r="C56" s="546"/>
      <c r="D56" s="546"/>
      <c r="E56" s="546"/>
      <c r="F56" s="546"/>
      <c r="G56" s="546"/>
      <c r="H56" s="546"/>
      <c r="I56" s="547"/>
      <c r="J56" s="547"/>
      <c r="K56" s="547"/>
    </row>
    <row r="57" spans="1:14" s="544" customFormat="1" ht="23.25" customHeight="1" x14ac:dyDescent="0.25">
      <c r="B57" s="545"/>
      <c r="C57" s="832" t="s">
        <v>1939</v>
      </c>
      <c r="D57" s="832"/>
      <c r="E57" s="832"/>
      <c r="F57" s="832"/>
      <c r="G57" s="832"/>
      <c r="H57" s="832"/>
      <c r="I57" s="832"/>
      <c r="J57" s="832"/>
      <c r="K57" s="832"/>
    </row>
    <row r="58" spans="1:14" ht="15" customHeight="1" x14ac:dyDescent="0.25">
      <c r="A58" s="548"/>
      <c r="B58" s="549"/>
      <c r="C58" s="550"/>
      <c r="D58" s="550"/>
      <c r="E58" s="550"/>
      <c r="F58" s="550"/>
      <c r="G58" s="550"/>
      <c r="H58" s="550"/>
      <c r="I58" s="551"/>
      <c r="J58" s="551"/>
      <c r="K58" s="551"/>
    </row>
    <row r="59" spans="1:14" ht="15" customHeight="1" x14ac:dyDescent="0.25">
      <c r="A59" s="548"/>
      <c r="B59" s="549"/>
      <c r="C59" s="550"/>
      <c r="D59" s="552" t="s">
        <v>1940</v>
      </c>
      <c r="E59" s="553"/>
      <c r="F59" s="553"/>
      <c r="G59" s="550"/>
      <c r="H59" s="550"/>
      <c r="I59" s="551"/>
      <c r="J59" s="551"/>
      <c r="K59" s="551"/>
    </row>
    <row r="60" spans="1:14" ht="15" customHeight="1" x14ac:dyDescent="0.25">
      <c r="A60" s="548"/>
      <c r="B60" s="549"/>
      <c r="C60" s="550"/>
      <c r="D60" s="553"/>
      <c r="E60" s="553"/>
      <c r="F60" s="553"/>
      <c r="G60" s="550"/>
      <c r="H60" s="550"/>
      <c r="I60" s="551"/>
      <c r="J60" s="551"/>
      <c r="K60" s="551"/>
    </row>
    <row r="61" spans="1:14" ht="15" customHeight="1" x14ac:dyDescent="0.25">
      <c r="A61" s="548"/>
      <c r="B61" s="549"/>
      <c r="C61" s="550"/>
      <c r="D61" s="553"/>
      <c r="E61" s="553"/>
      <c r="F61" s="553"/>
      <c r="G61" s="550"/>
      <c r="H61" s="550"/>
      <c r="I61" s="551"/>
      <c r="J61" s="551"/>
      <c r="K61" s="551"/>
    </row>
    <row r="62" spans="1:14" ht="15" customHeight="1" x14ac:dyDescent="0.25">
      <c r="A62" s="548"/>
      <c r="B62" s="549"/>
      <c r="C62" s="550"/>
      <c r="D62" s="554"/>
      <c r="E62" s="554"/>
      <c r="F62" s="550"/>
      <c r="G62" s="550"/>
      <c r="H62" s="550"/>
      <c r="I62" s="551"/>
      <c r="J62" s="551"/>
      <c r="K62" s="551"/>
    </row>
    <row r="63" spans="1:14" ht="15" customHeight="1" x14ac:dyDescent="0.25">
      <c r="A63" s="548"/>
      <c r="B63" s="549"/>
      <c r="C63" s="552" t="s">
        <v>1941</v>
      </c>
      <c r="D63" s="554"/>
      <c r="E63" s="554"/>
      <c r="F63" s="550"/>
      <c r="G63" s="550"/>
      <c r="H63" s="550"/>
      <c r="I63" s="551"/>
      <c r="J63" s="551"/>
      <c r="K63" s="551"/>
    </row>
    <row r="64" spans="1:14" ht="41.25" customHeight="1" x14ac:dyDescent="0.25">
      <c r="A64" s="548"/>
      <c r="B64" s="549"/>
      <c r="C64" s="550"/>
      <c r="D64" s="554"/>
      <c r="E64" s="554"/>
      <c r="F64" s="550"/>
      <c r="G64" s="550"/>
      <c r="H64" s="550"/>
      <c r="I64" s="551"/>
      <c r="J64" s="551"/>
      <c r="K64" s="551"/>
    </row>
    <row r="65" spans="1:11" s="555" customFormat="1" ht="21.75" customHeight="1" x14ac:dyDescent="0.3">
      <c r="C65" s="833" t="s">
        <v>1942</v>
      </c>
      <c r="D65" s="833"/>
      <c r="E65" s="833"/>
      <c r="F65" s="833"/>
      <c r="G65" s="833"/>
      <c r="H65" s="833"/>
      <c r="I65" s="833"/>
      <c r="J65" s="833"/>
    </row>
    <row r="66" spans="1:11" ht="12" customHeight="1" x14ac:dyDescent="0.25">
      <c r="C66" s="834" t="s">
        <v>1943</v>
      </c>
      <c r="D66" s="834"/>
      <c r="E66" s="834"/>
      <c r="F66" s="834"/>
      <c r="G66" s="834"/>
      <c r="H66" s="834"/>
      <c r="I66" s="834"/>
      <c r="J66" s="834"/>
      <c r="K66" s="834"/>
    </row>
    <row r="67" spans="1:11" ht="12" customHeight="1" x14ac:dyDescent="0.25">
      <c r="C67" s="771" t="s">
        <v>1944</v>
      </c>
      <c r="D67" s="771"/>
      <c r="E67" s="771"/>
      <c r="F67" s="771"/>
      <c r="G67" s="771"/>
      <c r="H67" s="771"/>
      <c r="I67" s="771"/>
      <c r="J67" s="771"/>
      <c r="K67" s="771"/>
    </row>
    <row r="68" spans="1:11" x14ac:dyDescent="0.25">
      <c r="A68" s="556"/>
      <c r="B68" s="556"/>
      <c r="C68" s="557" t="s">
        <v>1945</v>
      </c>
      <c r="D68" s="402"/>
      <c r="E68" s="402"/>
      <c r="F68" s="402"/>
      <c r="G68" s="558"/>
      <c r="H68" s="558"/>
      <c r="I68" s="558"/>
      <c r="J68" s="558"/>
      <c r="K68" s="558"/>
    </row>
    <row r="69" spans="1:11" x14ac:dyDescent="0.25">
      <c r="C69" s="772" t="s">
        <v>1946</v>
      </c>
      <c r="D69" s="772"/>
      <c r="E69" s="772"/>
      <c r="F69" s="772"/>
      <c r="G69" s="772"/>
      <c r="H69" s="772"/>
      <c r="I69" s="772"/>
      <c r="J69" s="772"/>
    </row>
    <row r="70" spans="1:11" x14ac:dyDescent="0.25">
      <c r="C70" s="559" t="s">
        <v>1947</v>
      </c>
      <c r="D70" s="406"/>
      <c r="E70" s="406"/>
      <c r="F70" s="406"/>
      <c r="G70" s="406"/>
      <c r="H70" s="406"/>
      <c r="I70" s="406"/>
      <c r="J70" s="406"/>
    </row>
    <row r="71" spans="1:11" x14ac:dyDescent="0.25">
      <c r="C71" s="772" t="s">
        <v>1948</v>
      </c>
      <c r="D71" s="772"/>
      <c r="E71" s="772"/>
      <c r="F71" s="772"/>
      <c r="G71" s="772"/>
      <c r="H71" s="772"/>
      <c r="I71" s="772"/>
      <c r="J71" s="772"/>
    </row>
    <row r="73" spans="1:11" x14ac:dyDescent="0.25">
      <c r="C73" s="407" t="s">
        <v>1949</v>
      </c>
    </row>
    <row r="74" spans="1:11" ht="12.75" customHeight="1" x14ac:dyDescent="0.25">
      <c r="C74" s="559" t="s">
        <v>1961</v>
      </c>
    </row>
    <row r="75" spans="1:11" x14ac:dyDescent="0.25">
      <c r="C75" s="407" t="s">
        <v>1951</v>
      </c>
    </row>
  </sheetData>
  <sheetProtection sheet="1" objects="1" scenarios="1"/>
  <mergeCells count="27">
    <mergeCell ref="C15:C23"/>
    <mergeCell ref="C1:K1"/>
    <mergeCell ref="I3:J3"/>
    <mergeCell ref="K3:K4"/>
    <mergeCell ref="I4:J4"/>
    <mergeCell ref="I7:K11"/>
    <mergeCell ref="I52:J52"/>
    <mergeCell ref="H24:K27"/>
    <mergeCell ref="H28:K30"/>
    <mergeCell ref="D29:D31"/>
    <mergeCell ref="E29:E31"/>
    <mergeCell ref="F29:F31"/>
    <mergeCell ref="G29:G31"/>
    <mergeCell ref="H32:K33"/>
    <mergeCell ref="G41:K43"/>
    <mergeCell ref="I49:J49"/>
    <mergeCell ref="I50:J50"/>
    <mergeCell ref="I51:J51"/>
    <mergeCell ref="C67:K67"/>
    <mergeCell ref="C69:J69"/>
    <mergeCell ref="C71:J71"/>
    <mergeCell ref="I53:J53"/>
    <mergeCell ref="C54:K54"/>
    <mergeCell ref="C55:K55"/>
    <mergeCell ref="C57:K57"/>
    <mergeCell ref="C65:J65"/>
    <mergeCell ref="C66:K66"/>
  </mergeCells>
  <conditionalFormatting sqref="D53">
    <cfRule type="expression" dxfId="22" priority="1" stopIfTrue="1">
      <formula>OR(D$52&lt;49.5,D$52&gt;150.5)</formula>
    </cfRule>
  </conditionalFormatting>
  <conditionalFormatting sqref="E53">
    <cfRule type="expression" dxfId="21" priority="2" stopIfTrue="1">
      <formula>OR(E$52&lt;9.5,E$52&gt;30.5)</formula>
    </cfRule>
  </conditionalFormatting>
  <conditionalFormatting sqref="F53">
    <cfRule type="expression" dxfId="20" priority="3" stopIfTrue="1">
      <formula>OR(F$52&lt;0,F$52&gt;150.5)</formula>
    </cfRule>
  </conditionalFormatting>
  <conditionalFormatting sqref="G53">
    <cfRule type="expression" dxfId="19" priority="4" stopIfTrue="1">
      <formula>OR(G$52&lt;0,G$52&gt;250.5)</formula>
    </cfRule>
  </conditionalFormatting>
  <conditionalFormatting sqref="H53">
    <cfRule type="expression" dxfId="18" priority="5" stopIfTrue="1">
      <formula>OR(H$52&lt;49.5,H$52&gt;350.5)</formula>
    </cfRule>
  </conditionalFormatting>
  <conditionalFormatting sqref="F15:F23">
    <cfRule type="expression" dxfId="17" priority="6" stopIfTrue="1">
      <formula>AND($D15=10)</formula>
    </cfRule>
  </conditionalFormatting>
  <conditionalFormatting sqref="G32">
    <cfRule type="expression" dxfId="16" priority="7" stopIfTrue="1">
      <formula>OR(F$32&lt;5.4,F$32&gt;5.6)</formula>
    </cfRule>
  </conditionalFormatting>
  <hyperlinks>
    <hyperlink ref="C73" r:id="rId1" xr:uid="{F6E05BDE-2EA2-4FCE-A766-18A7BF1E0AA5}"/>
    <hyperlink ref="C67:J67" r:id="rId2" display="Calculations for Alkalinity, RA, and pH were based on Kai Troester's paper: &quot;The effect of brewing water and grist composition on the pH of the mash&quot;  2009" xr:uid="{04B00ABD-8DE7-4C34-AA4A-A5A5825CC01A}"/>
    <hyperlink ref="C69:J69" r:id="rId3" display="Recommended mineral ranges are from John Palmer's &quot;How to Brew&quot;" xr:uid="{CC56FE8E-3B21-493B-A25A-13992D965E8E}"/>
    <hyperlink ref="C71:J71" r:id="rId4" display="Recommended Cl to SO4 ratio ranges are from John Palmer's RA spreadsheet" xr:uid="{1DD17D5C-B71E-4566-8566-E3A0EE0723F6}"/>
    <hyperlink ref="C75"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365760</xdr:colOff>
                <xdr:row>57</xdr:row>
                <xdr:rowOff>182880</xdr:rowOff>
              </from>
              <to>
                <xdr:col>2</xdr:col>
                <xdr:colOff>1607820</xdr:colOff>
                <xdr:row>61</xdr:row>
                <xdr:rowOff>45720</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960120</xdr:colOff>
                    <xdr:row>2</xdr:row>
                    <xdr:rowOff>0</xdr:rowOff>
                  </from>
                  <to>
                    <xdr:col>8</xdr:col>
                    <xdr:colOff>297180</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44</xdr:row>
                    <xdr:rowOff>0</xdr:rowOff>
                  </from>
                  <to>
                    <xdr:col>5</xdr:col>
                    <xdr:colOff>693420</xdr:colOff>
                    <xdr:row>45</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37</xdr:row>
                    <xdr:rowOff>0</xdr:rowOff>
                  </from>
                  <to>
                    <xdr:col>3</xdr:col>
                    <xdr:colOff>693420</xdr:colOff>
                    <xdr:row>38</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37</xdr:row>
                    <xdr:rowOff>0</xdr:rowOff>
                  </from>
                  <to>
                    <xdr:col>4</xdr:col>
                    <xdr:colOff>693420</xdr:colOff>
                    <xdr:row>38</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37</xdr:row>
                    <xdr:rowOff>0</xdr:rowOff>
                  </from>
                  <to>
                    <xdr:col>5</xdr:col>
                    <xdr:colOff>693420</xdr:colOff>
                    <xdr:row>38</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44</xdr:row>
                    <xdr:rowOff>0</xdr:rowOff>
                  </from>
                  <to>
                    <xdr:col>4</xdr:col>
                    <xdr:colOff>693420</xdr:colOff>
                    <xdr:row>45</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44</xdr:row>
                    <xdr:rowOff>0</xdr:rowOff>
                  </from>
                  <to>
                    <xdr:col>3</xdr:col>
                    <xdr:colOff>693420</xdr:colOff>
                    <xdr:row>45</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workbookViewId="0">
      <selection activeCell="B2" sqref="B2"/>
    </sheetView>
  </sheetViews>
  <sheetFormatPr defaultRowHeight="13.2" x14ac:dyDescent="0.25"/>
  <cols>
    <col min="1" max="1" width="14" bestFit="1" customWidth="1"/>
    <col min="3" max="3" width="7.109375" bestFit="1" customWidth="1"/>
    <col min="5" max="5" width="20.6640625" bestFit="1" customWidth="1"/>
    <col min="7" max="7" width="9.6640625" bestFit="1" customWidth="1"/>
  </cols>
  <sheetData>
    <row r="1" spans="1:7" ht="14.4" x14ac:dyDescent="0.3">
      <c r="A1" s="876" t="s">
        <v>1772</v>
      </c>
      <c r="B1" s="876"/>
      <c r="C1" s="876"/>
      <c r="F1" s="196" t="s">
        <v>100</v>
      </c>
      <c r="G1" s="583" t="s">
        <v>1773</v>
      </c>
    </row>
    <row r="2" spans="1:7" ht="14.4" x14ac:dyDescent="0.3">
      <c r="A2" s="1" t="s">
        <v>1774</v>
      </c>
      <c r="B2" s="584">
        <v>14.75</v>
      </c>
      <c r="C2" s="192" t="s">
        <v>1775</v>
      </c>
      <c r="E2" s="876" t="s">
        <v>1776</v>
      </c>
      <c r="F2" s="876"/>
      <c r="G2" s="876"/>
    </row>
    <row r="3" spans="1:7" x14ac:dyDescent="0.25">
      <c r="A3" s="1" t="s">
        <v>1344</v>
      </c>
      <c r="B3" s="193">
        <f>1+(B2/(258.6-((B2/258.2)*227.1) ) )</f>
        <v>1.0600504929022097</v>
      </c>
      <c r="C3" s="192"/>
      <c r="D3" s="191"/>
      <c r="E3" s="1" t="s">
        <v>1777</v>
      </c>
      <c r="F3" s="584">
        <v>60</v>
      </c>
      <c r="G3" s="192" t="str">
        <f>IF($G$1="Fahrenheit","°F","°C")</f>
        <v>°F</v>
      </c>
    </row>
    <row r="4" spans="1:7" x14ac:dyDescent="0.25">
      <c r="A4" s="1" t="s">
        <v>1778</v>
      </c>
      <c r="B4" s="584">
        <v>204</v>
      </c>
      <c r="C4" s="192" t="s">
        <v>1779</v>
      </c>
      <c r="D4" s="191"/>
      <c r="E4" s="1" t="s">
        <v>1782</v>
      </c>
      <c r="F4" s="584">
        <v>70</v>
      </c>
      <c r="G4" s="192" t="str">
        <f>IF($G$1="Fahrenheit","°F","°C")</f>
        <v>°F</v>
      </c>
    </row>
    <row r="5" spans="1:7" x14ac:dyDescent="0.25">
      <c r="A5" s="1" t="s">
        <v>1781</v>
      </c>
      <c r="B5" s="194">
        <f>B4*B2/100</f>
        <v>30.09</v>
      </c>
      <c r="C5" s="192" t="s">
        <v>1779</v>
      </c>
      <c r="D5" s="191"/>
      <c r="E5" s="1" t="s">
        <v>1780</v>
      </c>
      <c r="F5" s="585">
        <v>1.0580000000000001</v>
      </c>
    </row>
    <row r="6" spans="1:7" x14ac:dyDescent="0.25">
      <c r="A6" s="1" t="s">
        <v>1783</v>
      </c>
      <c r="B6" s="194">
        <f>B4-B5</f>
        <v>173.91</v>
      </c>
      <c r="C6" s="192" t="s">
        <v>1779</v>
      </c>
      <c r="D6" s="191"/>
      <c r="E6" s="1" t="s">
        <v>1784</v>
      </c>
      <c r="F6" s="195">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1.0590682796950199</v>
      </c>
    </row>
    <row r="7" spans="1:7" x14ac:dyDescent="0.25">
      <c r="D7" s="191"/>
    </row>
    <row r="8" spans="1:7" x14ac:dyDescent="0.25">
      <c r="A8" s="877" t="s">
        <v>1786</v>
      </c>
      <c r="B8" s="877"/>
      <c r="C8" s="877"/>
      <c r="G8" s="191"/>
    </row>
    <row r="9" spans="1:7" x14ac:dyDescent="0.25">
      <c r="A9" s="1" t="s">
        <v>1785</v>
      </c>
      <c r="B9" s="584">
        <v>12.39</v>
      </c>
      <c r="C9" s="192"/>
    </row>
    <row r="10" spans="1:7" x14ac:dyDescent="0.25">
      <c r="A10" s="1" t="s">
        <v>1344</v>
      </c>
      <c r="B10" s="193">
        <f>(B9/(258.6-((B9/258.2)*227.1))) + 1</f>
        <v>1.0500197078491369</v>
      </c>
      <c r="C10" s="192"/>
    </row>
  </sheetData>
  <sheetProtection sheet="1" objects="1" scenario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dimension ref="A1:I34"/>
  <sheetViews>
    <sheetView workbookViewId="0">
      <selection activeCell="N21" sqref="N21"/>
    </sheetView>
  </sheetViews>
  <sheetFormatPr defaultRowHeight="14.4" x14ac:dyDescent="0.3"/>
  <cols>
    <col min="1" max="1" width="33.44140625" style="566" bestFit="1" customWidth="1"/>
    <col min="2" max="2" width="5.109375" style="566" customWidth="1"/>
    <col min="3" max="3" width="12" style="566" customWidth="1"/>
    <col min="4" max="4" width="7.6640625" style="566" bestFit="1" customWidth="1"/>
    <col min="5" max="5" width="9.44140625" style="566" customWidth="1"/>
    <col min="6" max="6" width="7.33203125" style="566" bestFit="1" customWidth="1"/>
    <col min="7" max="7" width="8.88671875" style="566"/>
    <col min="8" max="8" width="12" style="566" bestFit="1" customWidth="1"/>
    <col min="9" max="16384" width="8.88671875" style="566"/>
  </cols>
  <sheetData>
    <row r="1" spans="1:6" x14ac:dyDescent="0.3">
      <c r="C1" s="567" t="s">
        <v>1967</v>
      </c>
    </row>
    <row r="2" spans="1:6" ht="16.2" x14ac:dyDescent="0.3">
      <c r="A2" s="566" t="s">
        <v>1968</v>
      </c>
      <c r="B2" s="566" t="s">
        <v>1969</v>
      </c>
      <c r="C2" s="568">
        <v>12</v>
      </c>
      <c r="D2" s="566" t="s">
        <v>1970</v>
      </c>
      <c r="E2" s="569">
        <f>C2*144</f>
        <v>1728</v>
      </c>
      <c r="F2" s="566" t="s">
        <v>1971</v>
      </c>
    </row>
    <row r="3" spans="1:6" x14ac:dyDescent="0.3">
      <c r="A3" s="566" t="s">
        <v>1972</v>
      </c>
      <c r="B3" s="566" t="s">
        <v>1973</v>
      </c>
      <c r="C3" s="570">
        <v>1.01</v>
      </c>
    </row>
    <row r="4" spans="1:6" ht="15.6" x14ac:dyDescent="0.35">
      <c r="A4" s="566" t="s">
        <v>1974</v>
      </c>
      <c r="B4" s="566" t="s">
        <v>1975</v>
      </c>
      <c r="C4" s="571">
        <f>31/12</f>
        <v>2.5833333333333335</v>
      </c>
      <c r="D4" s="566">
        <v>22</v>
      </c>
    </row>
    <row r="5" spans="1:6" x14ac:dyDescent="0.3">
      <c r="A5" s="566" t="s">
        <v>1976</v>
      </c>
      <c r="B5" s="566" t="s">
        <v>511</v>
      </c>
      <c r="C5" s="568">
        <v>0.1875</v>
      </c>
      <c r="D5" s="566" t="s">
        <v>1977</v>
      </c>
      <c r="E5" s="569">
        <f>C5/12</f>
        <v>1.5625E-2</v>
      </c>
      <c r="F5" s="566" t="s">
        <v>1978</v>
      </c>
    </row>
    <row r="6" spans="1:6" x14ac:dyDescent="0.3">
      <c r="A6" s="566" t="s">
        <v>1979</v>
      </c>
      <c r="B6" s="566" t="s">
        <v>1980</v>
      </c>
      <c r="C6" s="572">
        <f>0.0015/25.4*1/12</f>
        <v>4.9212598425196856E-6</v>
      </c>
      <c r="D6" s="566" t="s">
        <v>1978</v>
      </c>
    </row>
    <row r="7" spans="1:6" x14ac:dyDescent="0.3">
      <c r="A7" s="566" t="s">
        <v>1981</v>
      </c>
      <c r="C7" s="568">
        <v>10</v>
      </c>
      <c r="D7" s="566" t="s">
        <v>1982</v>
      </c>
    </row>
    <row r="8" spans="1:6" x14ac:dyDescent="0.3">
      <c r="C8" s="573"/>
    </row>
    <row r="9" spans="1:6" x14ac:dyDescent="0.3">
      <c r="C9" s="574" t="s">
        <v>1983</v>
      </c>
    </row>
    <row r="10" spans="1:6" ht="16.8" x14ac:dyDescent="0.35">
      <c r="A10" s="566" t="s">
        <v>1984</v>
      </c>
      <c r="B10" s="575" t="s">
        <v>1985</v>
      </c>
      <c r="C10" s="576">
        <v>1.94</v>
      </c>
      <c r="D10" s="566" t="s">
        <v>1986</v>
      </c>
      <c r="E10" s="569">
        <f>C10*32.174049</f>
        <v>62.417655059999994</v>
      </c>
      <c r="F10" s="566" t="s">
        <v>1987</v>
      </c>
    </row>
    <row r="11" spans="1:6" ht="16.2" x14ac:dyDescent="0.3">
      <c r="A11" s="566" t="s">
        <v>1988</v>
      </c>
      <c r="B11" s="575" t="s">
        <v>1779</v>
      </c>
      <c r="C11" s="576">
        <f>C3*E10</f>
        <v>63.041831610599992</v>
      </c>
      <c r="D11" s="566" t="s">
        <v>1989</v>
      </c>
    </row>
    <row r="12" spans="1:6" ht="16.2" x14ac:dyDescent="0.3">
      <c r="A12" s="566" t="s">
        <v>1990</v>
      </c>
      <c r="B12" s="566" t="s">
        <v>1991</v>
      </c>
      <c r="C12" s="576">
        <f>PI()*(E5/2)^2</f>
        <v>1.9174759848570515E-4</v>
      </c>
      <c r="D12" s="566" t="s">
        <v>1992</v>
      </c>
    </row>
    <row r="13" spans="1:6" ht="16.2" x14ac:dyDescent="0.3">
      <c r="A13" s="566" t="s">
        <v>1993</v>
      </c>
      <c r="B13" s="566" t="s">
        <v>1994</v>
      </c>
      <c r="C13" s="576">
        <f>0.016710069444/C7</f>
        <v>1.6710069444000001E-3</v>
      </c>
      <c r="D13" s="566" t="s">
        <v>1995</v>
      </c>
    </row>
    <row r="14" spans="1:6" x14ac:dyDescent="0.3">
      <c r="A14" s="566" t="s">
        <v>1996</v>
      </c>
      <c r="B14" s="566" t="s">
        <v>1997</v>
      </c>
      <c r="C14" s="576">
        <f>C13/C12</f>
        <v>8.7146173281777735</v>
      </c>
      <c r="D14" s="566" t="s">
        <v>1998</v>
      </c>
    </row>
    <row r="15" spans="1:6" ht="16.8" x14ac:dyDescent="0.35">
      <c r="A15" s="566" t="s">
        <v>1999</v>
      </c>
      <c r="B15" s="566" t="s">
        <v>2000</v>
      </c>
      <c r="C15" s="576">
        <f>0.00003228*C3</f>
        <v>3.2602800000000006E-5</v>
      </c>
      <c r="D15" s="566" t="s">
        <v>2001</v>
      </c>
    </row>
    <row r="16" spans="1:6" ht="16.2" x14ac:dyDescent="0.3">
      <c r="A16" s="566" t="s">
        <v>2002</v>
      </c>
      <c r="B16" s="575" t="s">
        <v>2003</v>
      </c>
      <c r="C16" s="576">
        <f>C15/C10</f>
        <v>1.6805567010309282E-5</v>
      </c>
      <c r="D16" s="566" t="s">
        <v>2004</v>
      </c>
    </row>
    <row r="17" spans="1:4" x14ac:dyDescent="0.3">
      <c r="A17" s="566" t="s">
        <v>2005</v>
      </c>
      <c r="B17" s="566" t="s">
        <v>2006</v>
      </c>
      <c r="C17" s="576">
        <f>(C13*E5)/(C16*C12)</f>
        <v>8102.4279436241259</v>
      </c>
    </row>
    <row r="18" spans="1:4" x14ac:dyDescent="0.3">
      <c r="A18" s="566" t="s">
        <v>2007</v>
      </c>
      <c r="B18" s="566" t="s">
        <v>2008</v>
      </c>
      <c r="C18" s="576">
        <f>0.25*(LOG10(C6/(3.7*C5)+5.74/C17^0.9))^-2</f>
        <v>3.2888353186781065E-2</v>
      </c>
    </row>
    <row r="19" spans="1:4" ht="15" thickBot="1" x14ac:dyDescent="0.35"/>
    <row r="20" spans="1:4" ht="15.6" thickTop="1" thickBot="1" x14ac:dyDescent="0.35">
      <c r="A20" s="574" t="s">
        <v>2009</v>
      </c>
      <c r="B20" s="577" t="s">
        <v>2010</v>
      </c>
      <c r="C20" s="578">
        <f>(E2/C11-C4)*E5/C18*2*32.2/C14^2</f>
        <v>10.002119249741197</v>
      </c>
      <c r="D20" s="579" t="s">
        <v>1978</v>
      </c>
    </row>
    <row r="21" spans="1:4" ht="15" thickTop="1" x14ac:dyDescent="0.3"/>
    <row r="22" spans="1:4" x14ac:dyDescent="0.3">
      <c r="A22" s="566" t="s">
        <v>2011</v>
      </c>
    </row>
    <row r="23" spans="1:4" x14ac:dyDescent="0.3">
      <c r="A23" s="566" t="s">
        <v>2012</v>
      </c>
    </row>
    <row r="24" spans="1:4" x14ac:dyDescent="0.3">
      <c r="A24" s="566" t="s">
        <v>2013</v>
      </c>
    </row>
    <row r="25" spans="1:4" x14ac:dyDescent="0.3">
      <c r="A25" s="566" t="s">
        <v>2014</v>
      </c>
    </row>
    <row r="26" spans="1:4" x14ac:dyDescent="0.3">
      <c r="A26" s="566" t="s">
        <v>2015</v>
      </c>
    </row>
    <row r="27" spans="1:4" x14ac:dyDescent="0.3">
      <c r="A27" s="566" t="s">
        <v>2016</v>
      </c>
    </row>
    <row r="29" spans="1:4" x14ac:dyDescent="0.3">
      <c r="A29" s="566" t="s">
        <v>2017</v>
      </c>
    </row>
    <row r="30" spans="1:4" x14ac:dyDescent="0.3">
      <c r="A30" s="580" t="s">
        <v>2018</v>
      </c>
    </row>
    <row r="34" spans="7:9" x14ac:dyDescent="0.3">
      <c r="G34" s="581"/>
      <c r="H34" s="582"/>
      <c r="I34" s="582"/>
    </row>
  </sheetData>
  <sheetProtection sheet="1" objects="1" scenario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Instructions</vt:lpstr>
      <vt:lpstr>Recipe Sheet</vt:lpstr>
      <vt:lpstr>Brewhouse Setup &amp; Calcs</vt:lpstr>
      <vt:lpstr>Grain &amp; Sugar Calcs</vt:lpstr>
      <vt:lpstr>Hop Calcs</vt:lpstr>
      <vt:lpstr>Water-English</vt:lpstr>
      <vt:lpstr>Water-Metric</vt:lpstr>
      <vt:lpstr>Hydrometer Testing &amp; Correction</vt:lpstr>
      <vt:lpstr>Beer Line Length</vt:lpstr>
      <vt:lpstr>Grain &amp; Sugar List</vt:lpstr>
      <vt:lpstr>Hops List</vt:lpstr>
      <vt:lpstr>Yeast List</vt:lpstr>
      <vt:lpstr>Beer Category &amp; Style List</vt:lpstr>
      <vt:lpstr>Malt Sheet PPG Calcs</vt:lpstr>
      <vt:lpstr>Carbonation</vt:lpstr>
      <vt:lpstr>Conversion Tables</vt:lpstr>
      <vt:lpstr>Common Variables</vt:lpstr>
      <vt:lpstr>'Recipe Sheet'!BeerList_Headers</vt:lpstr>
      <vt:lpstr>BeerList_Headers</vt:lpstr>
      <vt:lpstr>'Recipe Sheet'!Category</vt:lpstr>
      <vt:lpstr>'Brewhouse Setup &amp; Calcs'!Print_Area</vt:lpstr>
      <vt:lpstr>'Recipe Sheet'!Print_Area</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Calculate Stuff</dc:subject>
  <dc:creator>BEER-N-BBQ by Larry</dc:creator>
  <dc:description>By BEER-N-BBQ by Larry</dc:description>
  <cp:lastModifiedBy>Larry Carpenter</cp:lastModifiedBy>
  <cp:lastPrinted>2018-12-26T18:04:26Z</cp:lastPrinted>
  <dcterms:created xsi:type="dcterms:W3CDTF">2003-11-09T22:26:20Z</dcterms:created>
  <dcterms:modified xsi:type="dcterms:W3CDTF">2018-12-26T20:57:39Z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39189917</vt:i4>
  </property>
  <property fmtid="{D5CDD505-2E9C-101B-9397-08002B2CF9AE}" pid="3" name="_NewReviewCycle">
    <vt:lpwstr/>
  </property>
  <property fmtid="{D5CDD505-2E9C-101B-9397-08002B2CF9AE}" pid="4" name="_EmailSubject">
    <vt:lpwstr>ZJ 10 gallon and cost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39189917</vt:i4>
  </property>
  <property fmtid="{D5CDD505-2E9C-101B-9397-08002B2CF9AE}" pid="8" name="_ReviewingToolsShownOnce">
    <vt:lpwstr/>
  </property>
</Properties>
</file>