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embeddings/oleObject3.bin" ContentType="application/vnd.openxmlformats-officedocument.oleObject"/>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21D015C8-3A3D-46C7-9DC6-2824F96BC468}" xr6:coauthVersionLast="45" xr6:coauthVersionMax="45" xr10:uidLastSave="{00000000-0000-0000-0000-000000000000}"/>
  <bookViews>
    <workbookView xWindow="2244" yWindow="324" windowWidth="16956" windowHeight="16548" tabRatio="929" activeTab="1" xr2:uid="{00000000-000D-0000-FFFF-FFFF00000000}"/>
  </bookViews>
  <sheets>
    <sheet name="Instructions" sheetId="29" r:id="rId1"/>
    <sheet name="Recipe Sheet" sheetId="28" r:id="rId2"/>
    <sheet name="Brewhouse Setup &amp; Calcs" sheetId="14" r:id="rId3"/>
    <sheet name="Grain &amp; Sugar Calcs" sheetId="13" r:id="rId4"/>
    <sheet name="Hop Calcs" sheetId="16" r:id="rId5"/>
    <sheet name="Water-English" sheetId="32" r:id="rId6"/>
    <sheet name="Water-Metric" sheetId="33" r:id="rId7"/>
    <sheet name="Grain &amp; Sugar List" sheetId="24" r:id="rId8"/>
    <sheet name="Hops List" sheetId="25" r:id="rId9"/>
    <sheet name="Yeast List" sheetId="26" r:id="rId10"/>
    <sheet name="Hydrometer Testing &amp; Correction" sheetId="31" r:id="rId11"/>
    <sheet name="Beer Line Length" sheetId="34" r:id="rId12"/>
    <sheet name="Carbonation" sheetId="7" r:id="rId13"/>
    <sheet name="Malt Sheet PPG Calcs" sheetId="30" r:id="rId14"/>
    <sheet name="Conversion Tables" sheetId="5" r:id="rId15"/>
    <sheet name="BJCP Guidelines" sheetId="35" r:id="rId16"/>
    <sheet name="Common Variables" sheetId="8" r:id="rId17"/>
  </sheets>
  <definedNames>
    <definedName name="_xlnm._FilterDatabase" localSheetId="15" hidden="1">'BJCP Guidelines'!$A$1:$K$120</definedName>
    <definedName name="_xlnm._FilterDatabase" localSheetId="3" hidden="1">'Grain &amp; Sugar Calcs'!$B$2:$N$17</definedName>
    <definedName name="_xlnm._FilterDatabase" localSheetId="7" hidden="1">'Grain &amp; Sugar List'!$A$1:$X$240</definedName>
    <definedName name="_xlnm._FilterDatabase" localSheetId="9" hidden="1">'Yeast List'!$A$1:$I$732</definedName>
    <definedName name="BeerList_Headers" localSheetId="1">#REF!</definedName>
    <definedName name="BeerList_Headers">#REF!</definedName>
    <definedName name="BeerList_list" localSheetId="1">INDEX(#REF!,,MATCH('Recipe Sheet'!Category,'Recipe Sheet'!BeerList_Headers,0))</definedName>
    <definedName name="BeerList_list">INDEX(#REF!,,MATCH(Category,BeerList_Headers,0))</definedName>
    <definedName name="BeerList_list2" localSheetId="1">INDEX(#REF!,1,'Recipe Sheet'!col_num) : INDEX(#REF!, COUNTA('Recipe Sheet'!entire_col), 'Recipe Sheet'!col_num)</definedName>
    <definedName name="BeerList_list2">INDEX(#REF!,1,col_num) : INDEX(#REF!, COUNTA(entire_col), col_num)</definedName>
    <definedName name="Category" localSheetId="1">'Recipe Sheet'!$B$1</definedName>
    <definedName name="col_num" localSheetId="15">#N/A</definedName>
    <definedName name="col_num" localSheetId="1">MATCH('Recipe Sheet'!Category,'Recipe Sheet'!BeerList_Headers,0)</definedName>
    <definedName name="col_num">MATCH('Recipe Sheet'!Category,BeerList_Headers,0)</definedName>
    <definedName name="entire_col" localSheetId="1">INDEX(#REF!,,'Recipe Sheet'!col_num)</definedName>
    <definedName name="entire_col">INDEX(#REF!,,col_num)</definedName>
    <definedName name="_xlnm.Print_Area" localSheetId="2">'Brewhouse Setup &amp; Calcs'!$A:$H</definedName>
    <definedName name="_xlnm.Print_Area" localSheetId="1">'Recipe Sheet'!$A$1:$W$45</definedName>
    <definedName name="Yeast_Brand">'Recipe Sheet'!#REF!</definedName>
    <definedName name="yeastlist_headers">yeast_table[#Headers]</definedName>
    <definedName name="yeastlist_list">INDEX(#REF!,,MATCH(Yeast_Brand,yeastlist_headers,0))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6" i="28" l="1"/>
  <c r="A16" i="28"/>
  <c r="E15" i="28"/>
  <c r="A15" i="28"/>
  <c r="E14" i="28"/>
  <c r="A14" i="28"/>
  <c r="M12" i="13"/>
  <c r="L12" i="13"/>
  <c r="K12" i="13"/>
  <c r="J12" i="13"/>
  <c r="I12" i="13"/>
  <c r="H12" i="13"/>
  <c r="G12" i="13"/>
  <c r="F12" i="13"/>
  <c r="E12" i="13"/>
  <c r="D12" i="13"/>
  <c r="F14" i="28" s="1"/>
  <c r="M16" i="28"/>
  <c r="L16" i="28"/>
  <c r="M15" i="28"/>
  <c r="L15" i="28"/>
  <c r="M14" i="28"/>
  <c r="L14" i="28"/>
  <c r="M10" i="28"/>
  <c r="L10" i="28"/>
  <c r="M9" i="28"/>
  <c r="L9" i="28"/>
  <c r="O16" i="16"/>
  <c r="M16" i="16"/>
  <c r="M14" i="16"/>
  <c r="O17" i="13"/>
  <c r="Q19" i="13"/>
  <c r="O19" i="13"/>
  <c r="Q21" i="13"/>
  <c r="O21" i="13"/>
  <c r="F162" i="24" l="1"/>
  <c r="H232" i="24" l="1"/>
  <c r="H231" i="24"/>
  <c r="H230" i="24"/>
  <c r="H202" i="24"/>
  <c r="H203" i="24"/>
  <c r="H76" i="24"/>
  <c r="H125" i="24"/>
  <c r="H116" i="24"/>
  <c r="H115" i="24"/>
  <c r="H225" i="24"/>
  <c r="H128" i="24"/>
  <c r="H148" i="24"/>
  <c r="H149" i="24"/>
  <c r="H161" i="24"/>
  <c r="H235" i="24"/>
  <c r="H227" i="24"/>
  <c r="H160" i="24"/>
  <c r="H119" i="24"/>
  <c r="H207" i="24"/>
  <c r="H205" i="24"/>
  <c r="H155" i="24"/>
  <c r="H154" i="24"/>
  <c r="H9" i="24"/>
  <c r="H141" i="24"/>
  <c r="H140" i="24"/>
  <c r="H158" i="24"/>
  <c r="F6" i="13"/>
  <c r="F8" i="13"/>
  <c r="F9" i="13"/>
  <c r="F10" i="13"/>
  <c r="F11" i="13"/>
  <c r="F13" i="13"/>
  <c r="F14" i="13"/>
  <c r="F5" i="13"/>
  <c r="F118" i="24"/>
  <c r="F78" i="24" l="1"/>
  <c r="F77" i="24"/>
  <c r="J13" i="28" l="1"/>
  <c r="M11" i="13"/>
  <c r="M13" i="13"/>
  <c r="G11" i="13"/>
  <c r="G13" i="13"/>
  <c r="G14" i="13"/>
  <c r="E6" i="13" l="1"/>
  <c r="E7" i="13"/>
  <c r="E8" i="13"/>
  <c r="E9" i="13"/>
  <c r="E10" i="13"/>
  <c r="E11" i="13"/>
  <c r="E13" i="13"/>
  <c r="E14" i="13"/>
  <c r="E5" i="13"/>
  <c r="V43" i="28" l="1"/>
  <c r="U39" i="28" l="1"/>
  <c r="W19" i="28" l="1"/>
  <c r="U19" i="28"/>
  <c r="V24" i="28" l="1"/>
  <c r="V22" i="28"/>
  <c r="W12" i="28" l="1"/>
  <c r="U12" i="28"/>
  <c r="W33" i="28"/>
  <c r="U33" i="28"/>
  <c r="E66" i="14"/>
  <c r="B66" i="14"/>
  <c r="D66" i="14" s="1"/>
  <c r="O26" i="28" l="1"/>
  <c r="J4" i="7" l="1"/>
  <c r="F4" i="7"/>
  <c r="B4" i="7"/>
  <c r="F235" i="24" l="1"/>
  <c r="F227" i="24"/>
  <c r="F75" i="24"/>
  <c r="F74" i="24"/>
  <c r="F4" i="24"/>
  <c r="F191" i="24"/>
  <c r="F63" i="24"/>
  <c r="F195" i="24"/>
  <c r="F199" i="24"/>
  <c r="F193" i="24"/>
  <c r="F164" i="24"/>
  <c r="F166" i="24"/>
  <c r="F71" i="24"/>
  <c r="F160" i="24"/>
  <c r="F119" i="24"/>
  <c r="F207" i="24"/>
  <c r="F205" i="24"/>
  <c r="F82" i="24"/>
  <c r="F155" i="24"/>
  <c r="F86" i="24"/>
  <c r="F154" i="24"/>
  <c r="F16" i="24"/>
  <c r="F68" i="24"/>
  <c r="F65" i="24"/>
  <c r="F67" i="24"/>
  <c r="F80" i="24"/>
  <c r="F79" i="24"/>
  <c r="G9" i="13" s="1"/>
  <c r="F13" i="24"/>
  <c r="F12" i="24"/>
  <c r="F9" i="24"/>
  <c r="F140" i="24"/>
  <c r="F141" i="24"/>
  <c r="K11" i="28" l="1"/>
  <c r="S14" i="28" l="1"/>
  <c r="P14" i="28" l="1"/>
  <c r="V28" i="28"/>
  <c r="P33" i="28" l="1"/>
  <c r="V30" i="28" l="1"/>
  <c r="V41" i="28" l="1"/>
  <c r="K12" i="28"/>
  <c r="V35" i="28"/>
  <c r="E29" i="14" l="1"/>
  <c r="D29" i="14"/>
  <c r="A29" i="14"/>
  <c r="J26" i="28" l="1"/>
  <c r="J27" i="28"/>
  <c r="J28" i="28"/>
  <c r="J29" i="28"/>
  <c r="J21" i="28"/>
  <c r="J22" i="28"/>
  <c r="J23" i="28"/>
  <c r="J24" i="28"/>
  <c r="J25" i="28"/>
  <c r="A10" i="16"/>
  <c r="A11" i="16"/>
  <c r="A12" i="16"/>
  <c r="A13" i="16"/>
  <c r="A14" i="16"/>
  <c r="A15" i="16"/>
  <c r="A7" i="16"/>
  <c r="A8" i="16"/>
  <c r="A9" i="16"/>
  <c r="T17" i="28" l="1"/>
  <c r="T16" i="28"/>
  <c r="P23" i="28" l="1"/>
  <c r="P22" i="28"/>
  <c r="P21" i="28"/>
  <c r="P20" i="28"/>
  <c r="P19" i="28"/>
  <c r="P18" i="28"/>
  <c r="T15" i="28"/>
  <c r="T14"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22" i="33"/>
  <c r="E23" i="33"/>
  <c r="E15" i="33"/>
  <c r="E15" i="32"/>
  <c r="E16" i="32"/>
  <c r="E17" i="32"/>
  <c r="E18" i="32"/>
  <c r="E19" i="32"/>
  <c r="E20" i="32"/>
  <c r="E21" i="32"/>
  <c r="E22" i="32"/>
  <c r="E14" i="32"/>
  <c r="E24" i="33" l="1"/>
  <c r="H39" i="33" s="1"/>
  <c r="H38" i="33"/>
  <c r="G23" i="33"/>
  <c r="G22" i="33"/>
  <c r="G21" i="33"/>
  <c r="G20" i="33"/>
  <c r="G19" i="33"/>
  <c r="G18" i="33"/>
  <c r="G17" i="33"/>
  <c r="G16" i="33"/>
  <c r="G15" i="33"/>
  <c r="E25" i="33" l="1"/>
  <c r="G22" i="32" l="1"/>
  <c r="G21" i="32"/>
  <c r="G20" i="32"/>
  <c r="G19" i="32"/>
  <c r="G18" i="32"/>
  <c r="G17" i="32"/>
  <c r="G16" i="32"/>
  <c r="G15" i="32"/>
  <c r="G14" i="32"/>
  <c r="E23" i="32" l="1"/>
  <c r="H37" i="32" l="1"/>
  <c r="F137" i="24"/>
  <c r="C22" i="14" l="1"/>
  <c r="W39" i="28" s="1"/>
  <c r="S44" i="28"/>
  <c r="D22" i="14" l="1"/>
  <c r="E49" i="14"/>
  <c r="S6" i="28"/>
  <c r="J12" i="28" l="1"/>
  <c r="U38" i="28" s="1"/>
  <c r="J11" i="28" l="1"/>
  <c r="J6" i="28"/>
  <c r="G17" i="16" l="1"/>
  <c r="V39" i="28" s="1"/>
  <c r="B65" i="14" l="1"/>
  <c r="B64" i="14" s="1"/>
  <c r="V37" i="28"/>
  <c r="K8" i="28"/>
  <c r="S7" i="28"/>
  <c r="U7" i="28"/>
  <c r="E22" i="14"/>
  <c r="E65" i="14"/>
  <c r="B62" i="14"/>
  <c r="C20" i="14"/>
  <c r="G4" i="31"/>
  <c r="G3" i="31"/>
  <c r="B10" i="31"/>
  <c r="F6" i="31"/>
  <c r="B5" i="31"/>
  <c r="B6" i="31" s="1"/>
  <c r="B3" i="31"/>
  <c r="M8" i="13" l="1"/>
  <c r="M10" i="13"/>
  <c r="D65" i="14"/>
  <c r="M6" i="13"/>
  <c r="M5" i="13"/>
  <c r="M7" i="13"/>
  <c r="M9" i="13"/>
  <c r="M14" i="13"/>
  <c r="K9" i="28"/>
  <c r="K10" i="28"/>
  <c r="M17" i="13" l="1"/>
  <c r="M19" i="13" s="1"/>
  <c r="J16" i="28" s="1"/>
  <c r="K15" i="28"/>
  <c r="K13" i="28"/>
  <c r="J9" i="7"/>
  <c r="J5" i="7"/>
  <c r="J7" i="7" s="1"/>
  <c r="F5" i="7"/>
  <c r="F9" i="7" s="1"/>
  <c r="F11" i="7" s="1"/>
  <c r="P4" i="7"/>
  <c r="J8" i="7" l="1"/>
  <c r="J6" i="7"/>
  <c r="F7" i="7"/>
  <c r="F8" i="7" s="1"/>
  <c r="F6" i="7"/>
  <c r="F12" i="7"/>
  <c r="F10" i="7"/>
  <c r="F13" i="7"/>
  <c r="F15" i="7" s="1"/>
  <c r="F16" i="7" s="1"/>
  <c r="F17" i="7"/>
  <c r="F19" i="7" s="1"/>
  <c r="F20" i="7" s="1"/>
  <c r="F161" i="24"/>
  <c r="J11" i="7" l="1"/>
  <c r="J12" i="7" s="1"/>
  <c r="J10" i="7"/>
  <c r="F14" i="7"/>
  <c r="F18" i="7"/>
  <c r="F147" i="24"/>
  <c r="E41" i="14"/>
  <c r="E64" i="14"/>
  <c r="E63" i="14"/>
  <c r="E62" i="14"/>
  <c r="E59" i="14"/>
  <c r="E58" i="14"/>
  <c r="E57" i="14"/>
  <c r="E56" i="14"/>
  <c r="E54" i="14"/>
  <c r="E53" i="14"/>
  <c r="E50" i="14"/>
  <c r="E48" i="14"/>
  <c r="E47" i="14"/>
  <c r="E44" i="14"/>
  <c r="E42" i="14"/>
  <c r="E61" i="14"/>
  <c r="E34" i="14"/>
  <c r="D34" i="14"/>
  <c r="E33" i="14"/>
  <c r="D33" i="14"/>
  <c r="E32" i="14"/>
  <c r="D32" i="14"/>
  <c r="E30" i="14"/>
  <c r="D30" i="14"/>
  <c r="E26" i="14"/>
  <c r="D26" i="14"/>
  <c r="E16" i="14"/>
  <c r="D16" i="14"/>
  <c r="E15" i="14"/>
  <c r="D15" i="14"/>
  <c r="E12" i="14"/>
  <c r="D12" i="14"/>
  <c r="G19" i="8"/>
  <c r="E19" i="8"/>
  <c r="C19" i="8"/>
  <c r="A19" i="8"/>
  <c r="C12" i="30" l="1"/>
  <c r="C6" i="30"/>
  <c r="F240" i="24" l="1"/>
  <c r="F239" i="24"/>
  <c r="F238" i="24"/>
  <c r="F237" i="24"/>
  <c r="F236" i="24"/>
  <c r="F234" i="24"/>
  <c r="F233" i="24"/>
  <c r="F232" i="24"/>
  <c r="F231" i="24"/>
  <c r="F230" i="24"/>
  <c r="F229" i="24"/>
  <c r="F228" i="24"/>
  <c r="F226" i="24"/>
  <c r="F225" i="24"/>
  <c r="F224" i="24"/>
  <c r="F210" i="24"/>
  <c r="F209" i="24"/>
  <c r="F208" i="24"/>
  <c r="F206" i="24"/>
  <c r="F204" i="24"/>
  <c r="F203" i="24"/>
  <c r="F202" i="24"/>
  <c r="F201" i="24"/>
  <c r="F200" i="24"/>
  <c r="F198" i="24"/>
  <c r="F197" i="24"/>
  <c r="F196" i="24"/>
  <c r="F15" i="24"/>
  <c r="F192" i="24"/>
  <c r="F14" i="24"/>
  <c r="F190" i="24"/>
  <c r="F81" i="24"/>
  <c r="F17" i="24"/>
  <c r="F189" i="24"/>
  <c r="G10" i="13" s="1"/>
  <c r="F188" i="24"/>
  <c r="F187" i="24"/>
  <c r="F186" i="24"/>
  <c r="F185" i="24"/>
  <c r="F184" i="24"/>
  <c r="F183" i="24"/>
  <c r="F182" i="24"/>
  <c r="F181" i="24"/>
  <c r="F180" i="24"/>
  <c r="F179" i="24"/>
  <c r="F178" i="24"/>
  <c r="F177" i="24"/>
  <c r="F176" i="24"/>
  <c r="F11" i="24"/>
  <c r="F175" i="24"/>
  <c r="F174" i="24"/>
  <c r="F173" i="24"/>
  <c r="F172" i="24"/>
  <c r="F171" i="24"/>
  <c r="F170" i="24"/>
  <c r="F169" i="24"/>
  <c r="F168" i="24"/>
  <c r="F167" i="24"/>
  <c r="F163" i="24"/>
  <c r="F159" i="24"/>
  <c r="F158" i="24"/>
  <c r="F157" i="24"/>
  <c r="F156" i="24"/>
  <c r="F153" i="24"/>
  <c r="F152" i="24"/>
  <c r="F151" i="24"/>
  <c r="F150" i="24"/>
  <c r="F149" i="24"/>
  <c r="F148" i="24"/>
  <c r="F146" i="24"/>
  <c r="F145" i="24"/>
  <c r="F143" i="24"/>
  <c r="G5" i="13" s="1"/>
  <c r="F142" i="24"/>
  <c r="F139" i="24"/>
  <c r="F138" i="24"/>
  <c r="F136" i="24"/>
  <c r="F135" i="24"/>
  <c r="F134" i="24"/>
  <c r="F133" i="24"/>
  <c r="F132" i="24"/>
  <c r="F131" i="24"/>
  <c r="F130" i="24"/>
  <c r="F129" i="24"/>
  <c r="F128" i="24"/>
  <c r="F127" i="24"/>
  <c r="F126" i="24"/>
  <c r="F125" i="24"/>
  <c r="F124" i="24"/>
  <c r="F123" i="24"/>
  <c r="F121" i="24"/>
  <c r="F120" i="24"/>
  <c r="F117" i="24"/>
  <c r="F116" i="24"/>
  <c r="F115" i="24"/>
  <c r="F114" i="24"/>
  <c r="F113" i="24"/>
  <c r="F112" i="24"/>
  <c r="F111" i="24"/>
  <c r="F104" i="24"/>
  <c r="F103" i="24"/>
  <c r="F102" i="24"/>
  <c r="F101" i="24"/>
  <c r="F100" i="24"/>
  <c r="F99" i="24"/>
  <c r="G6" i="13" s="1"/>
  <c r="F98" i="24"/>
  <c r="F96" i="24"/>
  <c r="F85" i="24"/>
  <c r="F84" i="24"/>
  <c r="F83" i="24"/>
  <c r="F76" i="24"/>
  <c r="F73" i="24"/>
  <c r="F72" i="24"/>
  <c r="F70" i="24"/>
  <c r="F69" i="24"/>
  <c r="F66" i="24"/>
  <c r="F64" i="24"/>
  <c r="F62" i="24"/>
  <c r="F61" i="24"/>
  <c r="F60" i="24"/>
  <c r="F59" i="24"/>
  <c r="F58" i="24"/>
  <c r="F57" i="24"/>
  <c r="F56" i="24"/>
  <c r="F55" i="24"/>
  <c r="F54" i="24"/>
  <c r="F53" i="24"/>
  <c r="F52" i="24"/>
  <c r="F51" i="24"/>
  <c r="F50" i="24"/>
  <c r="F49" i="24"/>
  <c r="F48" i="24"/>
  <c r="F47" i="24"/>
  <c r="F46" i="24"/>
  <c r="G8" i="13" s="1"/>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5" i="24"/>
  <c r="F10" i="24"/>
  <c r="F8" i="24"/>
  <c r="F7" i="24"/>
  <c r="F6" i="24"/>
  <c r="F3" i="24"/>
  <c r="F2" i="24"/>
  <c r="G7" i="13" l="1"/>
  <c r="B8" i="14"/>
  <c r="Q33" i="28" s="1"/>
  <c r="G35" i="7" l="1"/>
  <c r="H6" i="13" l="1"/>
  <c r="H7" i="13"/>
  <c r="H8" i="13"/>
  <c r="H9" i="13"/>
  <c r="H10" i="13"/>
  <c r="H11" i="13"/>
  <c r="H13" i="13"/>
  <c r="H14" i="13"/>
  <c r="C16" i="14" l="1"/>
  <c r="C15" i="14"/>
  <c r="G11" i="5" l="1"/>
  <c r="H7" i="5"/>
  <c r="I11" i="13" l="1"/>
  <c r="I13" i="13"/>
  <c r="I14" i="13"/>
  <c r="E10" i="28" l="1"/>
  <c r="E11" i="28"/>
  <c r="E12" i="28"/>
  <c r="E13" i="28"/>
  <c r="A24" i="28" l="1"/>
  <c r="E7" i="28"/>
  <c r="E8" i="28"/>
  <c r="E9" i="28"/>
  <c r="U8" i="28"/>
  <c r="U44" i="28"/>
  <c r="W31" i="28"/>
  <c r="U31" i="28"/>
  <c r="S10" i="28"/>
  <c r="S9" i="28"/>
  <c r="S8" i="28"/>
  <c r="G29" i="28"/>
  <c r="F29" i="28"/>
  <c r="A29" i="28"/>
  <c r="E29" i="28"/>
  <c r="G28" i="28"/>
  <c r="F28" i="28"/>
  <c r="A28" i="28"/>
  <c r="E28" i="28"/>
  <c r="G27" i="28"/>
  <c r="F27" i="28"/>
  <c r="A27" i="28"/>
  <c r="E27" i="28"/>
  <c r="A13" i="28"/>
  <c r="G26" i="28"/>
  <c r="F26" i="28"/>
  <c r="A26" i="28"/>
  <c r="E26" i="28"/>
  <c r="A12" i="28"/>
  <c r="G25" i="28"/>
  <c r="F25" i="28"/>
  <c r="A25" i="28"/>
  <c r="E25" i="28"/>
  <c r="A11" i="28"/>
  <c r="G24" i="28"/>
  <c r="F24" i="28"/>
  <c r="E24" i="28"/>
  <c r="A10" i="28"/>
  <c r="G23" i="28"/>
  <c r="F23" i="28"/>
  <c r="A23" i="28"/>
  <c r="E23" i="28"/>
  <c r="A9" i="28"/>
  <c r="G22" i="28"/>
  <c r="F22" i="28"/>
  <c r="A22" i="28"/>
  <c r="E22" i="28"/>
  <c r="A8" i="28"/>
  <c r="G21" i="28"/>
  <c r="F21" i="28"/>
  <c r="A21" i="28"/>
  <c r="E21" i="28"/>
  <c r="A7" i="28"/>
  <c r="G19" i="28"/>
  <c r="F19" i="28"/>
  <c r="A19" i="28"/>
  <c r="E19" i="28"/>
  <c r="J19" i="28"/>
  <c r="U25" i="28"/>
  <c r="J9" i="13"/>
  <c r="J10" i="13"/>
  <c r="J11" i="13"/>
  <c r="J13" i="13"/>
  <c r="J14" i="13"/>
  <c r="B7" i="14"/>
  <c r="B5" i="14"/>
  <c r="B6" i="14"/>
  <c r="C4" i="13" s="1"/>
  <c r="B4" i="14"/>
  <c r="P28" i="28" l="1"/>
  <c r="F7" i="13"/>
  <c r="C66" i="14"/>
  <c r="C29" i="14"/>
  <c r="W17" i="28"/>
  <c r="W16" i="28"/>
  <c r="W14" i="28"/>
  <c r="W15" i="28"/>
  <c r="W9" i="28"/>
  <c r="C49" i="14"/>
  <c r="W38" i="28"/>
  <c r="W44" i="28"/>
  <c r="Q28" i="28"/>
  <c r="W7" i="28"/>
  <c r="C65" i="14"/>
  <c r="W13" i="28"/>
  <c r="W6" i="28"/>
  <c r="C35" i="14"/>
  <c r="L14" i="13"/>
  <c r="L13" i="13"/>
  <c r="K13" i="13"/>
  <c r="K11" i="13"/>
  <c r="L11" i="13"/>
  <c r="C41" i="14"/>
  <c r="Q32" i="28"/>
  <c r="C26" i="14"/>
  <c r="C33" i="14"/>
  <c r="C30" i="14"/>
  <c r="C34" i="14"/>
  <c r="C32" i="14"/>
  <c r="C61" i="14"/>
  <c r="C47" i="14"/>
  <c r="C44" i="14"/>
  <c r="C42" i="14"/>
  <c r="C48" i="14"/>
  <c r="C53" i="14"/>
  <c r="C56" i="14"/>
  <c r="C58" i="14"/>
  <c r="W18" i="28"/>
  <c r="C50" i="14"/>
  <c r="C54" i="14"/>
  <c r="C57" i="14"/>
  <c r="C59" i="14"/>
  <c r="G20" i="28"/>
  <c r="G6" i="16"/>
  <c r="C14" i="14"/>
  <c r="C45" i="14"/>
  <c r="W8" i="28"/>
  <c r="C13" i="14"/>
  <c r="W10" i="28"/>
  <c r="E6" i="28"/>
  <c r="C21" i="14"/>
  <c r="C12" i="14"/>
  <c r="C64" i="14"/>
  <c r="W32" i="28" s="1"/>
  <c r="C62" i="14"/>
  <c r="C63" i="14"/>
  <c r="D11" i="13"/>
  <c r="F13" i="28" s="1"/>
  <c r="D13" i="13"/>
  <c r="F15" i="28" s="1"/>
  <c r="J6" i="13"/>
  <c r="J7" i="13"/>
  <c r="J8" i="13"/>
  <c r="J5" i="13"/>
  <c r="I9" i="13"/>
  <c r="I10" i="13"/>
  <c r="H12" i="16" l="1"/>
  <c r="I26" i="28" s="1"/>
  <c r="H13" i="16"/>
  <c r="I27" i="28" s="1"/>
  <c r="H14" i="16"/>
  <c r="I28" i="28" s="1"/>
  <c r="H15" i="16"/>
  <c r="I29" i="28" s="1"/>
  <c r="G4" i="7"/>
  <c r="C4" i="7"/>
  <c r="K4" i="7"/>
  <c r="H8" i="16"/>
  <c r="I22" i="28" s="1"/>
  <c r="H7" i="16"/>
  <c r="I21" i="28" s="1"/>
  <c r="H11" i="16"/>
  <c r="I25" i="28" s="1"/>
  <c r="H9" i="16"/>
  <c r="I23" i="28" s="1"/>
  <c r="H10" i="16"/>
  <c r="I24" i="28" s="1"/>
  <c r="I8" i="13"/>
  <c r="I7" i="13"/>
  <c r="H5" i="13"/>
  <c r="I5" i="13" s="1"/>
  <c r="I6" i="13"/>
  <c r="C15" i="13"/>
  <c r="C16" i="13"/>
  <c r="F15" i="13" l="1"/>
  <c r="V19" i="28"/>
  <c r="B47" i="14"/>
  <c r="D47" i="14" s="1"/>
  <c r="I16" i="13"/>
  <c r="I15" i="13"/>
  <c r="B42" i="14"/>
  <c r="D42" i="14" s="1"/>
  <c r="I10" i="16"/>
  <c r="I11" i="16"/>
  <c r="D8" i="33" l="1"/>
  <c r="B50" i="14"/>
  <c r="D50" i="14" s="1"/>
  <c r="I8" i="16"/>
  <c r="I9" i="16"/>
  <c r="I12" i="16"/>
  <c r="I13" i="16"/>
  <c r="I14" i="16"/>
  <c r="I15" i="16"/>
  <c r="I7" i="16"/>
  <c r="C15" i="5"/>
  <c r="D5" i="5"/>
  <c r="C13" i="5"/>
  <c r="C11" i="5"/>
  <c r="C9" i="5"/>
  <c r="C3" i="5"/>
  <c r="C5" i="5"/>
  <c r="D3" i="5"/>
  <c r="D5" i="8"/>
  <c r="C14" i="8"/>
  <c r="E14" i="8"/>
  <c r="G14" i="8"/>
  <c r="P5" i="7"/>
  <c r="P6" i="7"/>
  <c r="P7" i="7"/>
  <c r="P8" i="7"/>
  <c r="P9" i="7"/>
  <c r="P10" i="7"/>
  <c r="P11" i="7"/>
  <c r="P12" i="7"/>
  <c r="P13" i="7"/>
  <c r="P14" i="7"/>
  <c r="P15" i="7"/>
  <c r="D9" i="33" l="1"/>
  <c r="E26" i="33"/>
  <c r="D64" i="14"/>
  <c r="B5" i="7"/>
  <c r="B13" i="7" s="1"/>
  <c r="B63" i="14"/>
  <c r="V33" i="28" s="1"/>
  <c r="L10" i="13"/>
  <c r="L9" i="13"/>
  <c r="L8" i="13"/>
  <c r="L7" i="13"/>
  <c r="L5" i="13"/>
  <c r="L6" i="13"/>
  <c r="U32" i="28"/>
  <c r="C17" i="13"/>
  <c r="D14" i="13" s="1"/>
  <c r="F16" i="28" s="1"/>
  <c r="D62" i="14"/>
  <c r="H51" i="33" l="1"/>
  <c r="G51" i="33"/>
  <c r="F51" i="33"/>
  <c r="D32" i="33"/>
  <c r="E51" i="33"/>
  <c r="D51" i="33"/>
  <c r="E27" i="33"/>
  <c r="D63" i="14"/>
  <c r="B61" i="14"/>
  <c r="B7" i="7"/>
  <c r="B8" i="7" s="1"/>
  <c r="B9" i="7"/>
  <c r="B6" i="7"/>
  <c r="B17" i="7"/>
  <c r="B19" i="7" s="1"/>
  <c r="B20" i="7" s="1"/>
  <c r="B15" i="7"/>
  <c r="B16" i="7" s="1"/>
  <c r="B14" i="7"/>
  <c r="L16" i="13"/>
  <c r="D9" i="13"/>
  <c r="F11" i="28" s="1"/>
  <c r="D10" i="13"/>
  <c r="F12" i="28" s="1"/>
  <c r="D8" i="13"/>
  <c r="F10" i="28" s="1"/>
  <c r="D7" i="13"/>
  <c r="D6" i="13"/>
  <c r="D5" i="13"/>
  <c r="K14" i="13" l="1"/>
  <c r="B41" i="14"/>
  <c r="I51" i="33"/>
  <c r="E32" i="33"/>
  <c r="F32" i="33" s="1"/>
  <c r="B18" i="7"/>
  <c r="B10" i="7"/>
  <c r="B11" i="7"/>
  <c r="B12" i="7" s="1"/>
  <c r="G7" i="14"/>
  <c r="D61" i="14"/>
  <c r="K16" i="28"/>
  <c r="B51" i="14"/>
  <c r="D16" i="13"/>
  <c r="K6" i="13"/>
  <c r="K10" i="13"/>
  <c r="K5" i="13"/>
  <c r="K7" i="13"/>
  <c r="K8" i="13"/>
  <c r="K9" i="13"/>
  <c r="U18" i="28"/>
  <c r="F8" i="28"/>
  <c r="F9" i="28"/>
  <c r="F7" i="28"/>
  <c r="L15" i="13"/>
  <c r="L17" i="13"/>
  <c r="D15" i="13"/>
  <c r="L21" i="13" l="1"/>
  <c r="J9" i="28" s="1"/>
  <c r="J10" i="28"/>
  <c r="U40" i="28"/>
  <c r="U42" i="28" s="1"/>
  <c r="U34" i="28"/>
  <c r="K20" i="13"/>
  <c r="K16" i="13"/>
  <c r="K19" i="13"/>
  <c r="U21" i="28" s="1"/>
  <c r="U23" i="28" s="1"/>
  <c r="B52" i="14"/>
  <c r="I17" i="13"/>
  <c r="K7" i="28" s="1"/>
  <c r="D17" i="13"/>
  <c r="J15" i="28" l="1"/>
  <c r="U36" i="28"/>
  <c r="J7" i="28"/>
  <c r="B53" i="14"/>
  <c r="K17" i="13"/>
  <c r="K15" i="13"/>
  <c r="K21" i="13"/>
  <c r="V26" i="28" l="1"/>
  <c r="V25" i="28"/>
  <c r="J10" i="16"/>
  <c r="K10" i="16" s="1"/>
  <c r="J14" i="16"/>
  <c r="K14" i="16" s="1"/>
  <c r="J15" i="16"/>
  <c r="K15" i="16" s="1"/>
  <c r="J7" i="16"/>
  <c r="K7" i="16" s="1"/>
  <c r="J8" i="16"/>
  <c r="K8" i="16" s="1"/>
  <c r="J11" i="16"/>
  <c r="K11" i="16" s="1"/>
  <c r="J12" i="16"/>
  <c r="K12" i="16" s="1"/>
  <c r="J13" i="16"/>
  <c r="K13" i="16" s="1"/>
  <c r="J9" i="16"/>
  <c r="K9" i="16" s="1"/>
  <c r="U27" i="28"/>
  <c r="U29" i="28" s="1"/>
  <c r="J8" i="28"/>
  <c r="D53" i="14"/>
  <c r="B58" i="14"/>
  <c r="K6" i="28" l="1"/>
  <c r="D58" i="14"/>
  <c r="V17" i="28" l="1"/>
  <c r="K16" i="16"/>
  <c r="J14" i="28" s="1"/>
  <c r="K14" i="28" l="1"/>
  <c r="E8" i="33" l="1"/>
  <c r="D38" i="32" l="1"/>
  <c r="E45" i="32"/>
  <c r="D45" i="32"/>
  <c r="F38" i="32"/>
  <c r="D46" i="33"/>
  <c r="E9" i="33"/>
  <c r="F46" i="33"/>
  <c r="D39" i="33"/>
  <c r="E46" i="33"/>
  <c r="F39" i="33"/>
  <c r="E39" i="33"/>
  <c r="Q20" i="28" l="1"/>
  <c r="Q21" i="28"/>
  <c r="Q22" i="28"/>
  <c r="Q18" i="28"/>
  <c r="E52" i="33"/>
  <c r="G52" i="33"/>
  <c r="F52" i="33"/>
  <c r="D52" i="33"/>
  <c r="H52" i="33"/>
  <c r="I52" i="33" l="1"/>
  <c r="I53" i="33" s="1"/>
  <c r="F45" i="32"/>
  <c r="Q23" i="28" s="1"/>
  <c r="U16" i="28"/>
  <c r="U6" i="28"/>
  <c r="D41" i="14"/>
  <c r="B44" i="14"/>
  <c r="B54" i="14" l="1"/>
  <c r="B56" i="14" s="1"/>
  <c r="B45" i="14"/>
  <c r="U10" i="28" s="1"/>
  <c r="B57" i="14"/>
  <c r="B59" i="14" s="1"/>
  <c r="D54" i="14"/>
  <c r="B48" i="14"/>
  <c r="D44" i="14"/>
  <c r="B49" i="14"/>
  <c r="U9" i="28"/>
  <c r="D8" i="32"/>
  <c r="U17" i="28" l="1"/>
  <c r="D59" i="14"/>
  <c r="E50" i="32"/>
  <c r="G50" i="32"/>
  <c r="D50" i="32"/>
  <c r="D31" i="32"/>
  <c r="H50" i="32"/>
  <c r="F50" i="32"/>
  <c r="E24" i="32"/>
  <c r="E8" i="32"/>
  <c r="U13" i="28"/>
  <c r="D49" i="14"/>
  <c r="D57" i="14"/>
  <c r="U15" i="28"/>
  <c r="G6" i="14"/>
  <c r="D48" i="14"/>
  <c r="U14" i="28"/>
  <c r="D56" i="14"/>
  <c r="E31" i="32" l="1"/>
  <c r="F31" i="32" s="1"/>
  <c r="U11" i="28" s="1"/>
  <c r="E51" i="32"/>
  <c r="Q9" i="28" s="1"/>
  <c r="H51" i="32"/>
  <c r="Q12" i="28" s="1"/>
  <c r="F51" i="32"/>
  <c r="Q10" i="28" s="1"/>
  <c r="I50" i="32"/>
  <c r="E38" i="32"/>
  <c r="Q19" i="28" s="1"/>
  <c r="D51" i="32" l="1"/>
  <c r="Q8" i="28" s="1"/>
  <c r="G51" i="32"/>
  <c r="I51" i="32" s="1"/>
  <c r="Q11" i="28" l="1"/>
  <c r="Q14" i="28"/>
  <c r="I5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<sst xmlns="http://schemas.openxmlformats.org/spreadsheetml/2006/main" count="4550" uniqueCount="2298">
  <si>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</si>
  <si>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</si>
  <si>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</si>
  <si>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</si>
  <si>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</si>
  <si>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</si>
  <si>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</si>
  <si>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</si>
  <si>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</si>
  <si>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</si>
  <si>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</si>
  <si>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</si>
  <si>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</si>
  <si>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</si>
  <si>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</si>
  <si>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</si>
  <si>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</si>
  <si>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</si>
  <si>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</si>
  <si>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</si>
  <si>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</si>
  <si>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</si>
  <si>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</si>
  <si>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</si>
  <si>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</si>
  <si>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</si>
  <si>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</si>
  <si>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</si>
  <si>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</si>
  <si>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</si>
  <si>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</si>
  <si>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</si>
  <si>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</si>
  <si>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</si>
  <si>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</si>
  <si>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</si>
  <si>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</si>
  <si>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</si>
  <si>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</si>
  <si>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</si>
  <si>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</si>
  <si>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</si>
  <si>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</si>
  <si>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</si>
  <si>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</si>
  <si>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</si>
  <si>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</si>
  <si>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</si>
  <si>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</si>
  <si>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</si>
  <si>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</si>
  <si>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</si>
  <si>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</si>
  <si>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</si>
  <si>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</si>
  <si>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</si>
  <si>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</si>
  <si>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</si>
  <si>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</si>
  <si>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</si>
  <si>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</si>
  <si>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</si>
  <si>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</si>
  <si>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</si>
  <si>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</si>
  <si>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</si>
  <si>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</si>
  <si>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</si>
  <si>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</si>
  <si>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</si>
  <si>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</si>
  <si>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</si>
  <si>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</si>
  <si>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</si>
  <si>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</si>
  <si>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</si>
  <si>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</si>
  <si>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</si>
  <si>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</si>
  <si>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</si>
  <si>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</si>
  <si>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</si>
  <si>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</si>
  <si>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</si>
  <si>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</si>
  <si>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</si>
  <si>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</si>
  <si>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</si>
  <si>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</si>
  <si>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</si>
  <si>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</si>
  <si>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</si>
  <si>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</si>
  <si>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</si>
  <si>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</si>
  <si>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</si>
  <si>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</si>
  <si>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</si>
  <si>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</si>
  <si>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</si>
  <si>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</si>
  <si>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Water/Grist Ratio</t>
  </si>
  <si>
    <t>Strike Water Temp</t>
  </si>
  <si>
    <t>Ambient Grain Temp</t>
  </si>
  <si>
    <t>Value</t>
  </si>
  <si>
    <t>%</t>
  </si>
  <si>
    <t>Pre-Boil Volume</t>
  </si>
  <si>
    <t>Post-Boil Volume</t>
  </si>
  <si>
    <t>Size of Mash Tun</t>
  </si>
  <si>
    <t>Evaporation Rate</t>
  </si>
  <si>
    <t>Size of Boil Kettle</t>
  </si>
  <si>
    <t>Boil Time</t>
  </si>
  <si>
    <t>Lauter Tun Deadspace</t>
  </si>
  <si>
    <t>Account for evaporation loss and wort cooling shrinkage</t>
  </si>
  <si>
    <t>Effect of cooling wort from boil to pitching temp</t>
  </si>
  <si>
    <t>Evaporation Loss</t>
  </si>
  <si>
    <t>Cooling Loss</t>
  </si>
  <si>
    <t>Adjustment Factors:</t>
  </si>
  <si>
    <t>Pellet:</t>
  </si>
  <si>
    <t>Plug:</t>
  </si>
  <si>
    <t>Leaf:</t>
  </si>
  <si>
    <t>Total Vol (Grain + Water)</t>
  </si>
  <si>
    <t>Sparge Vol Available</t>
  </si>
  <si>
    <t>Number of Steps Required</t>
  </si>
  <si>
    <t>Max Fill for Mash Tun</t>
  </si>
  <si>
    <t>Optimize # steps</t>
  </si>
  <si>
    <t>Dry Grain Volume Used</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</si>
  <si>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</si>
  <si>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</si>
  <si>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</si>
  <si>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</si>
  <si>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</si>
  <si>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</si>
  <si>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</si>
  <si>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</si>
  <si>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</si>
  <si>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</si>
  <si>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</si>
  <si>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</si>
  <si>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</si>
  <si>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</si>
  <si>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Support my work by donating on PayPal:</t>
  </si>
  <si>
    <t xml:space="preserve">Amount </t>
  </si>
  <si>
    <t>Qty</t>
  </si>
  <si>
    <t>Desired Mash Temp</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</si>
  <si>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</si>
  <si>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</si>
  <si>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</si>
  <si>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</si>
  <si>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</si>
  <si>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</si>
  <si>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</si>
  <si>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</si>
  <si>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</si>
  <si>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</si>
  <si>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</si>
  <si>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</si>
  <si>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</si>
  <si>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</si>
  <si>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</si>
  <si>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</si>
  <si>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</si>
  <si>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</si>
  <si>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</si>
  <si>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</si>
  <si>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</si>
  <si>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</si>
  <si>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</si>
  <si>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</si>
  <si>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</si>
  <si>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</si>
  <si>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</si>
  <si>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</si>
  <si>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</si>
  <si>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</si>
  <si>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</si>
  <si>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</si>
  <si>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</si>
  <si>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</si>
  <si>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</si>
  <si>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</si>
  <si>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</si>
  <si>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</si>
  <si>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</si>
  <si>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</si>
  <si>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</si>
  <si>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</si>
  <si>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</si>
  <si>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</si>
  <si>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</si>
  <si>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</si>
  <si>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</si>
  <si>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</si>
  <si>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</si>
  <si>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</si>
  <si>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</si>
  <si>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</si>
  <si>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</si>
  <si>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</si>
  <si>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</si>
  <si>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</si>
  <si>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</si>
  <si>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</si>
  <si>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</si>
  <si>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</si>
  <si>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</si>
  <si>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</si>
  <si>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</si>
  <si>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</si>
  <si>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</si>
  <si>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</si>
  <si>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</si>
  <si>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</si>
  <si>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</si>
  <si>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</si>
  <si>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</si>
  <si>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</si>
  <si>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</si>
  <si>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</si>
  <si>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</si>
  <si>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</si>
  <si>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</si>
  <si>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</si>
  <si>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</si>
  <si>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</si>
  <si>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</si>
  <si>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</si>
  <si>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</si>
  <si>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</si>
  <si>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</si>
  <si>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</si>
  <si>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</si>
  <si>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</si>
  <si>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</si>
  <si>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</si>
  <si>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</si>
  <si>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</si>
  <si>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</si>
  <si>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</si>
  <si>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</si>
  <si>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</si>
  <si>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</si>
  <si>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</si>
  <si>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</si>
  <si>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</si>
  <si>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</si>
  <si>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</si>
  <si>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</si>
  <si>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</si>
  <si>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</si>
  <si>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</si>
  <si>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</si>
  <si>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</si>
  <si>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</si>
  <si>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</si>
  <si>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</si>
  <si>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</si>
  <si>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</si>
  <si>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</si>
  <si>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</si>
  <si>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</si>
  <si>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</si>
  <si>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</si>
  <si>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</si>
  <si>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</si>
  <si>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</si>
  <si>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</si>
  <si>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</si>
  <si>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</si>
  <si>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</si>
  <si>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</si>
  <si>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</si>
  <si>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</si>
  <si>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</si>
  <si>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</si>
  <si>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</si>
  <si>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</si>
  <si>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</si>
  <si>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</si>
  <si>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</si>
  <si>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</si>
  <si>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</si>
  <si>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</si>
  <si>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</si>
  <si>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</si>
  <si>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</si>
  <si>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</si>
  <si>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</si>
  <si>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</si>
  <si>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</si>
  <si>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</si>
  <si>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</si>
  <si>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</si>
  <si>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</si>
  <si>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</si>
  <si>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</si>
  <si>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</si>
  <si>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</si>
  <si>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</si>
  <si>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</si>
  <si>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</si>
  <si>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</si>
  <si>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</si>
  <si>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</si>
  <si>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</si>
  <si>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</si>
  <si>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</si>
  <si>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</si>
  <si>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</si>
  <si>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</si>
  <si>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</si>
  <si>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</si>
  <si>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</si>
  <si>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</si>
  <si>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</si>
  <si>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</si>
  <si>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</si>
  <si>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</si>
  <si>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</si>
  <si>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</si>
  <si>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</si>
  <si>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</si>
  <si>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</si>
  <si>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</si>
  <si>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</si>
  <si>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</si>
  <si>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</si>
  <si>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</si>
  <si>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</si>
  <si>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</si>
  <si>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</si>
  <si>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</si>
  <si>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</si>
  <si>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</si>
  <si>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</si>
  <si>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</si>
  <si>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</si>
  <si>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</si>
  <si>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</si>
  <si>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</si>
  <si>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</si>
  <si>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</si>
  <si>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</si>
  <si>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</si>
  <si>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</si>
  <si>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</si>
  <si>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</si>
  <si>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</si>
  <si>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</si>
  <si>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</si>
  <si>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</si>
  <si>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</si>
  <si>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</si>
  <si>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</si>
  <si>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</si>
  <si>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</si>
  <si>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</si>
  <si>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</si>
  <si>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</si>
  <si>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</si>
  <si>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</si>
  <si>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</si>
  <si>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</si>
  <si>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</si>
  <si>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</si>
  <si>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</si>
  <si>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</si>
  <si>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</si>
  <si>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</si>
  <si>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</si>
  <si>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</si>
  <si>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</si>
  <si>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</si>
  <si>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</si>
  <si>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</si>
  <si>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</si>
  <si>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</si>
  <si>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</si>
  <si>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</si>
  <si>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</si>
  <si>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</si>
  <si>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</si>
  <si>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</si>
  <si>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</si>
  <si>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</si>
  <si>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</si>
  <si>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</si>
  <si>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</si>
  <si>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</si>
  <si>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</si>
  <si>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</si>
  <si>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</si>
  <si>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</si>
  <si>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</si>
  <si>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</si>
  <si>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</si>
  <si>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</si>
  <si>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</si>
  <si>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</si>
  <si>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</si>
  <si>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</si>
  <si>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</si>
  <si>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</si>
  <si>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</si>
  <si>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</si>
  <si>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</si>
  <si>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</si>
  <si>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</si>
  <si>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</si>
  <si>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</si>
  <si>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</si>
  <si>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</si>
  <si>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</si>
  <si>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</si>
  <si>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</si>
  <si>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</si>
  <si>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</si>
  <si>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</si>
  <si>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</si>
  <si>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</si>
  <si>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</si>
  <si>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</si>
  <si>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</si>
  <si>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</si>
  <si>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</si>
  <si>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</si>
  <si>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</si>
  <si>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</si>
  <si>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</si>
  <si>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</si>
  <si>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</si>
  <si>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</si>
  <si>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</si>
  <si>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</si>
  <si>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</si>
  <si>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</si>
  <si>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</si>
  <si>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</si>
  <si>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</si>
  <si>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</si>
  <si>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</si>
  <si>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</si>
  <si>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</si>
  <si>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</si>
  <si>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</si>
  <si>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</si>
  <si>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</si>
  <si>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</si>
  <si>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</si>
  <si>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</si>
  <si>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</si>
  <si>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</si>
  <si>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</si>
  <si>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</si>
  <si>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</si>
  <si>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</si>
  <si>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</si>
  <si>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</si>
  <si>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</si>
  <si>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</si>
  <si>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</si>
  <si>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</si>
  <si>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</si>
  <si>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</si>
  <si>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</si>
  <si>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</si>
  <si>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</si>
  <si>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</si>
  <si>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</si>
  <si>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</si>
  <si>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</si>
  <si>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</si>
  <si>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</si>
  <si>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</si>
  <si>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</si>
  <si>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</si>
  <si>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</si>
  <si>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</si>
  <si>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</si>
  <si>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</si>
  <si>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</si>
  <si>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</si>
  <si>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</si>
  <si>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</si>
  <si>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</si>
  <si>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</si>
  <si>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</si>
  <si>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</si>
  <si>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</si>
  <si>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</si>
  <si>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</si>
  <si>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</si>
  <si>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</si>
  <si>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</si>
  <si>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</si>
  <si>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</si>
  <si>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</si>
  <si>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</si>
  <si>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</si>
  <si>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</si>
  <si>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</si>
  <si>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</si>
  <si>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</si>
  <si>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</si>
  <si>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</si>
  <si>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</si>
  <si>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</si>
  <si>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</si>
  <si>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</si>
  <si>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</si>
  <si>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</si>
  <si>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</si>
  <si>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</si>
  <si>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</si>
  <si>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</si>
  <si>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</si>
  <si>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</si>
  <si>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</si>
  <si>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</si>
  <si>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</si>
  <si>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</si>
  <si>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</si>
  <si>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</si>
  <si>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</si>
  <si>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</si>
  <si>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</si>
  <si>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</si>
  <si>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</si>
  <si>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</si>
  <si>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</si>
  <si>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</si>
  <si>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</si>
  <si>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</si>
  <si>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</si>
  <si>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</si>
  <si>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</si>
  <si>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</si>
  <si>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</si>
  <si>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</si>
  <si>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</si>
  <si>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</si>
  <si>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</si>
  <si>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</si>
  <si>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</si>
  <si>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</si>
  <si>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</si>
  <si>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</si>
  <si>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</si>
  <si>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</si>
  <si>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</si>
  <si>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</si>
  <si>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</si>
  <si>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</si>
  <si>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</si>
  <si>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</si>
  <si>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</si>
  <si>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</si>
  <si>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</si>
  <si>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</si>
  <si>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</si>
  <si>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</si>
  <si>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</si>
  <si>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</si>
  <si>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</si>
  <si>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</si>
  <si>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</si>
  <si>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</si>
  <si>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</si>
  <si>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</si>
  <si>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</si>
  <si>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</si>
  <si>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</si>
  <si>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</si>
  <si>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</si>
  <si>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</si>
  <si>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</si>
  <si>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</si>
  <si>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</si>
  <si>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</si>
  <si>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</si>
  <si>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</si>
  <si>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</si>
  <si>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</si>
  <si>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</si>
  <si>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</si>
  <si>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</si>
  <si>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</si>
  <si>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</si>
  <si>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</si>
  <si>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</si>
  <si>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</si>
  <si>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</si>
  <si>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</si>
  <si>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</si>
  <si>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</si>
  <si>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</si>
  <si>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</si>
  <si>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</si>
  <si>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</si>
  <si>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</si>
  <si>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</si>
  <si>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</si>
  <si>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</si>
  <si>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</si>
  <si>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</si>
  <si>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</si>
  <si>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</si>
  <si>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</si>
  <si>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</si>
  <si>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</si>
  <si>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</si>
  <si>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</si>
  <si>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67-73%</t>
  </si>
  <si>
    <t>Brittish style, slightly fruity with a hint of sulfur.</t>
  </si>
  <si>
    <t>Full-bodied, fruity English ale.</t>
  </si>
  <si>
    <t>1A. American Light Lager</t>
  </si>
  <si>
    <t>1B. American Lager</t>
  </si>
  <si>
    <t>1C. Cream Ale</t>
  </si>
  <si>
    <t>1D. American Wheat Beer</t>
  </si>
  <si>
    <t>2A. International Pale Lager</t>
  </si>
  <si>
    <t>2B. International Amber Lager</t>
  </si>
  <si>
    <t>2C. International Dark Lager</t>
  </si>
  <si>
    <t>3A. Czech Pale Lager</t>
  </si>
  <si>
    <t>3B. Czech Premium Pale Lager</t>
  </si>
  <si>
    <t>3C. Czech Amber Lager</t>
  </si>
  <si>
    <t>3D. Czech Dark Lager</t>
  </si>
  <si>
    <t>4A. Munich Helles</t>
  </si>
  <si>
    <t>4B. Festbier</t>
  </si>
  <si>
    <t>4C. Helles Bock</t>
  </si>
  <si>
    <t>5A. German Leichtbier</t>
  </si>
  <si>
    <t>5B. Kölsch</t>
  </si>
  <si>
    <t>5C. German Helles Exportbier</t>
  </si>
  <si>
    <t>5D. German Pils</t>
  </si>
  <si>
    <t>7A. Vienna Lager</t>
  </si>
  <si>
    <t>7B. Altbier</t>
  </si>
  <si>
    <t>7C. Kellerbier: Pale Kellerbier</t>
  </si>
  <si>
    <t>7C. Kellerbier: Amber Kellerbier</t>
  </si>
  <si>
    <t>6A. Märzen</t>
  </si>
  <si>
    <t>6B. Rauchbier</t>
  </si>
  <si>
    <t>6C. Dunkles Bock</t>
  </si>
  <si>
    <t>8A. Munich Dunkel</t>
  </si>
  <si>
    <t>8B. Schwarzbier</t>
  </si>
  <si>
    <t>9A. Doppelbock</t>
  </si>
  <si>
    <t>9B. Eisbock</t>
  </si>
  <si>
    <t>9C. Baltic Porter</t>
  </si>
  <si>
    <t>10A. Weissbier</t>
  </si>
  <si>
    <t>10B. Dunkles Weissbier</t>
  </si>
  <si>
    <t>10C. Weizenbock</t>
  </si>
  <si>
    <t>11A. Ordinary Bitter</t>
  </si>
  <si>
    <t>11B. Best Bitter</t>
  </si>
  <si>
    <t>11C. Strong Bitter</t>
  </si>
  <si>
    <t>12A. British Golden Ale</t>
  </si>
  <si>
    <t>12B. Australian Sparkling Ale</t>
  </si>
  <si>
    <t>12C. English IPA</t>
  </si>
  <si>
    <t>13A. Dark Mild</t>
  </si>
  <si>
    <t>13B. British Brown Ale</t>
  </si>
  <si>
    <t>13C. English Porter</t>
  </si>
  <si>
    <t>14A. Scottish Light</t>
  </si>
  <si>
    <t>14B. Scottish Heavy</t>
  </si>
  <si>
    <t>14C. Scottish Export</t>
  </si>
  <si>
    <t>15A. Irish Red Ale</t>
  </si>
  <si>
    <t>15B. Irish Stout</t>
  </si>
  <si>
    <t>15C. Irish Extra Stout</t>
  </si>
  <si>
    <t>16A. Sweet Stout</t>
  </si>
  <si>
    <t>16B. Oatmeal Stout</t>
  </si>
  <si>
    <t>16C. Tropical Stout</t>
  </si>
  <si>
    <t>16D. Foreign Extra Stout</t>
  </si>
  <si>
    <t>17A. British Strong Ale</t>
  </si>
  <si>
    <t>17B. Old Ale</t>
  </si>
  <si>
    <t>17C. Wee Heavy</t>
  </si>
  <si>
    <t>17D. English Barleywine</t>
  </si>
  <si>
    <t>18A. Blonde Ale</t>
  </si>
  <si>
    <t>18B. American Pale Ale</t>
  </si>
  <si>
    <t>19A. American Amber Ale</t>
  </si>
  <si>
    <t>19B. California Common</t>
  </si>
  <si>
    <t>19C. American Brown Ale</t>
  </si>
  <si>
    <t>20A. American Porter</t>
  </si>
  <si>
    <t>20B. American Stout</t>
  </si>
  <si>
    <t>20C. Imperial Stout</t>
  </si>
  <si>
    <t>21A. American IPA</t>
  </si>
  <si>
    <t>21B. Specialty IPA: Belgian IPA</t>
  </si>
  <si>
    <t>21B. Specialty IPA: Black IPA</t>
  </si>
  <si>
    <t>21B. Specialty IPA: Brown IPA</t>
  </si>
  <si>
    <t>21B. Specialty IPA: Red IPA</t>
  </si>
  <si>
    <t>21B. Specialty IPA: Rye IPA</t>
  </si>
  <si>
    <t>21B. Specialty IPA: White IPA</t>
  </si>
  <si>
    <t>22A. Double IPA</t>
  </si>
  <si>
    <t>22B. American Strong Ale</t>
  </si>
  <si>
    <t>22C. American Barleywine</t>
  </si>
  <si>
    <t>22D. Wheatwine</t>
  </si>
  <si>
    <t>23A. Berliner Weisse</t>
  </si>
  <si>
    <t>23B. Flanders Red Ale</t>
  </si>
  <si>
    <t>23C. Oud Bruin</t>
  </si>
  <si>
    <t>23D. Lambic</t>
  </si>
  <si>
    <t>23E. Gueuze</t>
  </si>
  <si>
    <t>23F. Fruit Lambic</t>
  </si>
  <si>
    <t>24A. Witbier</t>
  </si>
  <si>
    <t>24B. Belgian Pale Ale</t>
  </si>
  <si>
    <t>24C. Bière de Garde</t>
  </si>
  <si>
    <t>25A. Belgian Blond Ale</t>
  </si>
  <si>
    <t>25B. Saison</t>
  </si>
  <si>
    <t>25C. Belgian Golden Strong Ale</t>
  </si>
  <si>
    <t>26A. Trappist Single</t>
  </si>
  <si>
    <t>26B. Belgian Dubbel</t>
  </si>
  <si>
    <t>26C. Belgian Tripel</t>
  </si>
  <si>
    <t>26D. Belgian Dark Strong Ale</t>
  </si>
  <si>
    <t>28A. Brett Beer</t>
  </si>
  <si>
    <t>28B. Mixed-Fermentation Sour Beer</t>
  </si>
  <si>
    <t>28C. Wild Specialty Beer</t>
  </si>
  <si>
    <t>29A. Fruit Beer</t>
  </si>
  <si>
    <t>29B. Fruit and Spice Beer</t>
  </si>
  <si>
    <t>29C. Specialty Fruit Beer</t>
  </si>
  <si>
    <t>30A. Spice, Herb, or Vegetable Beer</t>
  </si>
  <si>
    <t>30B. Autumn Seasonal Beer</t>
  </si>
  <si>
    <t>30C. Winter Seasonal Beer</t>
  </si>
  <si>
    <t>31A. Alternative Grain Beer</t>
  </si>
  <si>
    <t>31B. Alternative Sugar Beer</t>
  </si>
  <si>
    <t>32A. Classic Style Smoked Beer</t>
  </si>
  <si>
    <t>32B. Specialty Smoked Beer</t>
  </si>
  <si>
    <t>33A. Wood-Aged Beer</t>
  </si>
  <si>
    <t>33B. Specialty Wood-Aged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</si>
  <si>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</si>
  <si>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</si>
  <si>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</si>
  <si>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</si>
  <si>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</si>
  <si>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</si>
  <si>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</si>
  <si>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</si>
  <si>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</si>
  <si>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</si>
  <si>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</si>
  <si>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</si>
  <si>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</si>
  <si>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</si>
  <si>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</si>
  <si>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</si>
  <si>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</si>
  <si>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</si>
  <si>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</si>
  <si>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</si>
  <si>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</si>
  <si>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</si>
  <si>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</si>
  <si>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</si>
  <si>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</si>
  <si>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</si>
  <si>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</si>
  <si>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</si>
  <si>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</si>
  <si>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</si>
  <si>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</si>
  <si>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</si>
  <si>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</si>
  <si>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</si>
  <si>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</si>
  <si>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</si>
  <si>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</si>
  <si>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</si>
  <si>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</si>
  <si>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</si>
  <si>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</si>
  <si>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</si>
  <si>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</si>
  <si>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</si>
  <si>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</si>
  <si>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</si>
  <si>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</si>
  <si>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</si>
  <si>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</si>
  <si>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</si>
  <si>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</si>
  <si>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</si>
  <si>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</si>
  <si>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</si>
  <si>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</si>
  <si>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</si>
  <si>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</si>
  <si>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</si>
  <si>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</si>
  <si>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</si>
  <si>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</si>
  <si>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</si>
  <si>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</si>
  <si>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</si>
  <si>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</si>
  <si>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</si>
  <si>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</si>
  <si>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</si>
  <si>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</si>
  <si>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</si>
  <si>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</si>
  <si>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</si>
  <si>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</si>
  <si>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</si>
  <si>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</si>
  <si>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</si>
  <si>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</si>
  <si>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</si>
  <si>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</si>
  <si>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</si>
  <si>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</si>
  <si>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</si>
  <si>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</si>
  <si>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</si>
  <si>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</si>
  <si>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</si>
  <si>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</si>
  <si>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</si>
  <si>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</si>
  <si>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</si>
  <si>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</si>
  <si>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</si>
  <si>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</si>
  <si>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</si>
  <si>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</si>
  <si>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</si>
  <si>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</si>
  <si>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</si>
  <si>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</si>
  <si>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</si>
  <si>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</si>
  <si>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</si>
  <si>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</si>
  <si>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</si>
  <si>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</si>
  <si>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</si>
  <si>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</si>
  <si>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</si>
  <si>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</si>
  <si>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</si>
  <si>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</si>
  <si>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</si>
  <si>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</si>
  <si>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</si>
  <si>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</si>
  <si>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</si>
  <si>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</si>
  <si>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</si>
  <si>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</si>
  <si>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</si>
  <si>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</si>
  <si>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</si>
  <si>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</si>
  <si>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</si>
  <si>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</si>
  <si>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</si>
  <si>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</si>
  <si>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</si>
  <si>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</si>
  <si>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</si>
  <si>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</si>
  <si>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</si>
  <si>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</si>
  <si>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</si>
  <si>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</si>
  <si>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</si>
  <si>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</si>
  <si>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</si>
  <si>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</si>
  <si>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</si>
  <si>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</si>
  <si>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</si>
  <si>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</si>
  <si>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</si>
  <si>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</si>
  <si>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</si>
  <si>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</si>
  <si>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</si>
  <si>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</si>
  <si>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</si>
  <si>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</si>
  <si>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</si>
  <si>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</si>
  <si>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</si>
  <si>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</si>
  <si>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</si>
  <si>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</si>
  <si>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</si>
  <si>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</si>
  <si>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</si>
  <si>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</si>
  <si>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</si>
  <si>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</si>
  <si>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</si>
  <si>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</si>
  <si>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</si>
  <si>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</si>
  <si>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</si>
  <si>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</si>
  <si>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</si>
  <si>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</si>
  <si>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</si>
  <si>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</si>
  <si>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</si>
  <si>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</si>
  <si>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</si>
  <si>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</si>
  <si>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</si>
  <si>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</si>
  <si>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</si>
  <si>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</si>
  <si>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</si>
  <si>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</si>
  <si>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</si>
  <si>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</si>
  <si>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</si>
  <si>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</si>
  <si>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</si>
  <si>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</si>
  <si>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</si>
  <si>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</si>
  <si>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</si>
  <si>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</si>
  <si>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</si>
  <si>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</si>
  <si>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</si>
  <si>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</si>
  <si>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</si>
  <si>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</si>
  <si>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</si>
  <si>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</si>
  <si>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</si>
  <si>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</si>
  <si>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</si>
  <si>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</si>
  <si>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</si>
  <si>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</si>
  <si>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</si>
  <si>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</si>
  <si>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</si>
  <si>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</si>
  <si>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</si>
  <si>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</si>
  <si>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</si>
  <si>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</si>
  <si>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</si>
  <si>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</si>
  <si>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</si>
  <si>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</si>
  <si>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</si>
  <si>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</si>
  <si>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</si>
  <si>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</si>
  <si>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</si>
  <si>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</si>
  <si>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</si>
  <si>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</si>
  <si>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</si>
  <si>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</si>
  <si>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</si>
  <si>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</si>
  <si>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</si>
  <si>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</si>
  <si>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</si>
  <si>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</si>
  <si>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</si>
  <si>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</si>
  <si>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</si>
  <si>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</si>
  <si>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</si>
  <si>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</si>
  <si>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</si>
  <si>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</si>
  <si>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</si>
  <si>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</si>
  <si>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</si>
  <si>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</si>
  <si>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</si>
  <si>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</si>
  <si>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</si>
  <si>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</si>
  <si>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</si>
  <si>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</si>
  <si>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</si>
  <si>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</si>
  <si>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</si>
  <si>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</si>
  <si>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</si>
  <si>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</si>
  <si>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</si>
  <si>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</si>
  <si>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</si>
  <si>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</si>
  <si>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</si>
  <si>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</si>
  <si>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</si>
  <si>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</si>
  <si>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</si>
  <si>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</si>
  <si>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</si>
  <si>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</si>
  <si>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</si>
  <si>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</si>
  <si>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</si>
  <si>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</si>
  <si>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</si>
  <si>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</si>
  <si>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</si>
  <si>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</si>
  <si>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</si>
  <si>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</si>
  <si>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</si>
  <si>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</si>
  <si>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</si>
  <si>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</si>
  <si>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</si>
  <si>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</si>
  <si>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</si>
  <si>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</si>
  <si>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</si>
  <si>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</si>
  <si>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</si>
  <si>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</si>
  <si>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</si>
  <si>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</si>
  <si>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</si>
  <si>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</si>
  <si>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</si>
  <si>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</si>
  <si>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</si>
  <si>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</si>
  <si>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</si>
  <si>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</si>
  <si>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</si>
  <si>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</si>
  <si>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</si>
  <si>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</si>
  <si>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</si>
  <si>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</si>
  <si>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</si>
  <si>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</si>
  <si>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</si>
  <si>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</si>
  <si>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</si>
  <si>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</si>
  <si>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</si>
  <si>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</si>
  <si>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</si>
  <si>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</si>
  <si>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</si>
  <si>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</si>
  <si>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</si>
  <si>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</si>
  <si>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</si>
  <si>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</si>
  <si>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</si>
  <si>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</si>
  <si>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</si>
  <si>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</si>
  <si>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</si>
  <si>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</si>
  <si>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</si>
  <si>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</si>
  <si>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</si>
  <si>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</si>
  <si>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</si>
  <si>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</si>
  <si>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</si>
  <si>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</si>
  <si>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</si>
  <si>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</si>
  <si>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</si>
  <si>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</si>
  <si>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</si>
  <si>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</si>
  <si>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</si>
  <si>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</si>
  <si>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</si>
  <si>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</si>
  <si>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</si>
  <si>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</si>
  <si>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</si>
  <si>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</si>
  <si>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</si>
  <si>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</si>
  <si>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</si>
  <si>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</si>
  <si>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</si>
  <si>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</si>
  <si>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</si>
  <si>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</si>
  <si>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</si>
  <si>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</si>
  <si>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</si>
  <si>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</si>
  <si>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</si>
  <si>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</si>
  <si>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</si>
  <si>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</si>
  <si>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</si>
  <si>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</si>
  <si>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</si>
  <si>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</si>
  <si>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</si>
  <si>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</si>
  <si>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</si>
  <si>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</si>
  <si>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</si>
  <si>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</si>
  <si>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</si>
  <si>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</si>
  <si>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</si>
  <si>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</si>
  <si>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</si>
  <si>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</si>
  <si>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</si>
  <si>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</si>
  <si>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</si>
  <si>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</si>
  <si>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</si>
  <si>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</si>
  <si>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</si>
  <si>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</si>
  <si>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</si>
  <si>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</si>
  <si>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</si>
  <si>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</si>
  <si>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Max Fill for Boil Kettle</t>
  </si>
  <si>
    <t>Boil Kettle Deadspace</t>
  </si>
  <si>
    <t>Fermenter Deadspace</t>
  </si>
  <si>
    <t>Process Parameters</t>
  </si>
  <si>
    <t>Maximum volume capacity of mash tun.</t>
  </si>
  <si>
    <t>Max desired fill capacity for mash tun. Should be less &lt;= 95%.</t>
  </si>
  <si>
    <t>Maximum capacity of boil kettle. 8 gal min recommended for 5 gal batch.</t>
  </si>
  <si>
    <t>Temp at which water boils at your elevation above (or below) sea level.</t>
  </si>
  <si>
    <t>Max desired fill capacity for boil kettle. Should allow room for foaming and possibility of boil over.</t>
  </si>
  <si>
    <t>Initial amount of heated water to add to dry grains in mash tun to start the mash.</t>
  </si>
  <si>
    <t>Assumes dry grain occupies .3125 qt/lb (.652 L/kg) of volume</t>
  </si>
  <si>
    <t>Temperature</t>
  </si>
  <si>
    <t>Volume</t>
  </si>
  <si>
    <t>Mass (grain)</t>
  </si>
  <si>
    <t>Mass (hops)</t>
  </si>
  <si>
    <t>Select Units of Measure:</t>
  </si>
  <si>
    <t>From Grain</t>
  </si>
  <si>
    <t>From Sugar</t>
  </si>
  <si>
    <t>Sugar S.G. Contribution</t>
  </si>
  <si>
    <t>IBUs:</t>
  </si>
  <si>
    <t>% of Bill</t>
  </si>
  <si>
    <t>PPG</t>
  </si>
  <si>
    <t>Max Th Yield for batch</t>
  </si>
  <si>
    <t>AAU</t>
  </si>
  <si>
    <t>Avg Atten</t>
  </si>
  <si>
    <t>Yeast Information</t>
  </si>
  <si>
    <t>min</t>
  </si>
  <si>
    <t>Available to drain in 1st step</t>
  </si>
  <si>
    <t>Real number of batch sparge steps required to collect pre boil volume</t>
  </si>
  <si>
    <t>Rounded to whole # of sparge and drain steps to collect pre boil volume.</t>
  </si>
  <si>
    <t>Water Boil Temperature</t>
  </si>
  <si>
    <t>1. Watch Recipe Calculator Tutorial and related What's New videos on my YouTube Channel</t>
  </si>
  <si>
    <t>3. Rename the Excel file to the name of your recipe.</t>
  </si>
  <si>
    <t>4. Configure the Brewhouse Setup &amp; Cacls tab for your equipment,processes, altitude, and desired outcomes.</t>
  </si>
  <si>
    <t>5. Go to Grain &amp; Sugar Calcs tab to specifiy your desired types and amounts of grains and sugars.</t>
  </si>
  <si>
    <t>6. Go to Hops Calcs tab to specify types and amounts of hops.</t>
  </si>
  <si>
    <t>Version History:</t>
  </si>
  <si>
    <t>&lt;2.0 Various updates not tracked.</t>
  </si>
  <si>
    <t>How To Use This Recipe Calculator Template</t>
  </si>
  <si>
    <t xml:space="preserve">9. If you find this spreadsheet and related videos helpful, please consider supporting my work by donating via PayPal: </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</si>
  <si>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</si>
  <si>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</si>
  <si>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</si>
  <si>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</si>
  <si>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</si>
  <si>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</si>
  <si>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</si>
  <si>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</si>
  <si>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</si>
  <si>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</si>
  <si>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</si>
  <si>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</si>
  <si>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</si>
  <si>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</si>
  <si>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</si>
  <si>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</si>
  <si>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</si>
  <si>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</si>
  <si>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</si>
  <si>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</si>
  <si>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</si>
  <si>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</si>
  <si>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</si>
  <si>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</si>
  <si>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</si>
  <si>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</si>
  <si>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</si>
  <si>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</si>
  <si>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</si>
  <si>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</si>
  <si>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</si>
  <si>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</si>
  <si>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</si>
  <si>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</si>
  <si>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</si>
  <si>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</si>
  <si>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</si>
  <si>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</si>
  <si>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</si>
  <si>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</si>
  <si>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</si>
  <si>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</si>
  <si>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</si>
  <si>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</si>
  <si>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</si>
  <si>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</si>
  <si>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</si>
  <si>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</si>
  <si>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</si>
  <si>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</si>
  <si>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</si>
  <si>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</si>
  <si>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</si>
  <si>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</si>
  <si>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</si>
  <si>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</si>
  <si>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</si>
  <si>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</si>
  <si>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</si>
  <si>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</si>
  <si>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</si>
  <si>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</si>
  <si>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</si>
  <si>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</si>
  <si>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</si>
  <si>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</si>
  <si>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</si>
  <si>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</si>
  <si>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</si>
  <si>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</si>
  <si>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</si>
  <si>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</si>
  <si>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</si>
  <si>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</si>
  <si>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</si>
  <si>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</si>
  <si>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</si>
  <si>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</si>
  <si>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</si>
  <si>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</si>
  <si>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</si>
  <si>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</si>
  <si>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</si>
  <si>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</si>
  <si>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</si>
  <si>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</si>
  <si>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</si>
  <si>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</si>
  <si>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</si>
  <si>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</si>
  <si>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</si>
  <si>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</si>
  <si>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</si>
  <si>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</si>
  <si>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</si>
  <si>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</si>
  <si>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</si>
  <si>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</si>
  <si>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</si>
  <si>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</si>
  <si>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</si>
  <si>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</si>
  <si>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</si>
  <si>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</si>
  <si>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</si>
  <si>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Amount of water absorbed grain</t>
  </si>
  <si>
    <t>Grain Absorption Loss</t>
  </si>
  <si>
    <t xml:space="preserve">Combined volume of strike water and grains </t>
  </si>
  <si>
    <t>Free mash tun capacity for adding sparge water</t>
  </si>
  <si>
    <t>Optimize water vol per step</t>
  </si>
  <si>
    <t>Capacity Checks</t>
  </si>
  <si>
    <t>Mash Tun</t>
  </si>
  <si>
    <t>Boil Kettle</t>
  </si>
  <si>
    <t>Inputs</t>
  </si>
  <si>
    <t>Equipment Parameters</t>
  </si>
  <si>
    <t>Calculations</t>
  </si>
  <si>
    <t>Drain for 1st Step</t>
  </si>
  <si>
    <t>Add for 1st Step</t>
  </si>
  <si>
    <t>Add/Drain for 2nd Step</t>
  </si>
  <si>
    <t>Add/Drain for 3rd Step</t>
  </si>
  <si>
    <t xml:space="preserve">Goal is to have equally sized draining volumes to maximize extract efficiency.  </t>
  </si>
  <si>
    <t>Amount of drainable wort available for first step.</t>
  </si>
  <si>
    <t>Amount of additional water to add to first step to get equal drain volumes.</t>
  </si>
  <si>
    <t>Expected amount of wort into the brew kettle for first drain step.</t>
  </si>
  <si>
    <t xml:space="preserve">Amount of water to add for second step. Optimal # of steps should usually be 2 in most cases.  </t>
  </si>
  <si>
    <t>Amount of water to add for third step. Beware: Adding a third step can add astringency to the beer.</t>
  </si>
  <si>
    <t>Water lost to evaporation.</t>
  </si>
  <si>
    <t>Wort Correction Factor</t>
  </si>
  <si>
    <t>For use with a refractometer. (Ignore if not using one)</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</si>
  <si>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</si>
  <si>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</si>
  <si>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</si>
  <si>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</si>
  <si>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</si>
  <si>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</si>
  <si>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</si>
  <si>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</si>
  <si>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</si>
  <si>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</si>
  <si>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</si>
  <si>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</si>
  <si>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</si>
  <si>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</si>
  <si>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</si>
  <si>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</si>
  <si>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</si>
  <si>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</si>
  <si>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</si>
  <si>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</si>
  <si>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</si>
  <si>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</si>
  <si>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</si>
  <si>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</si>
  <si>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</si>
  <si>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</si>
  <si>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</si>
  <si>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</si>
  <si>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</si>
  <si>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</si>
  <si>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</si>
  <si>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</si>
  <si>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</si>
  <si>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</si>
  <si>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</si>
  <si>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</si>
  <si>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</si>
  <si>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</si>
  <si>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</si>
  <si>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</si>
  <si>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</si>
  <si>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</si>
  <si>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</si>
  <si>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</si>
  <si>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</si>
  <si>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</si>
  <si>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</si>
  <si>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</si>
  <si>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</si>
  <si>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</si>
  <si>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</si>
  <si>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</si>
  <si>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</si>
  <si>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</si>
  <si>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</si>
  <si>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</si>
  <si>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</si>
  <si>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</si>
  <si>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</si>
  <si>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</si>
  <si>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</si>
  <si>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</si>
  <si>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</si>
  <si>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</si>
  <si>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</si>
  <si>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</si>
  <si>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</si>
  <si>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</si>
  <si>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</si>
  <si>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</si>
  <si>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</si>
  <si>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</si>
  <si>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</si>
  <si>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</si>
  <si>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</si>
  <si>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</si>
  <si>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</si>
  <si>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</si>
  <si>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</si>
  <si>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</si>
  <si>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</si>
  <si>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</si>
  <si>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</si>
  <si>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</si>
  <si>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</si>
  <si>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</si>
  <si>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</si>
  <si>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</si>
  <si>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</si>
  <si>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</si>
  <si>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</si>
  <si>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</si>
  <si>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</si>
  <si>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</si>
  <si>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</si>
  <si>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</si>
  <si>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</si>
  <si>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</si>
  <si>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</si>
  <si>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</si>
  <si>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</si>
  <si>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</si>
  <si>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</si>
  <si>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</si>
  <si>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</si>
  <si>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</si>
  <si>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</si>
  <si>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</si>
  <si>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</si>
  <si>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</si>
  <si>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</si>
  <si>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</si>
  <si>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</si>
  <si>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</si>
  <si>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</si>
  <si>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</si>
  <si>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</si>
  <si>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</si>
  <si>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</si>
  <si>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</si>
  <si>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</si>
  <si>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</si>
  <si>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</si>
  <si>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</si>
  <si>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</si>
  <si>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</si>
  <si>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</si>
  <si>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</si>
  <si>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</si>
  <si>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</si>
  <si>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</si>
  <si>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</si>
  <si>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</si>
  <si>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</si>
  <si>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</si>
  <si>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</si>
  <si>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</si>
  <si>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</si>
  <si>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</si>
  <si>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</si>
  <si>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</si>
  <si>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</si>
  <si>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</si>
  <si>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</si>
  <si>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</si>
  <si>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</si>
  <si>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</si>
  <si>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</si>
  <si>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</si>
  <si>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</si>
  <si>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</si>
  <si>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</si>
  <si>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</si>
  <si>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</si>
  <si>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</si>
  <si>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</si>
  <si>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</si>
  <si>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</si>
  <si>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</si>
  <si>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</si>
  <si>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</si>
  <si>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</si>
  <si>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</si>
  <si>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</si>
  <si>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</si>
  <si>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</si>
  <si>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</si>
  <si>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</si>
  <si>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</si>
  <si>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</si>
  <si>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</si>
  <si>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</si>
  <si>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</si>
  <si>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</si>
  <si>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</si>
  <si>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</si>
  <si>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</si>
  <si>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</si>
  <si>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</si>
  <si>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</si>
  <si>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</si>
  <si>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</si>
  <si>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</si>
  <si>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</si>
  <si>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</si>
  <si>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</si>
  <si>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</si>
  <si>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</si>
  <si>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</si>
  <si>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</si>
  <si>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</si>
  <si>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</si>
  <si>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</si>
  <si>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</si>
  <si>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</si>
  <si>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</si>
  <si>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</si>
  <si>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</si>
  <si>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</si>
  <si>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</si>
  <si>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</si>
  <si>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</si>
  <si>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</si>
  <si>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</si>
  <si>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</si>
  <si>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</si>
  <si>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</si>
  <si>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</si>
  <si>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</si>
  <si>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</si>
  <si>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</si>
  <si>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</si>
  <si>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</si>
  <si>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</si>
  <si>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</si>
  <si>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</si>
  <si>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</si>
  <si>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</si>
  <si>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</si>
  <si>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</si>
  <si>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</si>
  <si>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</si>
  <si>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</si>
  <si>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</si>
  <si>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</si>
  <si>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</si>
  <si>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</si>
  <si>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</si>
  <si>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</si>
  <si>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</si>
  <si>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</si>
  <si>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</si>
  <si>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</si>
  <si>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</si>
  <si>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</si>
  <si>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</si>
  <si>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</si>
  <si>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</si>
  <si>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</si>
  <si>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</si>
  <si>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</si>
  <si>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</si>
  <si>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</si>
  <si>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</si>
  <si>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</si>
  <si>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</si>
  <si>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</si>
  <si>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</si>
  <si>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</si>
  <si>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</si>
  <si>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</si>
  <si>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</si>
  <si>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</si>
  <si>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</si>
  <si>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</si>
  <si>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</si>
  <si>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</si>
  <si>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</si>
  <si>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</si>
  <si>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</si>
  <si>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</si>
  <si>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</si>
  <si>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</si>
  <si>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</si>
  <si>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</si>
  <si>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</si>
  <si>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</si>
  <si>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</si>
  <si>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</si>
  <si>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</si>
  <si>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</si>
  <si>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</si>
  <si>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</si>
  <si>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</si>
  <si>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</si>
  <si>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</si>
  <si>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</si>
  <si>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</si>
  <si>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</si>
  <si>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</si>
  <si>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</si>
  <si>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</si>
  <si>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</si>
  <si>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</si>
  <si>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</si>
  <si>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</si>
  <si>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</si>
  <si>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</si>
  <si>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</si>
  <si>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</si>
  <si>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</si>
  <si>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</si>
  <si>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</si>
  <si>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</si>
  <si>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 xml:space="preserve">For Video Tutorials, see: </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</si>
  <si>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</si>
  <si>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</si>
  <si>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</si>
  <si>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</si>
  <si>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</si>
  <si>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</si>
  <si>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</si>
  <si>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</si>
  <si>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</si>
  <si>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</si>
  <si>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</si>
  <si>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</si>
  <si>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</si>
  <si>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</si>
  <si>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</si>
  <si>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</si>
  <si>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</si>
  <si>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</si>
  <si>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</si>
  <si>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</si>
  <si>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</si>
  <si>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</si>
  <si>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</si>
  <si>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</si>
  <si>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</si>
  <si>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</si>
  <si>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</si>
  <si>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</si>
  <si>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</si>
  <si>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</si>
  <si>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</si>
  <si>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</si>
  <si>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</si>
  <si>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</si>
  <si>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</si>
  <si>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</si>
  <si>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</si>
  <si>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</si>
  <si>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</si>
  <si>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</si>
  <si>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</si>
  <si>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Sparging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</si>
  <si>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</si>
  <si>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</si>
  <si>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</si>
  <si>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</si>
  <si>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</si>
  <si>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</si>
  <si>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</si>
  <si>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</si>
  <si>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</si>
  <si>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</si>
  <si>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</si>
  <si>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</si>
  <si>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</si>
  <si>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</si>
  <si>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</si>
  <si>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</si>
  <si>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</si>
  <si>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</si>
  <si>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</si>
  <si>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</si>
  <si>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</si>
  <si>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</si>
  <si>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</si>
  <si>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</si>
  <si>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</si>
  <si>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</si>
  <si>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</si>
  <si>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</si>
  <si>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</si>
  <si>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</si>
  <si>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</si>
  <si>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</si>
  <si>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</si>
  <si>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</si>
  <si>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</si>
  <si>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</si>
  <si>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</si>
  <si>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</si>
  <si>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</si>
  <si>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</si>
  <si>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</si>
  <si>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</si>
  <si>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</si>
  <si>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</si>
  <si>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</si>
  <si>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</si>
  <si>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</si>
  <si>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</si>
  <si>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</si>
  <si>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</si>
  <si>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</si>
  <si>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</si>
  <si>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</si>
  <si>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</si>
  <si>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</si>
  <si>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</si>
  <si>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</si>
  <si>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</si>
  <si>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</si>
  <si>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</si>
  <si>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</si>
  <si>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</si>
  <si>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</si>
  <si>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</si>
  <si>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</si>
  <si>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</si>
  <si>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</si>
  <si>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</si>
  <si>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</si>
  <si>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</si>
  <si>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</si>
  <si>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</si>
  <si>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</si>
  <si>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</si>
  <si>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</si>
  <si>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</si>
  <si>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</si>
  <si>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</si>
  <si>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</si>
  <si>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</si>
  <si>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Amount of beer left in fermenter when kegging or bottling. (2 qt per carboy fementer on my system.)</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</si>
  <si>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</si>
  <si>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</si>
  <si>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</si>
  <si>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</si>
  <si>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</si>
  <si>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</si>
  <si>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</si>
  <si>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</si>
  <si>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</si>
  <si>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</si>
  <si>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</si>
  <si>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</si>
  <si>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</si>
  <si>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</si>
  <si>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</si>
  <si>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</si>
  <si>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</si>
  <si>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</si>
  <si>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Rate of evaporation during the boil.</t>
  </si>
  <si>
    <t>Notes</t>
  </si>
  <si>
    <t>2 per 6.5 gal carboy</t>
  </si>
  <si>
    <t>Hydrometer Calibration Temp</t>
  </si>
  <si>
    <t>Hydrometer calibration temperature as indicated by your hydrometer.</t>
  </si>
  <si>
    <t>Temperature of initial water addition for mashing. NOTE: Assumes a preh-heated mash tun.</t>
  </si>
  <si>
    <t>Mash pH</t>
  </si>
  <si>
    <t>Account for losses and wort cooling shrinkage</t>
  </si>
  <si>
    <t>Hop Absorption Rate</t>
  </si>
  <si>
    <t>Design</t>
  </si>
  <si>
    <t>Hydro.</t>
  </si>
  <si>
    <t>Corr SG</t>
  </si>
  <si>
    <t>Total Hops</t>
  </si>
  <si>
    <t>Refracto.</t>
  </si>
  <si>
    <t>Ferm Temp:</t>
  </si>
  <si>
    <t>When</t>
  </si>
  <si>
    <t>Brewing Process Parameters</t>
  </si>
  <si>
    <t>Original Gravity</t>
  </si>
  <si>
    <t>Preferred SG Tool</t>
  </si>
  <si>
    <t>O.G.:</t>
  </si>
  <si>
    <t>F.G.:</t>
  </si>
  <si>
    <t>Batch Vol:</t>
  </si>
  <si>
    <t>Pre-Boil SG:</t>
  </si>
  <si>
    <t>Ferm Vol:</t>
  </si>
  <si>
    <t>Fermenter Volume</t>
  </si>
  <si>
    <t xml:space="preserve">Amount of wort left in kettle after racking to fermenter. </t>
  </si>
  <si>
    <t>Coleman 70qt: 1.5 when pumped, 3.5 when gravity drained. Grainfather: 0</t>
  </si>
  <si>
    <t>Refrac</t>
  </si>
  <si>
    <t>Extract Eff.:</t>
  </si>
  <si>
    <t>Strike Water Volume</t>
  </si>
  <si>
    <t>Sparge Water Req'd</t>
  </si>
  <si>
    <t>Total Water Req'd</t>
  </si>
  <si>
    <t>Amount of sparge water required to get pre boil volume</t>
  </si>
  <si>
    <t>Recipe Outputs</t>
  </si>
  <si>
    <t>Target Batch Size</t>
  </si>
  <si>
    <t>Grain Absorption Rate</t>
  </si>
  <si>
    <t>Temperature within milled grains just prior to mashing. (Used to calculate strike water temperature.)</t>
  </si>
  <si>
    <t xml:space="preserve">Typical range: 148-156°F (64-69°C). (Higher temp promotes a fuller bodied beer. Lower temp promotes a lighter bodied beer.) </t>
  </si>
  <si>
    <t>Default setting: .5 for US units, 1.043 for Metric units. (Good value to use when grain bill &gt;80% 2-row pale malt.)</t>
  </si>
  <si>
    <t>Large percentages of kilned/roasted malts (such as Vienna) require a larger value approaching .7</t>
  </si>
  <si>
    <t>Mash extract efficiency; typically 65-80% for batch sparging, 75-90% for fly sparging.</t>
  </si>
  <si>
    <t>Length of boil.</t>
  </si>
  <si>
    <t>Amount of water absorbed by hops per unit measure.</t>
  </si>
  <si>
    <t>Hop Loss</t>
  </si>
  <si>
    <t>Boil / Rack to Fermenter</t>
  </si>
  <si>
    <t>Wort to be lost due to absorption by hops.</t>
  </si>
  <si>
    <t>Spike 20G kettle: 80 qt. Grainfather: 32 qt.</t>
  </si>
  <si>
    <t>Pale Ale Malt: Pale Ale Malt (Rahr)</t>
  </si>
  <si>
    <t>https://www.mydigitalpublication.com/publication/?m=53118&amp;l=1&amp;p=&amp;pn=#{%22issue_id%22:453924,%22page%22:50}</t>
  </si>
  <si>
    <t>Amount of wort left in mash tun after draining. Used for calculating sparge water required.</t>
  </si>
  <si>
    <t>Hydrometer calibration offset value. (Be sure to test/calibrate your hydrometer in distilled water.)</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</si>
  <si>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</si>
  <si>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</si>
  <si>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</si>
  <si>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</si>
  <si>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</si>
  <si>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</si>
  <si>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</si>
  <si>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</si>
  <si>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</si>
  <si>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</si>
  <si>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</si>
  <si>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</si>
  <si>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</si>
  <si>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</si>
  <si>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</si>
  <si>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</si>
  <si>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</si>
  <si>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</si>
  <si>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</si>
  <si>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</si>
  <si>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</si>
  <si>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</si>
  <si>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</si>
  <si>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</si>
  <si>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</si>
  <si>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</si>
  <si>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</si>
  <si>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</si>
  <si>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</si>
  <si>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</si>
  <si>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</si>
  <si>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</si>
  <si>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</si>
  <si>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</si>
  <si>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</si>
  <si>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</si>
  <si>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</si>
  <si>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</si>
  <si>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</si>
  <si>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</si>
  <si>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</si>
  <si>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</si>
  <si>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</si>
  <si>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</si>
  <si>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</si>
  <si>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</si>
  <si>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</si>
  <si>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</si>
  <si>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</si>
  <si>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</si>
  <si>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</si>
  <si>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</si>
  <si>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</si>
  <si>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</si>
  <si>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</si>
  <si>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</si>
  <si>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</si>
  <si>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</si>
  <si>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</si>
  <si>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</si>
  <si>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</si>
  <si>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</si>
  <si>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</si>
  <si>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</si>
  <si>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</si>
  <si>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</si>
  <si>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</si>
  <si>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</si>
  <si>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</si>
  <si>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</si>
  <si>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</si>
  <si>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</si>
  <si>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</si>
  <si>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</si>
  <si>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</si>
  <si>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</si>
  <si>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</si>
  <si>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</si>
  <si>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</si>
  <si>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</si>
  <si>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</si>
  <si>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</si>
  <si>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</si>
  <si>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</si>
  <si>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</si>
  <si>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</si>
  <si>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</si>
  <si>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</si>
  <si>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</si>
  <si>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</si>
  <si>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</si>
  <si>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</si>
  <si>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</si>
  <si>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</si>
  <si>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</si>
  <si>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</si>
  <si>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</si>
  <si>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</si>
  <si>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</si>
  <si>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</si>
  <si>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</si>
  <si>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</si>
  <si>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</si>
  <si>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</si>
  <si>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</si>
  <si>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</si>
  <si>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</si>
  <si>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</si>
  <si>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Estimated Mash pH</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</si>
  <si>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</si>
  <si>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</si>
  <si>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</si>
  <si>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</si>
  <si>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</si>
  <si>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</si>
  <si>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</si>
  <si>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</si>
  <si>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</si>
  <si>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</si>
  <si>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</si>
  <si>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</si>
  <si>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</si>
  <si>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</si>
  <si>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</si>
  <si>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</si>
  <si>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</si>
  <si>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</si>
  <si>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</si>
  <si>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</si>
  <si>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</si>
  <si>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</si>
  <si>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</si>
  <si>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</si>
  <si>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</si>
  <si>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</si>
  <si>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</si>
  <si>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</si>
  <si>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</si>
  <si>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</si>
  <si>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</si>
  <si>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</si>
  <si>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</si>
  <si>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</si>
  <si>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</si>
  <si>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</si>
  <si>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</si>
  <si>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</si>
  <si>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</si>
  <si>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</si>
  <si>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</si>
  <si>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</si>
  <si>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</si>
  <si>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</si>
  <si>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</si>
  <si>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</si>
  <si>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</si>
  <si>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</si>
  <si>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</si>
  <si>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</si>
  <si>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</si>
  <si>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</si>
  <si>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</si>
  <si>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</si>
  <si>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</si>
  <si>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</si>
  <si>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</si>
  <si>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</si>
  <si>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</si>
  <si>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</si>
  <si>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</si>
  <si>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</si>
  <si>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</si>
  <si>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</si>
  <si>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</si>
  <si>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</si>
  <si>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</si>
  <si>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</si>
  <si>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</si>
  <si>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</si>
  <si>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</si>
  <si>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</si>
  <si>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</si>
  <si>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</si>
  <si>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</si>
  <si>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</si>
  <si>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</si>
  <si>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</si>
  <si>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Final 
Gravity</t>
  </si>
  <si>
    <t>Sparge Method</t>
  </si>
  <si>
    <t>Desired flow rate if fly sparging. Leave blank if using other method.</t>
  </si>
  <si>
    <t>Hop Stand:</t>
  </si>
  <si>
    <t>CTZ</t>
  </si>
  <si>
    <t>14.5-16.5%</t>
  </si>
  <si>
    <t>Columbus, Tomahawk, and Zeus. High on the bittering scale yet also valued for its oil content.</t>
  </si>
  <si>
    <t>Final amount of finished beer going into keg or bottles after fermentation is complete.</t>
  </si>
  <si>
    <t>0.1 is a generic value</t>
  </si>
  <si>
    <t>Extract Efficiency
(Grains Only)</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</si>
  <si>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</si>
  <si>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</si>
  <si>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</si>
  <si>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</si>
  <si>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</si>
  <si>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</si>
  <si>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</si>
  <si>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</si>
  <si>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</si>
  <si>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</si>
  <si>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</si>
  <si>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</si>
  <si>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</si>
  <si>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</si>
  <si>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</si>
  <si>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</si>
  <si>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</si>
  <si>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</si>
  <si>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</si>
  <si>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</si>
  <si>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</si>
  <si>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</si>
  <si>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</si>
  <si>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</si>
  <si>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</si>
  <si>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</si>
  <si>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</si>
  <si>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</si>
  <si>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</si>
  <si>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</si>
  <si>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</si>
  <si>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</si>
  <si>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</si>
  <si>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</si>
  <si>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</si>
  <si>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</si>
  <si>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</si>
  <si>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</si>
  <si>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</si>
  <si>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</si>
  <si>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</si>
  <si>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7. Go to Water Calcs tab to specific water chemistry additions if necessary/desired.</t>
  </si>
  <si>
    <t>8. Go to Recipe Sheet tab to select yeast strain, add other ingredients as necessary, and enter other miscellaneous information.</t>
  </si>
  <si>
    <t>9. Save, print (or use tablet, phone, or laptop to view), and use on brew day. Works best with Excel 2010 or higher</t>
  </si>
  <si>
    <t xml:space="preserve">2. Download this Excel file and save it to your computer. </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</si>
  <si>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</si>
  <si>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</si>
  <si>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</si>
  <si>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</si>
  <si>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</si>
  <si>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</si>
  <si>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</si>
  <si>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</si>
  <si>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</si>
  <si>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</si>
  <si>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</si>
  <si>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</si>
  <si>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</si>
  <si>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</si>
  <si>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</si>
  <si>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</si>
  <si>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</si>
  <si>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</si>
  <si>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</si>
  <si>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</si>
  <si>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</si>
  <si>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</si>
  <si>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</si>
  <si>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</si>
  <si>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</si>
  <si>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</si>
  <si>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</si>
  <si>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</si>
  <si>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</si>
  <si>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</si>
  <si>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</si>
  <si>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</si>
  <si>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</si>
  <si>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</si>
  <si>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</si>
  <si>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</si>
  <si>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</si>
  <si>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</si>
  <si>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</si>
  <si>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</si>
  <si>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</si>
  <si>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</si>
  <si>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</si>
  <si>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</si>
  <si>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</si>
  <si>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</si>
  <si>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</si>
  <si>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</si>
  <si>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</si>
  <si>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</si>
  <si>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</si>
  <si>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</si>
  <si>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</si>
  <si>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</si>
  <si>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</si>
  <si>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</si>
  <si>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</si>
  <si>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</si>
  <si>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</si>
  <si>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</si>
  <si>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</si>
  <si>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</si>
  <si>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</si>
  <si>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</si>
  <si>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</si>
  <si>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</si>
  <si>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</si>
  <si>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</si>
  <si>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</si>
  <si>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</si>
  <si>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</si>
  <si>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</si>
  <si>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</si>
  <si>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</si>
  <si>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</si>
  <si>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</si>
  <si>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</si>
  <si>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Chicago (Lake Michigan)</t>
  </si>
  <si>
    <t>Amount remaining in the kettle after cooling and before racking to fermenter. Assumes hops are still in kettle.</t>
  </si>
  <si>
    <t>Volume of wort into the fermenter.</t>
  </si>
  <si>
    <t>Mash Time</t>
  </si>
  <si>
    <t>Boil-Off Rate</t>
  </si>
  <si>
    <t>Expected length of mash.</t>
  </si>
  <si>
    <t>Pre-Boil SG Grains Only</t>
  </si>
  <si>
    <t>Pre-Boil SG
Total</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</si>
  <si>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</si>
  <si>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</si>
  <si>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</si>
  <si>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3.2 - Updated to work with LibreOffice for Linux.</t>
  </si>
  <si>
    <t>Pellet</t>
  </si>
  <si>
    <t>BEER-N-BBQ by Larry</t>
  </si>
  <si>
    <t>Chocolate Malt: Chocolate Malt (Briess)</t>
  </si>
  <si>
    <t>http://brewingwithbriess.com/Products/Dark_Roasted.htm#2RowChocolate</t>
  </si>
  <si>
    <t>Chocolate Malt: Dark Chocolate Malt (Briess)</t>
  </si>
  <si>
    <t>SAB 98J1763 (South Africa)</t>
  </si>
  <si>
    <t>One of the best experimental variety from SAB hop farms. Citrus aroma like Cascade, Simcoe and Summit, Ect</t>
  </si>
  <si>
    <t>SAB XJA2/436 (South Africa)</t>
  </si>
  <si>
    <t>Experimental variety from SAB hop farms</t>
  </si>
  <si>
    <t>12-13%</t>
  </si>
  <si>
    <t>Southern Aroma (South Africa)</t>
  </si>
  <si>
    <t>3.5-4.5%</t>
  </si>
  <si>
    <t>Hop variety with a herbal and floral flavour profile</t>
  </si>
  <si>
    <t>Southern Dawn (South Africa)</t>
  </si>
  <si>
    <t>A versatile aromatic and bittering hop. Originating from the original Southern Brewer. A more aromatic hop than Southern Promise. It profiles good plum, and pineapple notes.</t>
  </si>
  <si>
    <t>Southern Passion (South Africa)</t>
  </si>
  <si>
    <t>Previously known as US 4/78, this hop is known for prominent granadilla/passion fruit notes and solid bittering potential. This hop originates from a Saaz and Halletauer crossing.</t>
  </si>
  <si>
    <t>Southern Promise (South Africa)</t>
  </si>
  <si>
    <t>9.5-11.5%</t>
  </si>
  <si>
    <t xml:space="preserve"> A versatile bittering and aroma hop. With smooth earthy, woody fragrances. A clean bitterness is created with a hoppy bouquet profiling grapefruit, apricot, and ginger</t>
  </si>
  <si>
    <t>Southern Star (South Africa)</t>
  </si>
  <si>
    <t>An effective and good bittering hop, showing off some fine smooth bitterness. The prominent flavours and aromas available are apricot, celery, and grapefruit</t>
  </si>
  <si>
    <t>3.2.1 - Added more grain and hop varieties.</t>
  </si>
  <si>
    <t>Diastatic
Power</t>
  </si>
  <si>
    <t>15 min</t>
  </si>
  <si>
    <t>3.3 - Added Diastatic Power information and calculations.</t>
  </si>
  <si>
    <t>Color (° L)</t>
  </si>
  <si>
    <t>Total</t>
  </si>
  <si>
    <t>Diastatic</t>
  </si>
  <si>
    <t>Power</t>
  </si>
  <si>
    <t>Diastatic Power
(° Lintner)</t>
  </si>
  <si>
    <t>Munich Malt: Dark Munich Malt 30L (Briess)</t>
  </si>
  <si>
    <t>°L-lb</t>
  </si>
  <si>
    <t>(°Lintner)</t>
  </si>
  <si>
    <t>May take longer to convert</t>
  </si>
  <si>
    <t>&lt;30</t>
  </si>
  <si>
    <t>Not enough DP to convert</t>
  </si>
  <si>
    <t>&gt;=70</t>
  </si>
  <si>
    <t>30-69</t>
  </si>
  <si>
    <t>Has plenty DP to convert</t>
  </si>
  <si>
    <t>Diastatic
Power Legend</t>
  </si>
  <si>
    <t xml:space="preserve">    Min Requirement for designing recipes: Excel 2010 (2016 preferred) or LibreOffice</t>
  </si>
  <si>
    <t xml:space="preserve">    Min Requirement for viewing recipes: Excel 2010 (2016 preferred) or LibreOffice but Google Sheets and iOS Numbers have worked well enough.</t>
  </si>
  <si>
    <t>London Fog Ale WLP066</t>
  </si>
  <si>
    <t>75-82%</t>
  </si>
  <si>
    <t>for New England-style IPAs. It produces a medium ester profile similar to WLP008 East Coast Ale Yeast. It leaves some residual sweetness, helping accentuate both malt and hop flavors and aromas, while retaining a velvety mouthfeel.</t>
  </si>
  <si>
    <t>German Ale II WLP003</t>
  </si>
  <si>
    <t xml:space="preserve">A great strain for clean ales such as kölsch, altbier, and German-style pale ales. </t>
  </si>
  <si>
    <t>Whitbread II Ale WLP017</t>
  </si>
  <si>
    <t>California IV Ale WLP019</t>
  </si>
  <si>
    <t>Moderately clean strain with a low ester profile and less sulfur production than WLP051.</t>
  </si>
  <si>
    <t>Southwold Ale WLP025</t>
  </si>
  <si>
    <t>68-75%</t>
  </si>
  <si>
    <t>From Suffolk County, England. This yeast produces complex fruit, citrus, and spice flavors. Great for British-style bitters and pale ales.</t>
  </si>
  <si>
    <t>Premium Bitter Ale WLP026</t>
  </si>
  <si>
    <t>From Staffordshire, England. Fermentation gives a mild but complex estery character. Ferments strong and dry and is good for high-gravity beers</t>
  </si>
  <si>
    <t>Thames Valley Ale WLP030</t>
  </si>
  <si>
    <t xml:space="preserve">Very flocculant strain for all things English. Great for porters, stouts and ESBs. Lower ester production than most English strains </t>
  </si>
  <si>
    <t>66-74%</t>
  </si>
  <si>
    <t>Traditional English single-strain yeast. Produces signature ester characters and does not mask hop flavors. Leaves ales with a slightly sweet malt</t>
  </si>
  <si>
    <t>Tennessee Whiskey WLP050</t>
  </si>
  <si>
    <t>California V Ale WLP051</t>
  </si>
  <si>
    <t>A yeast isolated from Australia in the early 1900s, it is a clean fermenting strain well suited for many American and English beer styles.</t>
  </si>
  <si>
    <t>Buchner Ale Blend WLP064</t>
  </si>
  <si>
    <t xml:space="preserve">A blend of two strains that adds creaminess with a hint of crispness. Great for pale ales, cream ales and American wheats. </t>
  </si>
  <si>
    <t>New England-style IPA strains is great for producing beers with a hazy appearance and tropical, fruit-forward esters.</t>
  </si>
  <si>
    <t>From a traditional distillery in the heart of Bourbon Country, this strain produces a malty caramel character with a balanced ester profile</t>
  </si>
  <si>
    <t>Kentucky Bourbon WLP070</t>
  </si>
  <si>
    <t>Klassic Ale WLP033</t>
  </si>
  <si>
    <t>A classic Bière de Garde strain, it produces slight esters and mild phenols, while preserving the sweet aromatics from the malt bill</t>
  </si>
  <si>
    <t>This is a blend of many IPA strain favorites. It has the attenuation of WLP090 San Diego Super Ale Yeast and the character of WLP007 Dry English</t>
  </si>
  <si>
    <t>Hansen Ale Blend WLP075</t>
  </si>
  <si>
    <t>Sonoma Ale WLP076</t>
  </si>
  <si>
    <t>From a historic brewery in Northern California.</t>
  </si>
  <si>
    <t xml:space="preserve">This yeast is the signature strain for a brewery in the Northeast United States, making it ideal for New England-style IPAs. </t>
  </si>
  <si>
    <t>Burlington Ale WLP099</t>
  </si>
  <si>
    <t>Charlie's Fist Bump WLP1983</t>
  </si>
  <si>
    <t>Previously called WLP862 Cry Havoc Lager Yeast, this strain is licensed from Charlie Papazian and can ferment at both ale and lager temperatures</t>
  </si>
  <si>
    <t>American Hefeweizen Ale WLP320</t>
  </si>
  <si>
    <t>70-75</t>
  </si>
  <si>
    <t>This strain ferments much cleaner than it’s hefeweizen strain counterparts. It produces very slight banana and clove notes and has low flocculation</t>
  </si>
  <si>
    <t>Monastery Ale WLP500</t>
  </si>
  <si>
    <t>Sourced from a Belgian monastery, this strain is ideal for Belgian quads, trippels and dubbels due to its high alcohol tolerance.</t>
  </si>
  <si>
    <t>Sourced from our friend Lars Marius Garshol, this kveik strain was isolated from a mixed culture which belonged to Harald Opshaug</t>
  </si>
  <si>
    <t>Opshaug Kviek Ale WLP5</t>
  </si>
  <si>
    <t>Maranon Canyon Wild Cacao WLP546</t>
  </si>
  <si>
    <t>65-70</t>
  </si>
  <si>
    <t>This yeast was isolated from the thought to be extinct Pure Nacional variety of cacao</t>
  </si>
  <si>
    <t>76-82</t>
  </si>
  <si>
    <t xml:space="preserve">A blend of two saison strains and a low phenolic Belgian strain, developed for the White Labs in-house saisons. </t>
  </si>
  <si>
    <t>French Saison WLP590</t>
  </si>
  <si>
    <t>78-85</t>
  </si>
  <si>
    <t>One of our most popular saison strains, it is great for farmhouse-style beers because it produces flavors and aromas of pear, apple and cracked</t>
  </si>
  <si>
    <t>White Labs now offers WLP600 Kombucha SCOBY, a symbiotic culture of bacteria and yeast that is used for fermenting sweet tea into kombucha</t>
  </si>
  <si>
    <t>30-50</t>
  </si>
  <si>
    <t>Wild yeast isolated from fruit trees in Denmark. This is one of the three strains that make up WLP611</t>
  </si>
  <si>
    <t>Torulaspora Delbrueckll WLP603</t>
  </si>
  <si>
    <t>New Nordic Ale WLP611</t>
  </si>
  <si>
    <t>65-75</t>
  </si>
  <si>
    <t>Isolated from spontaneously fermented apples on a remote island off the coast of Denmark in the fall of 2009</t>
  </si>
  <si>
    <t>Funky Cider Blend WLP616</t>
  </si>
  <si>
    <t>Brettanomyces Anomalus WLP640</t>
  </si>
  <si>
    <t>Typical barnyard funk character with some fruitiness. Acidity is medium.</t>
  </si>
  <si>
    <t xml:space="preserve">This Belgian strain, traditionally used for wild yeast fermentations, produces a slightly tart beer with delicate mango and pineapple... </t>
  </si>
  <si>
    <t>Saccharomyces "Bruxellensis" Trois WLP644</t>
  </si>
  <si>
    <t>Brettanomyces Bruxellensis Trois Vrai WLP648</t>
  </si>
  <si>
    <t>The vrai (“true” in French) Brettanomyces bruxellensis Trois.</t>
  </si>
  <si>
    <t>Pediococcus Damnosus WLP661</t>
  </si>
  <si>
    <t>low</t>
  </si>
  <si>
    <t>Perfect for use in any sour program, this is a cocci bacteria known for its souring capabilities through the production of lactic acid.</t>
  </si>
  <si>
    <t>Lactobacillus Paracollinoides WLP669</t>
  </si>
  <si>
    <t xml:space="preserve">This strain has been isolated from Belgian lambics. Originally referred to as Lactobacillus pastorianous, it has now been reclassified. </t>
  </si>
  <si>
    <t xml:space="preserve">This is a rod-shaped Lactobacillus bacteria used for souring beers through either traditional or kettle souring techniques. </t>
  </si>
  <si>
    <t>Lactobacillus Brevis WLP672</t>
  </si>
  <si>
    <t>Lactobacillus Buchneri WLP673</t>
  </si>
  <si>
    <t>This strain is recommended for souring. Can be used for sour kettle/mash or in secondary fermentation.</t>
  </si>
  <si>
    <t>Malolactic Cultures WLP675</t>
  </si>
  <si>
    <t>Lactobacillus Delbrueckii Bacteria WLP677</t>
  </si>
  <si>
    <t>This lactic acid bacteria produces moderate levels of acidity and sour flavors found in lambics, Berliner Weisse, sour brown ales and gueuze.</t>
  </si>
  <si>
    <t>Lactobacillus Hilgardii WLP678</t>
  </si>
  <si>
    <t xml:space="preserve">Lactic acid bacteria that produces medium acidity. Low hop tolerance (&lt;10). Great for Berliner weisse, gueuze and lambics. </t>
  </si>
  <si>
    <t xml:space="preserve">Debaryomyces is one of the wild yeasts isolated from lambics in Belgium. </t>
  </si>
  <si>
    <t>Flor Sherry WLP700</t>
  </si>
  <si>
    <t>80-100</t>
  </si>
  <si>
    <t>Creates green almond, Granny Smith apple and nougat characteristics found in sherry. For use in secondary fermentation.</t>
  </si>
  <si>
    <t>GermanX Lager WLP835</t>
  </si>
  <si>
    <t>Classic yeast from a famous Bavarian monastery. This strain develops a creamy, malty beer profile with low sulfur production and low esters.</t>
  </si>
  <si>
    <t>75-78</t>
  </si>
  <si>
    <t xml:space="preserve">Use this strain when you need a lager sooner rather than later. Low sulfur production and medium flocculation characteristics. </t>
  </si>
  <si>
    <t>This northern European lager strain emphasizes clean and crisp characteristics. Malt flavors tend to be secondary, promoting clean drinkability.</t>
  </si>
  <si>
    <t>Copenhagen Lager WLP850</t>
  </si>
  <si>
    <t>Fast Lager Yeast WLP845</t>
  </si>
  <si>
    <t>High Pressure Lager WLP925</t>
  </si>
  <si>
    <t>73-82</t>
  </si>
  <si>
    <t>Used to ferment lager beer in one week. Ferment at room temperature; 62-68°F (17-20°C) under 1.0 bar (14.7 PSI) until final gravity is obtained</t>
  </si>
  <si>
    <t>Artisanal Country Ale WLP073</t>
  </si>
  <si>
    <t>Coastal Haze Ale Blend WLP067</t>
  </si>
  <si>
    <t>Debaryomyces HansenII WLP692</t>
  </si>
  <si>
    <t>Kombucha Scoby WLP600</t>
  </si>
  <si>
    <t>Leeuwenhoek Saison Blend WLP564</t>
  </si>
  <si>
    <t>Melbourne Ale WLP059</t>
  </si>
  <si>
    <t>Scotch Whisky WLP045</t>
  </si>
  <si>
    <t>3.3.1 - Added several newer White Labs yeast strains.</t>
  </si>
  <si>
    <t>Pilsner Malt: Premium Pilsener Malt (Rahr)</t>
  </si>
  <si>
    <t>http://rahrmaltingco.com/rahr-premium-pilsner</t>
  </si>
  <si>
    <t>3.3.2 - Added Rahr Pilsner Malt to grain list.</t>
  </si>
  <si>
    <t>Whirfloc tablet</t>
  </si>
  <si>
    <t>Grainfather: 2 qt/hr. Spike 20 gal kettle gas: 4 qt/hr; Spike 20 gal kettle electric @66%: 5 qt/hr</t>
  </si>
  <si>
    <t>Spike 20G kettle: 5 qt when pumped, 8 qt gravity drained. Grainfather: 2.25 qt. Spike 20g eBIAB: 5 qt</t>
  </si>
  <si>
    <t>Coleman 70 qt mashtun: 65 qt. Grainfather: 32 qt. Spike 20g eBIAB: 80 qt.</t>
  </si>
  <si>
    <t>Sparge method to use. Choose from 'Batch', 'Fly', 'BIAB', or 'Extract'.</t>
  </si>
  <si>
    <t>3.4 - Added better support for BIAB.
- Clarified valid fields to use for various brew methods via conditional formatting on Recipe Sheet.</t>
  </si>
  <si>
    <t>OG</t>
  </si>
  <si>
    <t>SRM</t>
  </si>
  <si>
    <t>OG Min</t>
  </si>
  <si>
    <t>OG Max</t>
  </si>
  <si>
    <t>FG Min</t>
  </si>
  <si>
    <t>FG Max</t>
  </si>
  <si>
    <t>IBU Min</t>
  </si>
  <si>
    <t>IBU Max</t>
  </si>
  <si>
    <t>ABV Min</t>
  </si>
  <si>
    <t>ABV Max</t>
  </si>
  <si>
    <t>SRM Max</t>
  </si>
  <si>
    <t>SRM Min</t>
  </si>
  <si>
    <t>-</t>
  </si>
  <si>
    <t>Meets BJCP Guideline</t>
  </si>
  <si>
    <r>
      <t xml:space="preserve">Does </t>
    </r>
    <r>
      <rPr>
        <b/>
        <sz val="10"/>
        <rFont val="Arial"/>
        <family val="2"/>
      </rPr>
      <t>NOT</t>
    </r>
    <r>
      <rPr>
        <sz val="10"/>
        <rFont val="Arial"/>
        <family val="2"/>
      </rPr>
      <t xml:space="preserve"> Meet BJCP Guideline</t>
    </r>
  </si>
  <si>
    <t>Color Legend</t>
  </si>
  <si>
    <t>21B. Specialty IPA: New England IPA</t>
  </si>
  <si>
    <t>27. Gose</t>
  </si>
  <si>
    <t>27. Kentucky Common</t>
  </si>
  <si>
    <t>27. Lichtenhainer</t>
  </si>
  <si>
    <t>27. London Brown Ale</t>
  </si>
  <si>
    <t>27. Piwo Grodziskie</t>
  </si>
  <si>
    <t>27. Pre-Prohibition Lager</t>
  </si>
  <si>
    <t>27. Roggenbier</t>
  </si>
  <si>
    <t>27. Sahti</t>
  </si>
  <si>
    <t>27. Pre-Prohibition Porter</t>
  </si>
  <si>
    <t>3.5 - Added BJCP 2015 Style Guidelines
Reconfigured Total &amp; Strike Water Volume calculation in support of no sparge brewing.</t>
  </si>
  <si>
    <t>Beer Style:</t>
  </si>
  <si>
    <t>Min</t>
  </si>
  <si>
    <t>BIAB</t>
  </si>
  <si>
    <t>Typical range: 1.25-1.5 qt/lb (2.6-3.1 L/kg). For No Sparge brewing, raise until strike vol = total water vol.</t>
  </si>
  <si>
    <t>BJCP Guide</t>
  </si>
  <si>
    <t>Refractometer</t>
  </si>
  <si>
    <t>Fermenter</t>
  </si>
  <si>
    <t>Frozen raspberries</t>
  </si>
  <si>
    <t>5 lb</t>
  </si>
  <si>
    <t>mash</t>
  </si>
  <si>
    <t>8 mL</t>
  </si>
  <si>
    <t>Frozen mix (blackberry, raspberry, blueberry)</t>
  </si>
  <si>
    <t>2.5 lb</t>
  </si>
  <si>
    <t>NOTES: split batch. added 3.75 lb thawed raspberries to one fermenter; 1.25 lb raspberries and 2.5 lb mixed berries to other fermenter near end of fermentation (~5 days). Let ferment and settle for another 1.5+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</si>
</sst>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s>
  <fonts count="50"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b/>
      <vertAlign val="subscript"/>
      <sz val="10"/>
      <name val="Arial"/>
      <family val="2"/>
    </font>
    <font>
      <i/>
      <sz val="10"/>
      <name val="Arial"/>
      <family val="2"/>
    </font>
    <font>
      <b/>
      <sz val="11"/>
      <color theme="1"/>
      <name val="Calibri"/>
      <family val="2"/>
      <scheme val="minor"/>
    </font>
    <font>
      <sz val="9"/>
      <name val="Arial"/>
      <family val="2"/>
    </font>
    <font>
      <u/>
      <sz val="9"/>
      <color theme="10"/>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
      <b/>
      <sz val="8"/>
      <name val="Arial"/>
      <family val="2"/>
    </font>
    <font>
      <b/>
      <i/>
      <sz val="9"/>
      <name val="Arial"/>
      <family val="2"/>
    </font>
  </fonts>
  <fills count="1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rgb="FFFF0000"/>
        <bgColor indexed="64"/>
      </patternFill>
    </fill>
    <fill>
      <patternFill patternType="solid">
        <fgColor rgb="FF92D05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s>
  <cellStyleXfs count="9">
    <xf numFmtId="0" fontId="0"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37" fillId="0" borderId="0" applyNumberFormat="0" applyFill="0" applyBorder="0" applyAlignment="0" applyProtection="0">
      <alignment vertical="top"/>
      <protection locked="0"/>
    </xf>
    <xf numFmtId="0" fontId="2" fillId="0" borderId="0"/>
    <xf numFmtId="0" fontId="45" fillId="0" borderId="0" applyNumberFormat="0" applyFill="0" applyBorder="0" applyAlignment="0" applyProtection="0"/>
    <xf numFmtId="0" fontId="1" fillId="0" borderId="0"/>
  </cellStyleXfs>
  <cellXfs count="902">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7" fillId="0" borderId="0" xfId="0" applyFont="1" applyAlignment="1">
      <alignment horizontal="center" vertical="center" wrapText="1"/>
    </xf>
    <xf numFmtId="0" fontId="4"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6" fillId="0" borderId="0" xfId="0" applyFont="1"/>
    <xf numFmtId="0" fontId="4" fillId="0" borderId="1" xfId="0" applyFont="1" applyBorder="1"/>
    <xf numFmtId="0" fontId="4"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4"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right"/>
    </xf>
    <xf numFmtId="2" fontId="4" fillId="0" borderId="0" xfId="0" applyNumberFormat="1" applyFont="1" applyAlignment="1">
      <alignment horizontal="right"/>
    </xf>
    <xf numFmtId="0" fontId="0" fillId="5" borderId="1" xfId="0" applyFill="1" applyBorder="1" applyAlignment="1">
      <alignment horizontal="center"/>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3"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right"/>
    </xf>
    <xf numFmtId="164" fontId="0" fillId="5" borderId="1" xfId="0" applyNumberFormat="1" applyFill="1" applyBorder="1" applyAlignment="1">
      <alignment horizontal="center"/>
    </xf>
    <xf numFmtId="2" fontId="0" fillId="6" borderId="6" xfId="0" applyNumberFormat="1" applyFill="1" applyBorder="1" applyAlignment="1" applyProtection="1">
      <alignment horizontal="center"/>
      <protection locked="0"/>
    </xf>
    <xf numFmtId="9" fontId="0" fillId="6" borderId="6" xfId="1" applyFont="1" applyFill="1" applyBorder="1" applyAlignment="1" applyProtection="1">
      <alignment horizontal="center"/>
      <protection locked="0"/>
    </xf>
    <xf numFmtId="167" fontId="0" fillId="6" borderId="6" xfId="0" applyNumberFormat="1" applyFill="1" applyBorder="1" applyAlignment="1" applyProtection="1">
      <alignment horizontal="center"/>
      <protection locked="0"/>
    </xf>
    <xf numFmtId="1" fontId="0" fillId="6" borderId="1" xfId="1" applyNumberFormat="1" applyFont="1" applyFill="1" applyBorder="1" applyAlignment="1" applyProtection="1">
      <alignment horizontal="center"/>
      <protection locked="0"/>
    </xf>
    <xf numFmtId="166" fontId="0" fillId="6" borderId="1" xfId="1" applyNumberFormat="1" applyFont="1" applyFill="1" applyBorder="1" applyAlignment="1" applyProtection="1">
      <alignment horizontal="center"/>
      <protection locked="0"/>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4" fillId="0" borderId="0" xfId="0" applyFont="1" applyAlignment="1" applyProtection="1">
      <alignment vertical="top" wrapText="1"/>
      <protection locked="0"/>
    </xf>
    <xf numFmtId="0" fontId="4" fillId="0" borderId="0" xfId="0" applyFont="1" applyAlignment="1">
      <alignment horizontal="center"/>
    </xf>
    <xf numFmtId="0" fontId="3" fillId="0" borderId="0" xfId="0" applyFont="1"/>
    <xf numFmtId="9" fontId="0" fillId="0" borderId="0" xfId="0" applyNumberFormat="1"/>
    <xf numFmtId="10" fontId="0" fillId="0" borderId="0" xfId="0" applyNumberFormat="1"/>
    <xf numFmtId="0" fontId="3" fillId="0" borderId="6" xfId="0" applyFont="1" applyBorder="1" applyAlignment="1">
      <alignment horizontal="right"/>
    </xf>
    <xf numFmtId="2" fontId="0" fillId="5" borderId="10" xfId="0" applyNumberFormat="1" applyFill="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5" borderId="10" xfId="0" applyFont="1" applyFill="1" applyBorder="1" applyAlignment="1">
      <alignment horizontal="center" vertical="center" wrapText="1"/>
    </xf>
    <xf numFmtId="0" fontId="4" fillId="6" borderId="1" xfId="0" applyFont="1" applyFill="1" applyBorder="1" applyAlignment="1" applyProtection="1">
      <alignment horizontal="center"/>
      <protection locked="0"/>
    </xf>
    <xf numFmtId="167" fontId="0" fillId="0" borderId="0" xfId="1" applyNumberFormat="1" applyFont="1"/>
    <xf numFmtId="0" fontId="0" fillId="7" borderId="1" xfId="0" applyFill="1" applyBorder="1" applyAlignment="1">
      <alignment horizontal="center"/>
    </xf>
    <xf numFmtId="2" fontId="0" fillId="7" borderId="1" xfId="0" applyNumberFormat="1" applyFill="1" applyBorder="1" applyAlignment="1">
      <alignment horizontal="center"/>
    </xf>
    <xf numFmtId="166" fontId="4" fillId="5" borderId="10" xfId="0" applyNumberFormat="1" applyFont="1" applyFill="1" applyBorder="1" applyAlignment="1">
      <alignment horizontal="center"/>
    </xf>
    <xf numFmtId="164" fontId="0" fillId="5" borderId="10" xfId="0" applyNumberFormat="1" applyFill="1" applyBorder="1" applyAlignment="1">
      <alignment horizontal="center"/>
    </xf>
    <xf numFmtId="9" fontId="0" fillId="5" borderId="10" xfId="1" applyFont="1" applyFill="1" applyBorder="1" applyAlignment="1">
      <alignment horizontal="center"/>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4" fillId="0" borderId="0" xfId="0" applyFont="1" applyAlignment="1">
      <alignment vertical="top" wrapText="1"/>
    </xf>
    <xf numFmtId="14" fontId="0" fillId="0" borderId="0" xfId="0" applyNumberFormat="1" applyAlignment="1">
      <alignment horizontal="center" vertical="top"/>
    </xf>
    <xf numFmtId="0" fontId="10" fillId="0" borderId="0" xfId="2" applyAlignment="1" applyProtection="1">
      <alignment horizontal="center"/>
    </xf>
    <xf numFmtId="2" fontId="4" fillId="5" borderId="1" xfId="0" applyNumberFormat="1" applyFont="1" applyFill="1" applyBorder="1" applyAlignment="1">
      <alignment horizontal="center" vertical="center"/>
    </xf>
    <xf numFmtId="2" fontId="4" fillId="5" borderId="1" xfId="0" applyNumberFormat="1" applyFont="1" applyFill="1" applyBorder="1" applyAlignment="1">
      <alignment horizontal="center"/>
    </xf>
    <xf numFmtId="167" fontId="0" fillId="5" borderId="1" xfId="1" applyNumberFormat="1" applyFont="1" applyFill="1" applyBorder="1" applyAlignment="1">
      <alignment horizontal="center"/>
    </xf>
    <xf numFmtId="0" fontId="4" fillId="5" borderId="1" xfId="0" applyFont="1" applyFill="1" applyBorder="1" applyAlignment="1">
      <alignment horizontal="center"/>
    </xf>
    <xf numFmtId="166" fontId="0" fillId="5" borderId="1" xfId="0" applyNumberFormat="1" applyFill="1" applyBorder="1" applyAlignment="1">
      <alignment horizontal="center"/>
    </xf>
    <xf numFmtId="167" fontId="0" fillId="5" borderId="1" xfId="0" applyNumberFormat="1" applyFill="1" applyBorder="1" applyAlignment="1">
      <alignment horizontal="center"/>
    </xf>
    <xf numFmtId="0" fontId="4" fillId="7" borderId="1" xfId="0" applyFont="1" applyFill="1" applyBorder="1" applyAlignment="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4"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3" fillId="0" borderId="0" xfId="0" applyFont="1" applyAlignment="1">
      <alignment horizontal="center" vertical="center" wrapText="1"/>
    </xf>
    <xf numFmtId="0" fontId="0" fillId="0" borderId="0" xfId="0" applyAlignment="1">
      <alignment horizontal="center" wrapText="1"/>
    </xf>
    <xf numFmtId="1" fontId="4" fillId="0" borderId="0" xfId="0" applyNumberFormat="1" applyFont="1" applyAlignment="1">
      <alignment horizontal="center"/>
    </xf>
    <xf numFmtId="0" fontId="3" fillId="0" borderId="10" xfId="0" applyFont="1" applyBorder="1" applyAlignment="1">
      <alignment horizontal="center"/>
    </xf>
    <xf numFmtId="0" fontId="0" fillId="6" borderId="1" xfId="0" applyFill="1" applyBorder="1" applyAlignment="1" applyProtection="1">
      <alignment horizontal="center"/>
      <protection locked="0"/>
    </xf>
    <xf numFmtId="0" fontId="3" fillId="0" borderId="19" xfId="0" applyFont="1" applyBorder="1" applyAlignment="1">
      <alignment horizontal="center"/>
    </xf>
    <xf numFmtId="0" fontId="4" fillId="0" borderId="21" xfId="0" applyFont="1" applyBorder="1"/>
    <xf numFmtId="0" fontId="4" fillId="0" borderId="21" xfId="0" applyFont="1" applyBorder="1" applyAlignment="1">
      <alignment horizontal="left"/>
    </xf>
    <xf numFmtId="0" fontId="4" fillId="0" borderId="23" xfId="0" applyFont="1" applyBorder="1"/>
    <xf numFmtId="166" fontId="4" fillId="0" borderId="21" xfId="0" applyNumberFormat="1" applyFont="1" applyBorder="1" applyAlignment="1">
      <alignment horizontal="left"/>
    </xf>
    <xf numFmtId="166" fontId="4" fillId="7" borderId="1" xfId="0" applyNumberFormat="1" applyFont="1" applyFill="1" applyBorder="1" applyAlignment="1">
      <alignment horizontal="center"/>
    </xf>
    <xf numFmtId="0" fontId="4" fillId="7" borderId="24" xfId="0" applyFont="1" applyFill="1" applyBorder="1" applyAlignment="1">
      <alignment horizontal="center"/>
    </xf>
    <xf numFmtId="0" fontId="4" fillId="7" borderId="10" xfId="0" applyFont="1" applyFill="1" applyBorder="1" applyAlignment="1">
      <alignment horizontal="center"/>
    </xf>
    <xf numFmtId="0" fontId="0" fillId="0" borderId="22" xfId="0" applyBorder="1"/>
    <xf numFmtId="0" fontId="0" fillId="0" borderId="19" xfId="0" applyBorder="1"/>
    <xf numFmtId="0" fontId="0" fillId="0" borderId="21" xfId="0" applyBorder="1"/>
    <xf numFmtId="166" fontId="0" fillId="7" borderId="10" xfId="0" applyNumberFormat="1" applyFill="1" applyBorder="1" applyAlignment="1">
      <alignment horizontal="center"/>
    </xf>
    <xf numFmtId="169" fontId="4" fillId="0" borderId="0" xfId="0" applyNumberFormat="1" applyFont="1"/>
    <xf numFmtId="0" fontId="10" fillId="0" borderId="0" xfId="2" applyAlignment="1" applyProtection="1"/>
    <xf numFmtId="0" fontId="10" fillId="0" borderId="0" xfId="2" applyAlignment="1" applyProtection="1">
      <alignment wrapText="1"/>
    </xf>
    <xf numFmtId="0" fontId="3" fillId="0" borderId="2" xfId="0" applyFont="1" applyBorder="1" applyAlignment="1">
      <alignment horizontal="center" vertical="center" wrapText="1"/>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167" fontId="0" fillId="0" borderId="0" xfId="1" applyNumberFormat="1" applyFont="1" applyAlignment="1">
      <alignment horizontal="center"/>
    </xf>
    <xf numFmtId="164" fontId="0" fillId="0" borderId="0" xfId="0" applyNumberFormat="1" applyAlignment="1">
      <alignment horizontal="center"/>
    </xf>
    <xf numFmtId="170" fontId="0" fillId="5" borderId="10" xfId="0" applyNumberFormat="1" applyFill="1" applyBorder="1" applyAlignment="1">
      <alignment horizontal="center"/>
    </xf>
    <xf numFmtId="167" fontId="4" fillId="0" borderId="0" xfId="1" applyNumberFormat="1" applyFont="1" applyAlignment="1">
      <alignment horizontal="center"/>
    </xf>
    <xf numFmtId="0" fontId="10" fillId="0" borderId="11" xfId="2" applyBorder="1" applyAlignment="1" applyProtection="1">
      <alignment horizontal="center"/>
    </xf>
    <xf numFmtId="167" fontId="0" fillId="6" borderId="32" xfId="1" applyNumberFormat="1" applyFont="1" applyFill="1" applyBorder="1" applyAlignment="1" applyProtection="1">
      <alignment horizontal="center"/>
      <protection locked="0"/>
    </xf>
    <xf numFmtId="2" fontId="0" fillId="7" borderId="24" xfId="0" applyNumberFormat="1" applyFill="1" applyBorder="1" applyAlignment="1">
      <alignment horizontal="center"/>
    </xf>
    <xf numFmtId="0" fontId="12" fillId="0" borderId="21" xfId="0" applyFont="1" applyBorder="1" applyAlignment="1">
      <alignment horizontal="center"/>
    </xf>
    <xf numFmtId="166" fontId="0" fillId="7" borderId="9" xfId="0" applyNumberFormat="1" applyFill="1" applyBorder="1" applyAlignment="1">
      <alignment horizontal="center"/>
    </xf>
    <xf numFmtId="0" fontId="4" fillId="7" borderId="9" xfId="0" applyFont="1" applyFill="1" applyBorder="1" applyAlignment="1">
      <alignment horizontal="center"/>
    </xf>
    <xf numFmtId="167" fontId="4" fillId="0" borderId="0" xfId="1" applyNumberFormat="1" applyFont="1"/>
    <xf numFmtId="0" fontId="4" fillId="0" borderId="4" xfId="0" applyFont="1" applyBorder="1" applyAlignment="1">
      <alignment horizontal="center"/>
    </xf>
    <xf numFmtId="0" fontId="4" fillId="0" borderId="9" xfId="0" applyFont="1" applyBorder="1" applyAlignment="1">
      <alignment vertical="center" wrapText="1"/>
    </xf>
    <xf numFmtId="166" fontId="4" fillId="5" borderId="1" xfId="0" applyNumberFormat="1" applyFont="1" applyFill="1" applyBorder="1" applyAlignment="1">
      <alignment horizontal="center" vertical="center"/>
    </xf>
    <xf numFmtId="166" fontId="4" fillId="5" borderId="9" xfId="0" applyNumberFormat="1" applyFont="1" applyFill="1" applyBorder="1" applyAlignment="1">
      <alignment horizontal="center" vertical="center"/>
    </xf>
    <xf numFmtId="0" fontId="0" fillId="0" borderId="9" xfId="0" applyBorder="1" applyAlignment="1">
      <alignment horizontal="center"/>
    </xf>
    <xf numFmtId="2" fontId="4" fillId="5" borderId="2" xfId="0" applyNumberFormat="1" applyFont="1" applyFill="1" applyBorder="1" applyAlignment="1">
      <alignment horizontal="center" vertical="center"/>
    </xf>
    <xf numFmtId="166" fontId="4" fillId="5" borderId="10" xfId="0" applyNumberFormat="1" applyFont="1" applyFill="1" applyBorder="1" applyAlignment="1">
      <alignment horizontal="center" vertical="center"/>
    </xf>
    <xf numFmtId="166" fontId="4" fillId="5" borderId="36" xfId="0" applyNumberFormat="1" applyFont="1" applyFill="1" applyBorder="1" applyAlignment="1">
      <alignment horizontal="center" vertical="center"/>
    </xf>
    <xf numFmtId="2" fontId="4" fillId="5" borderId="36" xfId="0" applyNumberFormat="1" applyFont="1" applyFill="1" applyBorder="1" applyAlignment="1">
      <alignment horizontal="center" vertical="center"/>
    </xf>
    <xf numFmtId="166" fontId="0" fillId="7" borderId="1" xfId="0" applyNumberFormat="1" applyFill="1" applyBorder="1" applyAlignment="1">
      <alignment horizontal="center"/>
    </xf>
    <xf numFmtId="0" fontId="0" fillId="0" borderId="9" xfId="0" applyBorder="1"/>
    <xf numFmtId="2" fontId="0" fillId="6" borderId="1" xfId="1" applyNumberFormat="1" applyFont="1" applyFill="1" applyBorder="1" applyAlignment="1" applyProtection="1">
      <alignment horizontal="center"/>
      <protection locked="0"/>
    </xf>
    <xf numFmtId="0" fontId="0" fillId="0" borderId="11" xfId="0" applyBorder="1"/>
    <xf numFmtId="0" fontId="0" fillId="6" borderId="24" xfId="0" applyFill="1" applyBorder="1" applyAlignment="1" applyProtection="1">
      <alignment horizontal="center"/>
      <protection locked="0"/>
    </xf>
    <xf numFmtId="166" fontId="4" fillId="0" borderId="0" xfId="0" applyNumberFormat="1" applyFont="1" applyAlignment="1">
      <alignment horizontal="right"/>
    </xf>
    <xf numFmtId="0" fontId="14" fillId="0" borderId="0" xfId="0" applyFont="1" applyAlignment="1">
      <alignment horizontal="right"/>
    </xf>
    <xf numFmtId="0" fontId="14" fillId="0" borderId="0" xfId="0" applyFont="1"/>
    <xf numFmtId="0" fontId="16" fillId="0" borderId="0" xfId="0" applyFont="1" applyAlignment="1">
      <alignment horizontal="center"/>
    </xf>
    <xf numFmtId="0" fontId="16" fillId="7" borderId="10" xfId="0" applyFont="1" applyFill="1" applyBorder="1" applyAlignment="1">
      <alignment horizontal="center"/>
    </xf>
    <xf numFmtId="166" fontId="14" fillId="7" borderId="1" xfId="0" applyNumberFormat="1" applyFont="1" applyFill="1" applyBorder="1" applyAlignment="1">
      <alignment horizontal="center"/>
    </xf>
    <xf numFmtId="0" fontId="14" fillId="7" borderId="1" xfId="0" applyFont="1" applyFill="1" applyBorder="1" applyAlignment="1">
      <alignment horizontal="center"/>
    </xf>
    <xf numFmtId="2" fontId="14" fillId="7" borderId="10" xfId="0" applyNumberFormat="1" applyFont="1" applyFill="1" applyBorder="1" applyAlignment="1">
      <alignment horizontal="center"/>
    </xf>
    <xf numFmtId="167" fontId="14" fillId="7" borderId="1" xfId="0" applyNumberFormat="1" applyFont="1" applyFill="1" applyBorder="1" applyAlignment="1">
      <alignment horizontal="center"/>
    </xf>
    <xf numFmtId="2" fontId="14" fillId="7" borderId="1" xfId="0" applyNumberFormat="1" applyFont="1" applyFill="1" applyBorder="1" applyAlignment="1">
      <alignment horizontal="center"/>
    </xf>
    <xf numFmtId="0" fontId="14" fillId="0" borderId="0" xfId="0" applyFont="1" applyAlignment="1">
      <alignment horizontal="center" vertical="center" wrapText="1"/>
    </xf>
    <xf numFmtId="0" fontId="14" fillId="0" borderId="32" xfId="0" applyFont="1" applyBorder="1"/>
    <xf numFmtId="166" fontId="14" fillId="6" borderId="9" xfId="0" applyNumberFormat="1" applyFont="1" applyFill="1" applyBorder="1" applyAlignment="1" applyProtection="1">
      <alignment horizontal="center"/>
      <protection locked="0"/>
    </xf>
    <xf numFmtId="164" fontId="14" fillId="7" borderId="10" xfId="0" applyNumberFormat="1" applyFont="1" applyFill="1" applyBorder="1" applyAlignment="1">
      <alignment horizontal="center"/>
    </xf>
    <xf numFmtId="1" fontId="14" fillId="7" borderId="1" xfId="0" applyNumberFormat="1" applyFont="1" applyFill="1" applyBorder="1" applyAlignment="1">
      <alignment horizontal="center"/>
    </xf>
    <xf numFmtId="1" fontId="14" fillId="6" borderId="1" xfId="0" applyNumberFormat="1" applyFont="1" applyFill="1" applyBorder="1" applyAlignment="1" applyProtection="1">
      <alignment horizontal="center"/>
      <protection locked="0"/>
    </xf>
    <xf numFmtId="164" fontId="14" fillId="6" borderId="2" xfId="0" applyNumberFormat="1" applyFont="1" applyFill="1" applyBorder="1" applyAlignment="1" applyProtection="1">
      <alignment horizontal="center"/>
      <protection locked="0"/>
    </xf>
    <xf numFmtId="166" fontId="14" fillId="6" borderId="10" xfId="0" applyNumberFormat="1" applyFont="1" applyFill="1" applyBorder="1" applyAlignment="1" applyProtection="1">
      <alignment horizontal="center"/>
      <protection locked="0"/>
    </xf>
    <xf numFmtId="166" fontId="14" fillId="6" borderId="1" xfId="0" applyNumberFormat="1" applyFont="1" applyFill="1" applyBorder="1" applyAlignment="1" applyProtection="1">
      <alignment horizontal="center"/>
      <protection locked="0"/>
    </xf>
    <xf numFmtId="0" fontId="14" fillId="0" borderId="0" xfId="0" applyFont="1" applyAlignment="1">
      <alignment horizontal="center"/>
    </xf>
    <xf numFmtId="167" fontId="14" fillId="7" borderId="1" xfId="1" applyNumberFormat="1" applyFont="1" applyFill="1" applyBorder="1" applyAlignment="1">
      <alignment horizontal="center"/>
    </xf>
    <xf numFmtId="0" fontId="14" fillId="7" borderId="8" xfId="0" applyFont="1" applyFill="1" applyBorder="1" applyAlignment="1">
      <alignment horizontal="center"/>
    </xf>
    <xf numFmtId="0" fontId="16" fillId="0" borderId="10" xfId="0" applyFont="1" applyBorder="1" applyAlignment="1">
      <alignment horizontal="center"/>
    </xf>
    <xf numFmtId="0" fontId="14" fillId="0" borderId="9" xfId="0" applyFont="1" applyBorder="1" applyAlignment="1">
      <alignment horizontal="center" vertical="center"/>
    </xf>
    <xf numFmtId="164" fontId="14" fillId="6" borderId="9" xfId="0" applyNumberFormat="1" applyFont="1" applyFill="1" applyBorder="1" applyAlignment="1" applyProtection="1">
      <alignment horizontal="center"/>
      <protection locked="0"/>
    </xf>
    <xf numFmtId="2" fontId="14" fillId="0" borderId="4"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4" fillId="0" borderId="15" xfId="0" applyFont="1" applyBorder="1" applyAlignment="1">
      <alignment vertical="center"/>
    </xf>
    <xf numFmtId="1" fontId="14" fillId="7" borderId="1" xfId="0" applyNumberFormat="1" applyFont="1" applyFill="1" applyBorder="1" applyAlignment="1">
      <alignment horizontal="center" vertical="center"/>
    </xf>
    <xf numFmtId="166" fontId="14" fillId="7" borderId="1" xfId="0" applyNumberFormat="1" applyFont="1" applyFill="1" applyBorder="1" applyAlignment="1">
      <alignment horizontal="center" vertical="center"/>
    </xf>
    <xf numFmtId="0" fontId="4" fillId="0" borderId="19" xfId="0" applyFont="1" applyBorder="1"/>
    <xf numFmtId="0" fontId="14" fillId="7" borderId="1" xfId="0" applyFont="1" applyFill="1" applyBorder="1" applyAlignment="1">
      <alignment horizontal="center" shrinkToFit="1"/>
    </xf>
    <xf numFmtId="0" fontId="16" fillId="0" borderId="2" xfId="0" applyFont="1" applyBorder="1" applyAlignment="1">
      <alignment horizontal="center" vertical="center" wrapText="1"/>
    </xf>
    <xf numFmtId="164" fontId="0" fillId="6" borderId="24" xfId="1" applyNumberFormat="1" applyFont="1" applyFill="1" applyBorder="1" applyAlignment="1" applyProtection="1">
      <alignment horizontal="center"/>
      <protection locked="0"/>
    </xf>
    <xf numFmtId="2" fontId="0" fillId="7" borderId="10" xfId="0" applyNumberFormat="1" applyFill="1" applyBorder="1" applyAlignment="1">
      <alignment horizontal="center"/>
    </xf>
    <xf numFmtId="2" fontId="14" fillId="6" borderId="1" xfId="0" applyNumberFormat="1" applyFont="1" applyFill="1" applyBorder="1" applyAlignment="1" applyProtection="1">
      <alignment horizontal="center"/>
      <protection locked="0"/>
    </xf>
    <xf numFmtId="0" fontId="14" fillId="6" borderId="1" xfId="0" applyFont="1" applyFill="1" applyBorder="1" applyAlignment="1" applyProtection="1">
      <alignment horizontal="center"/>
      <protection locked="0"/>
    </xf>
    <xf numFmtId="0" fontId="0" fillId="9" borderId="38" xfId="0" applyFill="1" applyBorder="1"/>
    <xf numFmtId="0" fontId="18" fillId="9" borderId="39" xfId="0" applyFont="1" applyFill="1" applyBorder="1" applyAlignment="1">
      <alignment vertical="center"/>
    </xf>
    <xf numFmtId="0" fontId="0" fillId="9" borderId="39" xfId="0" applyFill="1" applyBorder="1" applyAlignment="1">
      <alignment horizontal="center"/>
    </xf>
    <xf numFmtId="0" fontId="19" fillId="9" borderId="40" xfId="0" applyFont="1" applyFill="1" applyBorder="1" applyAlignment="1" applyProtection="1">
      <alignment horizontal="center"/>
      <protection hidden="1"/>
    </xf>
    <xf numFmtId="0" fontId="0" fillId="9" borderId="41" xfId="0" applyFill="1" applyBorder="1"/>
    <xf numFmtId="0" fontId="18" fillId="9" borderId="0" xfId="0" applyFont="1" applyFill="1" applyAlignment="1">
      <alignment vertical="center"/>
    </xf>
    <xf numFmtId="0" fontId="0" fillId="9" borderId="0" xfId="0" applyFill="1" applyAlignment="1">
      <alignment horizontal="center"/>
    </xf>
    <xf numFmtId="0" fontId="21" fillId="9" borderId="0" xfId="0" applyFont="1" applyFill="1" applyAlignment="1">
      <alignment horizontal="left" indent="1"/>
    </xf>
    <xf numFmtId="0" fontId="4" fillId="9" borderId="0" xfId="0" applyFont="1" applyFill="1" applyAlignment="1">
      <alignment horizontal="center"/>
    </xf>
    <xf numFmtId="0" fontId="0" fillId="9" borderId="41" xfId="0" applyFill="1" applyBorder="1" applyAlignment="1">
      <alignment horizontal="center" vertical="center"/>
    </xf>
    <xf numFmtId="0" fontId="0" fillId="9" borderId="0" xfId="0" applyFill="1" applyAlignment="1">
      <alignment horizontal="right"/>
    </xf>
    <xf numFmtId="0" fontId="22" fillId="9" borderId="0" xfId="0" applyFont="1" applyFill="1" applyAlignment="1">
      <alignment vertical="center" wrapText="1"/>
    </xf>
    <xf numFmtId="0" fontId="0" fillId="9" borderId="42" xfId="0" applyFill="1" applyBorder="1" applyAlignment="1">
      <alignment horizontal="center" vertical="center"/>
    </xf>
    <xf numFmtId="0" fontId="0" fillId="0" borderId="0" xfId="0" applyAlignment="1">
      <alignment horizontal="center" vertical="center"/>
    </xf>
    <xf numFmtId="0" fontId="22" fillId="9" borderId="0" xfId="0" applyFont="1" applyFill="1" applyAlignment="1">
      <alignment horizontal="right" vertical="center"/>
    </xf>
    <xf numFmtId="0" fontId="22" fillId="9" borderId="0" xfId="0" applyFont="1" applyFill="1" applyAlignment="1">
      <alignment horizontal="right"/>
    </xf>
    <xf numFmtId="0" fontId="22" fillId="9" borderId="0" xfId="0" applyFont="1" applyFill="1" applyAlignment="1">
      <alignment vertical="center"/>
    </xf>
    <xf numFmtId="0" fontId="0" fillId="9" borderId="0" xfId="0" applyFill="1"/>
    <xf numFmtId="0" fontId="23" fillId="9" borderId="0" xfId="0" applyFont="1" applyFill="1" applyAlignment="1">
      <alignment vertical="top" wrapText="1"/>
    </xf>
    <xf numFmtId="0" fontId="23" fillId="9" borderId="42"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43" xfId="0" applyFill="1" applyBorder="1" applyAlignment="1">
      <alignment horizontal="center" vertical="center"/>
    </xf>
    <xf numFmtId="0" fontId="0" fillId="9" borderId="44" xfId="0" applyFill="1" applyBorder="1" applyAlignment="1">
      <alignment horizontal="right" vertical="center"/>
    </xf>
    <xf numFmtId="0" fontId="0" fillId="9" borderId="44" xfId="0" applyFill="1" applyBorder="1" applyAlignment="1">
      <alignment horizontal="center" vertical="center"/>
    </xf>
    <xf numFmtId="0" fontId="23" fillId="9" borderId="44" xfId="0" applyFont="1" applyFill="1" applyBorder="1" applyAlignment="1">
      <alignment vertical="top" wrapText="1"/>
    </xf>
    <xf numFmtId="0" fontId="0" fillId="10" borderId="38" xfId="0" applyFill="1" applyBorder="1" applyAlignment="1">
      <alignment horizontal="center" vertical="center"/>
    </xf>
    <xf numFmtId="0" fontId="18" fillId="10" borderId="39" xfId="0" applyFont="1" applyFill="1" applyBorder="1" applyAlignment="1">
      <alignment vertical="center"/>
    </xf>
    <xf numFmtId="0" fontId="0" fillId="10" borderId="39" xfId="0" applyFill="1" applyBorder="1" applyAlignment="1">
      <alignment horizontal="center" vertical="center"/>
    </xf>
    <xf numFmtId="0" fontId="25" fillId="10" borderId="39" xfId="0" applyFont="1" applyFill="1" applyBorder="1" applyAlignment="1">
      <alignment horizontal="center" vertical="center"/>
    </xf>
    <xf numFmtId="0" fontId="25" fillId="10" borderId="0" xfId="0" applyFont="1" applyFill="1" applyAlignment="1">
      <alignment horizontal="center" vertical="center"/>
    </xf>
    <xf numFmtId="0" fontId="23" fillId="10" borderId="40" xfId="0" applyFont="1" applyFill="1" applyBorder="1" applyAlignment="1">
      <alignment horizontal="left" vertical="top" wrapText="1"/>
    </xf>
    <xf numFmtId="0" fontId="0" fillId="10" borderId="41" xfId="0" applyFill="1" applyBorder="1" applyAlignment="1">
      <alignment horizontal="center" vertical="center"/>
    </xf>
    <xf numFmtId="0" fontId="18" fillId="10" borderId="0" xfId="0" applyFont="1" applyFill="1" applyAlignment="1">
      <alignment vertical="center"/>
    </xf>
    <xf numFmtId="0" fontId="0" fillId="10" borderId="0" xfId="0" applyFill="1" applyAlignment="1">
      <alignment horizontal="center" vertical="center"/>
    </xf>
    <xf numFmtId="0" fontId="25" fillId="10" borderId="0" xfId="0" applyFont="1" applyFill="1" applyAlignment="1">
      <alignment horizontal="right" vertical="center"/>
    </xf>
    <xf numFmtId="0" fontId="25" fillId="10" borderId="46" xfId="0" quotePrefix="1" applyFont="1" applyFill="1" applyBorder="1" applyAlignment="1">
      <alignment horizontal="left" vertical="center"/>
    </xf>
    <xf numFmtId="2" fontId="25" fillId="10" borderId="47" xfId="0" applyNumberFormat="1" applyFont="1" applyFill="1" applyBorder="1" applyAlignment="1">
      <alignment horizontal="center" vertical="center"/>
    </xf>
    <xf numFmtId="0" fontId="23" fillId="10" borderId="42" xfId="0" applyFont="1" applyFill="1" applyBorder="1" applyAlignment="1">
      <alignment horizontal="left" vertical="top" wrapText="1"/>
    </xf>
    <xf numFmtId="0" fontId="26" fillId="10" borderId="0" xfId="0" applyFont="1" applyFill="1" applyAlignment="1">
      <alignment vertical="top" wrapText="1"/>
    </xf>
    <xf numFmtId="0" fontId="22" fillId="10" borderId="0" xfId="0" applyFont="1" applyFill="1" applyAlignment="1">
      <alignment horizontal="center" vertical="center"/>
    </xf>
    <xf numFmtId="0" fontId="25" fillId="10" borderId="48" xfId="0" applyFont="1" applyFill="1" applyBorder="1" applyAlignment="1">
      <alignment horizontal="left" vertical="center"/>
    </xf>
    <xf numFmtId="2" fontId="25" fillId="10" borderId="49" xfId="0" applyNumberFormat="1" applyFont="1" applyFill="1" applyBorder="1" applyAlignment="1">
      <alignment horizontal="center" vertical="center"/>
    </xf>
    <xf numFmtId="0" fontId="23" fillId="10" borderId="42" xfId="0" applyFont="1" applyFill="1" applyBorder="1" applyAlignment="1">
      <alignment vertical="top" wrapText="1"/>
    </xf>
    <xf numFmtId="2" fontId="25" fillId="10" borderId="50" xfId="0" applyNumberFormat="1" applyFont="1" applyFill="1" applyBorder="1" applyAlignment="1">
      <alignment horizontal="center" vertical="center"/>
    </xf>
    <xf numFmtId="0" fontId="25" fillId="10" borderId="51" xfId="0" applyFont="1" applyFill="1" applyBorder="1" applyAlignment="1">
      <alignment horizontal="left" vertical="center"/>
    </xf>
    <xf numFmtId="2" fontId="25" fillId="10" borderId="52" xfId="0" applyNumberFormat="1" applyFont="1" applyFill="1" applyBorder="1" applyAlignment="1">
      <alignment horizontal="center" vertical="center"/>
    </xf>
    <xf numFmtId="0" fontId="21"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43" xfId="0" applyFill="1" applyBorder="1"/>
    <xf numFmtId="0" fontId="21" fillId="10" borderId="44" xfId="0" applyFont="1" applyFill="1" applyBorder="1" applyAlignment="1">
      <alignment horizontal="left" indent="1"/>
    </xf>
    <xf numFmtId="0" fontId="23" fillId="10" borderId="44" xfId="0" applyFont="1" applyFill="1" applyBorder="1" applyAlignment="1">
      <alignment vertical="center" wrapText="1"/>
    </xf>
    <xf numFmtId="0" fontId="0" fillId="11" borderId="38" xfId="0" applyFill="1" applyBorder="1"/>
    <xf numFmtId="0" fontId="18" fillId="11" borderId="39" xfId="0" applyFont="1" applyFill="1" applyBorder="1" applyAlignment="1">
      <alignment vertical="center"/>
    </xf>
    <xf numFmtId="0" fontId="12" fillId="11" borderId="39" xfId="0" applyFont="1" applyFill="1" applyBorder="1" applyAlignment="1">
      <alignment horizontal="right" vertical="center"/>
    </xf>
    <xf numFmtId="0" fontId="12" fillId="11" borderId="39" xfId="0" applyFont="1" applyFill="1" applyBorder="1" applyAlignment="1">
      <alignment horizontal="center" vertical="center"/>
    </xf>
    <xf numFmtId="0" fontId="23" fillId="11" borderId="39" xfId="0" applyFont="1" applyFill="1" applyBorder="1" applyAlignment="1">
      <alignment horizontal="left" vertical="center" wrapText="1"/>
    </xf>
    <xf numFmtId="0" fontId="0" fillId="11" borderId="41" xfId="0" applyFill="1" applyBorder="1"/>
    <xf numFmtId="0" fontId="12" fillId="11" borderId="0" xfId="0" applyFont="1" applyFill="1" applyAlignment="1">
      <alignment horizontal="right" vertical="center"/>
    </xf>
    <xf numFmtId="0" fontId="21" fillId="11" borderId="0" xfId="0" applyFont="1" applyFill="1" applyAlignment="1">
      <alignment horizontal="left" indent="1"/>
    </xf>
    <xf numFmtId="0" fontId="0" fillId="11" borderId="0" xfId="0" applyFill="1" applyAlignment="1">
      <alignment horizontal="center"/>
    </xf>
    <xf numFmtId="0" fontId="23" fillId="11" borderId="0" xfId="0" applyFont="1" applyFill="1" applyAlignment="1">
      <alignment vertical="top" wrapText="1"/>
    </xf>
    <xf numFmtId="0" fontId="23" fillId="11" borderId="42" xfId="0" applyFont="1" applyFill="1" applyBorder="1" applyAlignment="1">
      <alignment horizontal="left" vertical="center" wrapText="1"/>
    </xf>
    <xf numFmtId="0" fontId="4" fillId="11" borderId="0" xfId="0" applyFont="1" applyFill="1" applyAlignment="1">
      <alignment horizontal="right" vertical="center" wrapText="1"/>
    </xf>
    <xf numFmtId="1" fontId="4" fillId="11" borderId="55" xfId="0" applyNumberFormat="1" applyFont="1" applyFill="1" applyBorder="1" applyAlignment="1">
      <alignment horizontal="center" vertical="center"/>
    </xf>
    <xf numFmtId="1" fontId="4" fillId="11" borderId="56" xfId="0" applyNumberFormat="1" applyFont="1" applyFill="1" applyBorder="1" applyAlignment="1">
      <alignment horizontal="center" vertical="center"/>
    </xf>
    <xf numFmtId="2" fontId="29" fillId="11" borderId="57" xfId="0" applyNumberFormat="1" applyFont="1" applyFill="1" applyBorder="1" applyAlignment="1">
      <alignment horizontal="center" vertical="center"/>
    </xf>
    <xf numFmtId="1" fontId="30" fillId="11" borderId="58" xfId="0" applyNumberFormat="1" applyFont="1" applyFill="1" applyBorder="1" applyAlignment="1">
      <alignment horizontal="center" vertical="center"/>
    </xf>
    <xf numFmtId="0" fontId="0" fillId="11" borderId="43" xfId="0" applyFill="1" applyBorder="1"/>
    <xf numFmtId="0" fontId="23" fillId="11" borderId="44" xfId="0" applyFont="1" applyFill="1" applyBorder="1" applyAlignment="1">
      <alignment vertical="center" wrapText="1"/>
    </xf>
    <xf numFmtId="0" fontId="23" fillId="11" borderId="44" xfId="0" applyFont="1" applyFill="1" applyBorder="1" applyAlignment="1">
      <alignment vertical="center"/>
    </xf>
    <xf numFmtId="0" fontId="0" fillId="2" borderId="38" xfId="0" applyFill="1" applyBorder="1"/>
    <xf numFmtId="0" fontId="18" fillId="2" borderId="39" xfId="0" applyFont="1" applyFill="1" applyBorder="1" applyAlignment="1">
      <alignment vertical="center"/>
    </xf>
    <xf numFmtId="0" fontId="0" fillId="2" borderId="39" xfId="0" applyFill="1" applyBorder="1" applyAlignment="1">
      <alignment horizontal="center"/>
    </xf>
    <xf numFmtId="0" fontId="31" fillId="2" borderId="39" xfId="0" applyFont="1" applyFill="1" applyBorder="1" applyAlignment="1">
      <alignment horizontal="center"/>
    </xf>
    <xf numFmtId="0" fontId="0" fillId="2" borderId="39" xfId="0" applyFill="1" applyBorder="1" applyAlignment="1">
      <alignment horizontal="center" vertical="center"/>
    </xf>
    <xf numFmtId="0" fontId="0" fillId="2" borderId="40" xfId="0" applyFill="1" applyBorder="1" applyAlignment="1">
      <alignment horizontal="center"/>
    </xf>
    <xf numFmtId="0" fontId="0" fillId="2" borderId="41" xfId="0" applyFill="1" applyBorder="1"/>
    <xf numFmtId="0" fontId="21"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42"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4" fillId="2" borderId="1" xfId="4" applyNumberFormat="1" applyFill="1" applyBorder="1" applyAlignment="1">
      <alignment horizontal="center" vertical="center"/>
    </xf>
    <xf numFmtId="166" fontId="4" fillId="2" borderId="0" xfId="0" applyNumberFormat="1" applyFont="1" applyFill="1" applyAlignment="1">
      <alignment horizontal="right" vertical="center"/>
    </xf>
    <xf numFmtId="9" fontId="4" fillId="2" borderId="1" xfId="4"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66" fontId="3"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3"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42"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44" xfId="0" applyNumberFormat="1" applyFont="1" applyFill="1" applyBorder="1" applyAlignment="1">
      <alignment vertical="top" wrapText="1"/>
    </xf>
    <xf numFmtId="166" fontId="12" fillId="2" borderId="45" xfId="0" applyNumberFormat="1" applyFont="1" applyFill="1" applyBorder="1" applyAlignment="1">
      <alignment vertical="top" wrapText="1"/>
    </xf>
    <xf numFmtId="0" fontId="0" fillId="2" borderId="38" xfId="0" applyFill="1" applyBorder="1" applyAlignment="1">
      <alignment horizontal="center" vertical="center"/>
    </xf>
    <xf numFmtId="166" fontId="3" fillId="2" borderId="39" xfId="0" applyNumberFormat="1"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166" fontId="23" fillId="2" borderId="0" xfId="0" applyNumberFormat="1" applyFont="1" applyFill="1" applyAlignment="1">
      <alignment vertical="center" wrapText="1"/>
    </xf>
    <xf numFmtId="0" fontId="0" fillId="2" borderId="44" xfId="0" applyFill="1" applyBorder="1" applyAlignment="1">
      <alignment horizontal="center"/>
    </xf>
    <xf numFmtId="0" fontId="0" fillId="2" borderId="44" xfId="0" applyFill="1" applyBorder="1"/>
    <xf numFmtId="0" fontId="35" fillId="2" borderId="44" xfId="0" applyFont="1" applyFill="1" applyBorder="1" applyAlignment="1">
      <alignment horizontal="left" vertical="center"/>
    </xf>
    <xf numFmtId="0" fontId="0" fillId="2" borderId="45" xfId="0" applyFill="1" applyBorder="1"/>
    <xf numFmtId="0" fontId="0" fillId="9" borderId="40" xfId="0" applyFill="1" applyBorder="1" applyAlignment="1">
      <alignment horizontal="center"/>
    </xf>
    <xf numFmtId="0" fontId="0" fillId="9" borderId="42" xfId="0" applyFill="1" applyBorder="1" applyAlignment="1">
      <alignment horizontal="center"/>
    </xf>
    <xf numFmtId="0" fontId="4" fillId="0" borderId="0" xfId="0" applyFont="1" applyAlignment="1">
      <alignment vertical="center"/>
    </xf>
    <xf numFmtId="0" fontId="4" fillId="9" borderId="41" xfId="0" applyFont="1" applyFill="1" applyBorder="1" applyAlignment="1">
      <alignment vertical="center"/>
    </xf>
    <xf numFmtId="0" fontId="21" fillId="9" borderId="0" xfId="0" applyFont="1" applyFill="1" applyAlignment="1">
      <alignment horizontal="left" vertical="center" indent="1"/>
    </xf>
    <xf numFmtId="0" fontId="4" fillId="9" borderId="42" xfId="0" applyFont="1" applyFill="1" applyBorder="1" applyAlignment="1">
      <alignment horizontal="center" vertical="center"/>
    </xf>
    <xf numFmtId="0" fontId="4" fillId="0" borderId="0" xfId="0" applyFont="1" applyAlignment="1">
      <alignment horizontal="center" vertical="center"/>
    </xf>
    <xf numFmtId="1" fontId="4" fillId="9" borderId="59" xfId="0" applyNumberFormat="1" applyFont="1" applyFill="1" applyBorder="1" applyAlignment="1">
      <alignment horizontal="center" vertical="center"/>
    </xf>
    <xf numFmtId="1" fontId="3" fillId="9" borderId="36" xfId="0" applyNumberFormat="1" applyFont="1" applyFill="1" applyBorder="1" applyAlignment="1">
      <alignment horizontal="center" vertical="center"/>
    </xf>
    <xf numFmtId="0" fontId="12" fillId="9" borderId="0" xfId="0" applyFont="1" applyFill="1" applyAlignment="1">
      <alignment horizontal="right" vertical="center"/>
    </xf>
    <xf numFmtId="1" fontId="36" fillId="9" borderId="64" xfId="0" applyNumberFormat="1" applyFont="1" applyFill="1" applyBorder="1" applyAlignment="1">
      <alignment horizontal="center" vertical="center"/>
    </xf>
    <xf numFmtId="1" fontId="36" fillId="9" borderId="64" xfId="0" quotePrefix="1" applyNumberFormat="1" applyFont="1" applyFill="1" applyBorder="1" applyAlignment="1">
      <alignment horizontal="center" vertical="center"/>
    </xf>
    <xf numFmtId="1" fontId="36" fillId="9" borderId="65" xfId="0" applyNumberFormat="1" applyFont="1" applyFill="1" applyBorder="1" applyAlignment="1">
      <alignment horizontal="center" vertical="center"/>
    </xf>
    <xf numFmtId="0" fontId="0" fillId="9" borderId="43" xfId="0" applyFill="1" applyBorder="1"/>
    <xf numFmtId="0" fontId="0" fillId="12" borderId="0" xfId="0" applyFill="1"/>
    <xf numFmtId="0" fontId="23" fillId="12" borderId="0" xfId="0" applyFont="1" applyFill="1" applyAlignment="1">
      <alignment horizontal="center" vertical="center" wrapText="1"/>
    </xf>
    <xf numFmtId="0" fontId="0" fillId="12" borderId="0" xfId="0" applyFill="1" applyAlignment="1">
      <alignment horizontal="center"/>
    </xf>
    <xf numFmtId="0" fontId="4" fillId="12" borderId="0" xfId="0" applyFont="1" applyFill="1"/>
    <xf numFmtId="0" fontId="23"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8" fillId="0" borderId="0" xfId="5" applyFont="1" applyAlignment="1" applyProtection="1">
      <alignment horizontal="left" vertical="top" wrapText="1"/>
    </xf>
    <xf numFmtId="0" fontId="22" fillId="0" borderId="0" xfId="0" applyFont="1" applyAlignment="1">
      <alignment horizontal="center"/>
    </xf>
    <xf numFmtId="0" fontId="22" fillId="0" borderId="0" xfId="0" applyFont="1"/>
    <xf numFmtId="0" fontId="0" fillId="0" borderId="0" xfId="0" applyAlignment="1">
      <alignment horizontal="left"/>
    </xf>
    <xf numFmtId="0" fontId="37" fillId="0" borderId="0" xfId="5" applyAlignment="1" applyProtection="1"/>
    <xf numFmtId="0" fontId="37" fillId="0" borderId="0" xfId="5" applyAlignment="1" applyProtection="1">
      <alignment horizontal="left"/>
    </xf>
    <xf numFmtId="0" fontId="4" fillId="0" borderId="0" xfId="3"/>
    <xf numFmtId="0" fontId="4" fillId="0" borderId="0" xfId="3" applyAlignment="1">
      <alignment horizontal="center"/>
    </xf>
    <xf numFmtId="0" fontId="4" fillId="9" borderId="38" xfId="3" applyFill="1" applyBorder="1"/>
    <xf numFmtId="0" fontId="18" fillId="9" borderId="39" xfId="3" applyFont="1" applyFill="1" applyBorder="1" applyAlignment="1">
      <alignment vertical="center"/>
    </xf>
    <xf numFmtId="0" fontId="4" fillId="9" borderId="39" xfId="3" applyFill="1" applyBorder="1" applyAlignment="1">
      <alignment horizontal="center"/>
    </xf>
    <xf numFmtId="0" fontId="19" fillId="9" borderId="40" xfId="3" applyFont="1" applyFill="1" applyBorder="1" applyAlignment="1" applyProtection="1">
      <alignment horizontal="center"/>
      <protection hidden="1"/>
    </xf>
    <xf numFmtId="0" fontId="4" fillId="9" borderId="41" xfId="3" applyFill="1" applyBorder="1"/>
    <xf numFmtId="0" fontId="18" fillId="9" borderId="0" xfId="3" applyFont="1" applyFill="1" applyAlignment="1">
      <alignment vertical="center"/>
    </xf>
    <xf numFmtId="0" fontId="4" fillId="9" borderId="0" xfId="3" applyFill="1" applyAlignment="1">
      <alignment horizontal="center"/>
    </xf>
    <xf numFmtId="0" fontId="21" fillId="9" borderId="0" xfId="3" applyFont="1" applyFill="1" applyAlignment="1">
      <alignment horizontal="left" indent="1"/>
    </xf>
    <xf numFmtId="0" fontId="4" fillId="9" borderId="41" xfId="3" applyFill="1" applyBorder="1" applyAlignment="1">
      <alignment horizontal="center" vertical="center"/>
    </xf>
    <xf numFmtId="0" fontId="4" fillId="9" borderId="0" xfId="3" applyFill="1" applyAlignment="1">
      <alignment horizontal="right"/>
    </xf>
    <xf numFmtId="0" fontId="22" fillId="9" borderId="0" xfId="3" applyFont="1" applyFill="1" applyAlignment="1">
      <alignment vertical="center" wrapText="1"/>
    </xf>
    <xf numFmtId="0" fontId="4" fillId="9" borderId="42" xfId="3" applyFill="1" applyBorder="1" applyAlignment="1">
      <alignment horizontal="center" vertical="center"/>
    </xf>
    <xf numFmtId="0" fontId="4" fillId="0" borderId="0" xfId="3" applyAlignment="1">
      <alignment horizontal="center" vertical="center"/>
    </xf>
    <xf numFmtId="0" fontId="22" fillId="9" borderId="0" xfId="3" applyFont="1" applyFill="1" applyAlignment="1">
      <alignment horizontal="right" vertical="center"/>
    </xf>
    <xf numFmtId="0" fontId="22" fillId="9" borderId="0" xfId="3" applyFont="1" applyFill="1" applyAlignment="1">
      <alignment horizontal="right"/>
    </xf>
    <xf numFmtId="0" fontId="22" fillId="9" borderId="0" xfId="3" applyFont="1" applyFill="1" applyAlignment="1">
      <alignment vertical="center"/>
    </xf>
    <xf numFmtId="0" fontId="4" fillId="9" borderId="0" xfId="3" applyFill="1"/>
    <xf numFmtId="0" fontId="23" fillId="9" borderId="0" xfId="3" applyFont="1" applyFill="1" applyAlignment="1">
      <alignment vertical="top" wrapText="1"/>
    </xf>
    <xf numFmtId="0" fontId="23" fillId="9" borderId="42" xfId="3" applyFont="1" applyFill="1" applyBorder="1" applyAlignment="1">
      <alignment vertical="top" wrapText="1"/>
    </xf>
    <xf numFmtId="0" fontId="4" fillId="9" borderId="0" xfId="3" applyFill="1" applyAlignment="1">
      <alignment horizontal="center" vertical="center"/>
    </xf>
    <xf numFmtId="0" fontId="4" fillId="9" borderId="0" xfId="3" applyFill="1" applyAlignment="1">
      <alignment horizontal="right" vertical="center"/>
    </xf>
    <xf numFmtId="0" fontId="25" fillId="9" borderId="0" xfId="3" applyFont="1" applyFill="1" applyAlignment="1">
      <alignment horizontal="right" vertical="center"/>
    </xf>
    <xf numFmtId="2" fontId="25" fillId="9" borderId="1" xfId="3" applyNumberFormat="1" applyFont="1" applyFill="1" applyBorder="1" applyAlignment="1">
      <alignment horizontal="center" vertical="center"/>
    </xf>
    <xf numFmtId="0" fontId="4" fillId="9" borderId="43" xfId="3" applyFill="1" applyBorder="1" applyAlignment="1">
      <alignment horizontal="center" vertical="center"/>
    </xf>
    <xf numFmtId="0" fontId="4" fillId="9" borderId="44" xfId="3" applyFill="1" applyBorder="1" applyAlignment="1">
      <alignment horizontal="right" vertical="center"/>
    </xf>
    <xf numFmtId="0" fontId="4" fillId="9" borderId="44" xfId="3" applyFill="1" applyBorder="1" applyAlignment="1">
      <alignment horizontal="center" vertical="center"/>
    </xf>
    <xf numFmtId="0" fontId="23" fillId="9" borderId="44" xfId="3" applyFont="1" applyFill="1" applyBorder="1" applyAlignment="1">
      <alignment vertical="top" wrapText="1"/>
    </xf>
    <xf numFmtId="0" fontId="4" fillId="10" borderId="38" xfId="3" applyFill="1" applyBorder="1" applyAlignment="1">
      <alignment horizontal="center" vertical="center"/>
    </xf>
    <xf numFmtId="0" fontId="18" fillId="10" borderId="39" xfId="3" applyFont="1" applyFill="1" applyBorder="1" applyAlignment="1">
      <alignment vertical="center"/>
    </xf>
    <xf numFmtId="0" fontId="4" fillId="10" borderId="39" xfId="3" applyFill="1" applyBorder="1" applyAlignment="1">
      <alignment horizontal="center" vertical="center"/>
    </xf>
    <xf numFmtId="0" fontId="25" fillId="10" borderId="39" xfId="3" applyFont="1" applyFill="1" applyBorder="1" applyAlignment="1">
      <alignment horizontal="center" vertical="center"/>
    </xf>
    <xf numFmtId="0" fontId="25" fillId="10" borderId="0" xfId="3" applyFont="1" applyFill="1" applyAlignment="1">
      <alignment horizontal="center" vertical="center"/>
    </xf>
    <xf numFmtId="0" fontId="23" fillId="10" borderId="40" xfId="3" applyFont="1" applyFill="1" applyBorder="1" applyAlignment="1">
      <alignment horizontal="left" vertical="top" wrapText="1"/>
    </xf>
    <xf numFmtId="0" fontId="4" fillId="10" borderId="41" xfId="3" applyFill="1" applyBorder="1" applyAlignment="1">
      <alignment horizontal="center" vertical="center"/>
    </xf>
    <xf numFmtId="0" fontId="18" fillId="10" borderId="0" xfId="3" applyFont="1" applyFill="1" applyAlignment="1">
      <alignment vertical="center"/>
    </xf>
    <xf numFmtId="0" fontId="4" fillId="10" borderId="0" xfId="3" applyFill="1" applyAlignment="1">
      <alignment horizontal="center" vertical="center"/>
    </xf>
    <xf numFmtId="0" fontId="25" fillId="10" borderId="0" xfId="3" applyFont="1" applyFill="1" applyAlignment="1">
      <alignment horizontal="right" vertical="center"/>
    </xf>
    <xf numFmtId="0" fontId="25" fillId="10" borderId="46" xfId="3" quotePrefix="1" applyFont="1" applyFill="1" applyBorder="1" applyAlignment="1">
      <alignment horizontal="left" vertical="center"/>
    </xf>
    <xf numFmtId="2" fontId="25" fillId="10" borderId="47" xfId="3" applyNumberFormat="1" applyFont="1" applyFill="1" applyBorder="1" applyAlignment="1">
      <alignment horizontal="center" vertical="center"/>
    </xf>
    <xf numFmtId="0" fontId="23" fillId="10" borderId="42" xfId="3" applyFont="1" applyFill="1" applyBorder="1" applyAlignment="1">
      <alignment horizontal="left" vertical="top" wrapText="1"/>
    </xf>
    <xf numFmtId="0" fontId="26" fillId="10" borderId="0" xfId="3" applyFont="1" applyFill="1" applyAlignment="1">
      <alignment vertical="top" wrapText="1"/>
    </xf>
    <xf numFmtId="0" fontId="22" fillId="10" borderId="0" xfId="3" applyFont="1" applyFill="1" applyAlignment="1">
      <alignment horizontal="center" vertical="center"/>
    </xf>
    <xf numFmtId="0" fontId="25" fillId="10" borderId="48" xfId="3" applyFont="1" applyFill="1" applyBorder="1" applyAlignment="1">
      <alignment horizontal="left" vertical="center"/>
    </xf>
    <xf numFmtId="2" fontId="25" fillId="10" borderId="49" xfId="3" applyNumberFormat="1" applyFont="1" applyFill="1" applyBorder="1" applyAlignment="1">
      <alignment horizontal="center" vertical="center"/>
    </xf>
    <xf numFmtId="0" fontId="23" fillId="10" borderId="42" xfId="3" applyFont="1" applyFill="1" applyBorder="1" applyAlignment="1">
      <alignment vertical="top" wrapText="1"/>
    </xf>
    <xf numFmtId="0" fontId="27" fillId="10" borderId="6" xfId="3" applyFont="1" applyFill="1" applyBorder="1" applyAlignment="1">
      <alignment horizontal="center" vertical="center"/>
    </xf>
    <xf numFmtId="2" fontId="25" fillId="10" borderId="50" xfId="3" applyNumberFormat="1" applyFont="1" applyFill="1" applyBorder="1" applyAlignment="1">
      <alignment horizontal="center" vertical="center"/>
    </xf>
    <xf numFmtId="0" fontId="25" fillId="10" borderId="51" xfId="3" applyFont="1" applyFill="1" applyBorder="1" applyAlignment="1">
      <alignment horizontal="left" vertical="center"/>
    </xf>
    <xf numFmtId="2" fontId="25" fillId="10" borderId="52" xfId="3" applyNumberFormat="1" applyFont="1" applyFill="1" applyBorder="1" applyAlignment="1">
      <alignment horizontal="center" vertical="center"/>
    </xf>
    <xf numFmtId="0" fontId="21" fillId="10" borderId="0" xfId="3" applyFont="1" applyFill="1" applyAlignment="1">
      <alignment horizontal="left" indent="1"/>
    </xf>
    <xf numFmtId="0" fontId="12" fillId="10" borderId="0" xfId="3" applyFont="1" applyFill="1" applyAlignment="1">
      <alignment horizontal="right" vertical="center"/>
    </xf>
    <xf numFmtId="0" fontId="21" fillId="10" borderId="0" xfId="3" applyFont="1" applyFill="1" applyAlignment="1">
      <alignment horizontal="center" vertical="center"/>
    </xf>
    <xf numFmtId="0" fontId="12" fillId="10" borderId="0" xfId="3" applyFont="1" applyFill="1" applyAlignment="1">
      <alignment horizontal="center" vertical="center"/>
    </xf>
    <xf numFmtId="2" fontId="4" fillId="10" borderId="0" xfId="3" applyNumberFormat="1" applyFill="1" applyAlignment="1">
      <alignment horizontal="center" vertical="center"/>
    </xf>
    <xf numFmtId="166" fontId="25"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4" fillId="10" borderId="43" xfId="3" applyFill="1" applyBorder="1"/>
    <xf numFmtId="0" fontId="21" fillId="10" borderId="44" xfId="3" applyFont="1" applyFill="1" applyBorder="1" applyAlignment="1">
      <alignment horizontal="left" indent="1"/>
    </xf>
    <xf numFmtId="0" fontId="39" fillId="10" borderId="44" xfId="3" applyFont="1" applyFill="1" applyBorder="1" applyAlignment="1">
      <alignment horizontal="left" indent="1"/>
    </xf>
    <xf numFmtId="0" fontId="23" fillId="10" borderId="44" xfId="3" applyFont="1" applyFill="1" applyBorder="1" applyAlignment="1">
      <alignment vertical="center" wrapText="1"/>
    </xf>
    <xf numFmtId="0" fontId="4" fillId="11" borderId="38" xfId="3" applyFill="1" applyBorder="1"/>
    <xf numFmtId="0" fontId="18" fillId="11" borderId="39" xfId="3" applyFont="1" applyFill="1" applyBorder="1" applyAlignment="1">
      <alignment vertical="center"/>
    </xf>
    <xf numFmtId="0" fontId="12" fillId="11" borderId="39" xfId="3" applyFont="1" applyFill="1" applyBorder="1" applyAlignment="1">
      <alignment horizontal="right" vertical="center"/>
    </xf>
    <xf numFmtId="0" fontId="12" fillId="11" borderId="39" xfId="3" applyFont="1" applyFill="1" applyBorder="1" applyAlignment="1">
      <alignment horizontal="center" vertical="center"/>
    </xf>
    <xf numFmtId="0" fontId="23" fillId="11" borderId="39" xfId="3" applyFont="1" applyFill="1" applyBorder="1" applyAlignment="1">
      <alignment horizontal="left" vertical="center" wrapText="1"/>
    </xf>
    <xf numFmtId="0" fontId="4" fillId="11" borderId="41" xfId="3" applyFill="1" applyBorder="1"/>
    <xf numFmtId="0" fontId="12" fillId="11" borderId="0" xfId="3" applyFont="1" applyFill="1" applyAlignment="1">
      <alignment horizontal="right" vertical="center"/>
    </xf>
    <xf numFmtId="0" fontId="21" fillId="11" borderId="0" xfId="3" applyFont="1" applyFill="1" applyAlignment="1">
      <alignment horizontal="left" indent="1"/>
    </xf>
    <xf numFmtId="0" fontId="4" fillId="11" borderId="0" xfId="3" applyFill="1" applyAlignment="1">
      <alignment horizontal="center"/>
    </xf>
    <xf numFmtId="0" fontId="23" fillId="11" borderId="0" xfId="3" applyFont="1" applyFill="1" applyAlignment="1">
      <alignment vertical="top" wrapText="1"/>
    </xf>
    <xf numFmtId="0" fontId="23" fillId="11" borderId="42" xfId="3" applyFont="1" applyFill="1" applyBorder="1" applyAlignment="1">
      <alignment horizontal="left" vertical="center" wrapText="1"/>
    </xf>
    <xf numFmtId="0" fontId="4" fillId="11" borderId="0" xfId="3" applyFill="1" applyAlignment="1">
      <alignment horizontal="right" vertical="center" wrapText="1"/>
    </xf>
    <xf numFmtId="1" fontId="4" fillId="11" borderId="55" xfId="3" applyNumberFormat="1" applyFill="1" applyBorder="1" applyAlignment="1">
      <alignment horizontal="center" vertical="center"/>
    </xf>
    <xf numFmtId="1" fontId="4" fillId="11" borderId="56" xfId="3" applyNumberFormat="1" applyFill="1" applyBorder="1" applyAlignment="1">
      <alignment horizontal="center" vertical="center"/>
    </xf>
    <xf numFmtId="2" fontId="29" fillId="11" borderId="57" xfId="3" applyNumberFormat="1" applyFont="1" applyFill="1" applyBorder="1" applyAlignment="1">
      <alignment horizontal="center" vertical="center"/>
    </xf>
    <xf numFmtId="1" fontId="30" fillId="11" borderId="58" xfId="3" applyNumberFormat="1" applyFont="1" applyFill="1" applyBorder="1" applyAlignment="1">
      <alignment horizontal="center" vertical="center"/>
    </xf>
    <xf numFmtId="0" fontId="4" fillId="11" borderId="43" xfId="3" applyFill="1" applyBorder="1"/>
    <xf numFmtId="0" fontId="23" fillId="11" borderId="44" xfId="3" applyFont="1" applyFill="1" applyBorder="1" applyAlignment="1">
      <alignment vertical="center" wrapText="1"/>
    </xf>
    <xf numFmtId="0" fontId="23" fillId="11" borderId="44" xfId="3" applyFont="1" applyFill="1" applyBorder="1" applyAlignment="1">
      <alignment vertical="center"/>
    </xf>
    <xf numFmtId="0" fontId="4" fillId="2" borderId="38" xfId="3" applyFill="1" applyBorder="1"/>
    <xf numFmtId="0" fontId="18" fillId="2" borderId="39" xfId="3" applyFont="1" applyFill="1" applyBorder="1" applyAlignment="1">
      <alignment vertical="center"/>
    </xf>
    <xf numFmtId="0" fontId="4" fillId="2" borderId="39" xfId="3" applyFill="1" applyBorder="1" applyAlignment="1">
      <alignment horizontal="center"/>
    </xf>
    <xf numFmtId="0" fontId="31" fillId="2" borderId="39" xfId="3" applyFont="1" applyFill="1" applyBorder="1" applyAlignment="1">
      <alignment horizontal="center"/>
    </xf>
    <xf numFmtId="0" fontId="4" fillId="2" borderId="39" xfId="3" applyFill="1" applyBorder="1" applyAlignment="1">
      <alignment horizontal="center" vertical="center"/>
    </xf>
    <xf numFmtId="0" fontId="4" fillId="2" borderId="40" xfId="3" applyFill="1" applyBorder="1" applyAlignment="1">
      <alignment horizontal="center"/>
    </xf>
    <xf numFmtId="0" fontId="4" fillId="2" borderId="41" xfId="3" applyFill="1" applyBorder="1"/>
    <xf numFmtId="0" fontId="21" fillId="2" borderId="0" xfId="3" applyFont="1" applyFill="1" applyAlignment="1">
      <alignment horizontal="left" indent="1"/>
    </xf>
    <xf numFmtId="0" fontId="4" fillId="2" borderId="0" xfId="3" applyFill="1" applyAlignment="1">
      <alignment horizontal="center"/>
    </xf>
    <xf numFmtId="0" fontId="4" fillId="2" borderId="0" xfId="3" applyFill="1" applyAlignment="1">
      <alignment horizontal="center" vertical="center"/>
    </xf>
    <xf numFmtId="0" fontId="4" fillId="2" borderId="0" xfId="3" applyFill="1"/>
    <xf numFmtId="0" fontId="4" fillId="2" borderId="42" xfId="3" applyFill="1" applyBorder="1" applyAlignment="1">
      <alignment horizontal="center"/>
    </xf>
    <xf numFmtId="0" fontId="12" fillId="2" borderId="0" xfId="3" applyFont="1" applyFill="1" applyAlignment="1">
      <alignment horizontal="left" indent="3"/>
    </xf>
    <xf numFmtId="0" fontId="4" fillId="2" borderId="0" xfId="3" applyFill="1" applyAlignment="1">
      <alignment horizontal="right" vertical="center"/>
    </xf>
    <xf numFmtId="166" fontId="4" fillId="2" borderId="0" xfId="3" applyNumberFormat="1" applyFill="1" applyAlignment="1">
      <alignment horizontal="right" vertical="center"/>
    </xf>
    <xf numFmtId="0" fontId="4" fillId="2" borderId="41" xfId="3" applyFill="1" applyBorder="1" applyAlignment="1">
      <alignment horizontal="center" vertical="center"/>
    </xf>
    <xf numFmtId="0" fontId="4" fillId="2" borderId="42" xfId="3" applyFill="1" applyBorder="1" applyAlignment="1">
      <alignment horizontal="center" vertical="center"/>
    </xf>
    <xf numFmtId="166" fontId="25" fillId="2" borderId="0" xfId="3" applyNumberFormat="1" applyFont="1" applyFill="1" applyAlignment="1">
      <alignment horizontal="right" vertical="center"/>
    </xf>
    <xf numFmtId="166" fontId="25"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3" fillId="2" borderId="1" xfId="3" applyNumberFormat="1" applyFont="1" applyFill="1" applyBorder="1" applyAlignment="1">
      <alignment horizontal="center" vertical="center"/>
    </xf>
    <xf numFmtId="166" fontId="3"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42"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44" xfId="3" applyNumberFormat="1" applyFont="1" applyFill="1" applyBorder="1" applyAlignment="1">
      <alignment vertical="top" wrapText="1"/>
    </xf>
    <xf numFmtId="166" fontId="12" fillId="2" borderId="45" xfId="3" applyNumberFormat="1" applyFont="1" applyFill="1" applyBorder="1" applyAlignment="1">
      <alignment vertical="top" wrapText="1"/>
    </xf>
    <xf numFmtId="0" fontId="4" fillId="2" borderId="38" xfId="3" applyFill="1" applyBorder="1" applyAlignment="1">
      <alignment horizontal="center" vertical="center"/>
    </xf>
    <xf numFmtId="166" fontId="3" fillId="2" borderId="39" xfId="3" applyNumberFormat="1" applyFont="1" applyFill="1" applyBorder="1" applyAlignment="1">
      <alignment horizontal="center" vertical="center"/>
    </xf>
    <xf numFmtId="0" fontId="33" fillId="2" borderId="0" xfId="3" applyFont="1" applyFill="1" applyAlignment="1">
      <alignment horizontal="center"/>
    </xf>
    <xf numFmtId="0" fontId="33" fillId="2" borderId="0" xfId="3" applyFont="1" applyFill="1" applyAlignment="1">
      <alignment horizontal="center" vertical="center"/>
    </xf>
    <xf numFmtId="166" fontId="23" fillId="2" borderId="0" xfId="3" applyNumberFormat="1" applyFont="1" applyFill="1" applyAlignment="1">
      <alignment vertical="center" wrapText="1"/>
    </xf>
    <xf numFmtId="0" fontId="4" fillId="2" borderId="44" xfId="3" applyFill="1" applyBorder="1" applyAlignment="1">
      <alignment horizontal="center"/>
    </xf>
    <xf numFmtId="0" fontId="4" fillId="2" borderId="44" xfId="3" applyFill="1" applyBorder="1"/>
    <xf numFmtId="0" fontId="35" fillId="2" borderId="44" xfId="3" applyFont="1" applyFill="1" applyBorder="1" applyAlignment="1">
      <alignment horizontal="left" vertical="center"/>
    </xf>
    <xf numFmtId="0" fontId="4" fillId="2" borderId="45" xfId="3" applyFill="1" applyBorder="1"/>
    <xf numFmtId="0" fontId="4" fillId="9" borderId="40" xfId="3" applyFill="1" applyBorder="1" applyAlignment="1">
      <alignment horizontal="center"/>
    </xf>
    <xf numFmtId="0" fontId="4" fillId="9" borderId="42" xfId="3" applyFill="1" applyBorder="1" applyAlignment="1">
      <alignment horizontal="center"/>
    </xf>
    <xf numFmtId="0" fontId="4" fillId="0" borderId="0" xfId="3" applyAlignment="1">
      <alignment vertical="center"/>
    </xf>
    <xf numFmtId="0" fontId="4" fillId="9" borderId="41" xfId="3" applyFill="1" applyBorder="1" applyAlignment="1">
      <alignment vertical="center"/>
    </xf>
    <xf numFmtId="0" fontId="21" fillId="9" borderId="0" xfId="3" applyFont="1" applyFill="1" applyAlignment="1">
      <alignment horizontal="left" vertical="center" indent="1"/>
    </xf>
    <xf numFmtId="1" fontId="4" fillId="9" borderId="59" xfId="3" applyNumberFormat="1" applyFill="1" applyBorder="1" applyAlignment="1">
      <alignment horizontal="center" vertical="center"/>
    </xf>
    <xf numFmtId="1" fontId="3" fillId="9" borderId="36" xfId="3" applyNumberFormat="1" applyFont="1" applyFill="1" applyBorder="1" applyAlignment="1">
      <alignment horizontal="center" vertical="center"/>
    </xf>
    <xf numFmtId="0" fontId="12" fillId="9" borderId="0" xfId="3" applyFont="1" applyFill="1" applyAlignment="1">
      <alignment horizontal="right" vertical="center"/>
    </xf>
    <xf numFmtId="1" fontId="36" fillId="9" borderId="64" xfId="3" applyNumberFormat="1" applyFont="1" applyFill="1" applyBorder="1" applyAlignment="1">
      <alignment horizontal="center" vertical="center"/>
    </xf>
    <xf numFmtId="1" fontId="36" fillId="9" borderId="64" xfId="3" quotePrefix="1" applyNumberFormat="1" applyFont="1" applyFill="1" applyBorder="1" applyAlignment="1">
      <alignment horizontal="center" vertical="center"/>
    </xf>
    <xf numFmtId="1" fontId="36" fillId="9" borderId="65" xfId="3" applyNumberFormat="1" applyFont="1" applyFill="1" applyBorder="1" applyAlignment="1">
      <alignment horizontal="center" vertical="center"/>
    </xf>
    <xf numFmtId="0" fontId="4" fillId="9" borderId="43" xfId="3" applyFill="1" applyBorder="1"/>
    <xf numFmtId="0" fontId="4" fillId="12" borderId="0" xfId="3" applyFill="1"/>
    <xf numFmtId="0" fontId="23" fillId="12" borderId="0" xfId="3" applyFont="1" applyFill="1" applyAlignment="1">
      <alignment horizontal="center" vertical="center" wrapText="1"/>
    </xf>
    <xf numFmtId="0" fontId="4" fillId="12" borderId="0" xfId="3" applyFill="1" applyAlignment="1">
      <alignment horizontal="center"/>
    </xf>
    <xf numFmtId="0" fontId="23"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2" fillId="0" borderId="0" xfId="3" applyFont="1"/>
    <xf numFmtId="0" fontId="4" fillId="0" borderId="0" xfId="3" applyAlignment="1">
      <alignment horizontal="left"/>
    </xf>
    <xf numFmtId="0" fontId="22" fillId="0" borderId="0" xfId="3" applyFont="1" applyAlignment="1">
      <alignment horizontal="center"/>
    </xf>
    <xf numFmtId="0" fontId="4"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1" fontId="0" fillId="0" borderId="0" xfId="0" applyNumberFormat="1" applyAlignment="1">
      <alignment horizontal="center"/>
    </xf>
    <xf numFmtId="0" fontId="2" fillId="0" borderId="0" xfId="6"/>
    <xf numFmtId="0" fontId="13" fillId="0" borderId="0" xfId="6" applyFont="1" applyAlignment="1">
      <alignment horizontal="center"/>
    </xf>
    <xf numFmtId="0" fontId="2" fillId="13" borderId="0" xfId="6" applyFill="1"/>
    <xf numFmtId="0" fontId="40" fillId="0" borderId="0" xfId="6" applyFont="1"/>
    <xf numFmtId="0" fontId="13" fillId="0" borderId="0" xfId="6" applyFont="1"/>
    <xf numFmtId="0" fontId="41" fillId="0" borderId="0" xfId="6" applyFont="1"/>
    <xf numFmtId="0" fontId="2" fillId="13" borderId="1" xfId="6" applyFill="1" applyBorder="1"/>
    <xf numFmtId="0" fontId="13" fillId="0" borderId="68" xfId="6" applyFont="1" applyBorder="1" applyAlignment="1">
      <alignment horizontal="right"/>
    </xf>
    <xf numFmtId="2" fontId="13" fillId="13" borderId="69" xfId="6" applyNumberFormat="1" applyFont="1" applyFill="1" applyBorder="1" applyAlignment="1">
      <alignment horizontal="center"/>
    </xf>
    <xf numFmtId="0" fontId="13" fillId="0" borderId="70" xfId="6" applyFont="1" applyBorder="1"/>
    <xf numFmtId="0" fontId="45" fillId="0" borderId="0" xfId="7"/>
    <xf numFmtId="164" fontId="2" fillId="0" borderId="0" xfId="6" applyNumberFormat="1"/>
    <xf numFmtId="11" fontId="2" fillId="0" borderId="0" xfId="6" applyNumberFormat="1"/>
    <xf numFmtId="0" fontId="0" fillId="8" borderId="9" xfId="0" applyFill="1" applyBorder="1" applyAlignment="1" applyProtection="1">
      <alignment horizontal="center"/>
      <protection locked="0"/>
    </xf>
    <xf numFmtId="0" fontId="0" fillId="8" borderId="1" xfId="0" applyFill="1" applyBorder="1" applyProtection="1">
      <protection locked="0"/>
    </xf>
    <xf numFmtId="164" fontId="0" fillId="8" borderId="1" xfId="0" applyNumberFormat="1" applyFill="1" applyBorder="1" applyProtection="1">
      <protection locked="0"/>
    </xf>
    <xf numFmtId="0" fontId="4" fillId="0" borderId="0" xfId="0" applyFont="1" applyAlignment="1">
      <alignment textRotation="90"/>
    </xf>
    <xf numFmtId="0" fontId="14" fillId="0" borderId="0" xfId="0" applyFont="1" applyAlignment="1">
      <alignment horizontal="center" vertical="center"/>
    </xf>
    <xf numFmtId="0" fontId="14" fillId="0" borderId="12" xfId="0" applyFont="1" applyBorder="1"/>
    <xf numFmtId="0" fontId="14" fillId="0" borderId="8" xfId="0" applyFont="1" applyBorder="1"/>
    <xf numFmtId="0" fontId="14" fillId="0" borderId="10" xfId="0" applyFont="1" applyBorder="1" applyAlignment="1">
      <alignment horizontal="right"/>
    </xf>
    <xf numFmtId="0" fontId="14" fillId="0" borderId="10" xfId="0" applyFont="1" applyBorder="1" applyAlignment="1">
      <alignment horizontal="center"/>
    </xf>
    <xf numFmtId="2" fontId="14" fillId="7" borderId="1" xfId="0" applyNumberFormat="1" applyFont="1" applyFill="1" applyBorder="1" applyAlignment="1">
      <alignment horizontal="center" vertical="center"/>
    </xf>
    <xf numFmtId="166" fontId="14" fillId="12" borderId="32" xfId="0" applyNumberFormat="1" applyFont="1" applyFill="1" applyBorder="1" applyAlignment="1">
      <alignment horizontal="center" vertical="center"/>
    </xf>
    <xf numFmtId="0" fontId="14" fillId="0" borderId="10" xfId="0" applyFont="1" applyBorder="1"/>
    <xf numFmtId="0" fontId="14" fillId="7" borderId="7" xfId="0" applyFont="1" applyFill="1" applyBorder="1" applyAlignment="1">
      <alignment horizontal="center" shrinkToFit="1"/>
    </xf>
    <xf numFmtId="0" fontId="22" fillId="0" borderId="1" xfId="0" applyFont="1" applyBorder="1" applyAlignment="1">
      <alignment horizontal="center" vertical="center"/>
    </xf>
    <xf numFmtId="166" fontId="0" fillId="7" borderId="1" xfId="0" applyNumberFormat="1" applyFill="1" applyBorder="1" applyAlignment="1">
      <alignment horizontal="center" vertical="center"/>
    </xf>
    <xf numFmtId="166" fontId="14" fillId="2" borderId="1" xfId="0" applyNumberFormat="1" applyFont="1" applyFill="1" applyBorder="1" applyAlignment="1" applyProtection="1">
      <alignment horizontal="center" vertical="center"/>
      <protection locked="0"/>
    </xf>
    <xf numFmtId="49" fontId="0" fillId="6" borderId="1" xfId="0" applyNumberFormat="1" applyFill="1" applyBorder="1" applyAlignment="1" applyProtection="1">
      <alignment horizontal="center"/>
      <protection locked="0"/>
    </xf>
    <xf numFmtId="0" fontId="27" fillId="10" borderId="6"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4" fillId="0" borderId="1" xfId="4" applyNumberFormat="1" applyBorder="1" applyAlignment="1" applyProtection="1">
      <alignment horizontal="center" vertical="center"/>
      <protection locked="0"/>
    </xf>
    <xf numFmtId="0" fontId="0" fillId="0" borderId="0" xfId="0" applyAlignment="1">
      <alignment horizontal="right" vertical="center"/>
    </xf>
    <xf numFmtId="0" fontId="4" fillId="0" borderId="1" xfId="0" applyFont="1" applyBorder="1" applyAlignment="1">
      <alignment horizontal="right" vertical="center"/>
    </xf>
    <xf numFmtId="9" fontId="0" fillId="6" borderId="1" xfId="1" applyFont="1" applyFill="1" applyBorder="1" applyAlignment="1" applyProtection="1">
      <alignment horizontal="center" vertical="center"/>
      <protection locked="0"/>
    </xf>
    <xf numFmtId="0" fontId="0" fillId="0" borderId="1" xfId="0" applyBorder="1" applyAlignment="1">
      <alignment horizontal="right" vertical="center"/>
    </xf>
    <xf numFmtId="49" fontId="0" fillId="6" borderId="73" xfId="0" applyNumberFormat="1" applyFill="1" applyBorder="1" applyAlignment="1" applyProtection="1">
      <alignment horizontal="center"/>
      <protection locked="0"/>
    </xf>
    <xf numFmtId="49" fontId="0" fillId="6" borderId="75" xfId="0" applyNumberFormat="1" applyFill="1" applyBorder="1" applyAlignment="1" applyProtection="1">
      <alignment horizontal="left" vertical="top"/>
      <protection locked="0"/>
    </xf>
    <xf numFmtId="49" fontId="0" fillId="6" borderId="73" xfId="0" applyNumberFormat="1" applyFill="1" applyBorder="1" applyAlignment="1" applyProtection="1">
      <alignment horizontal="left" vertical="center"/>
      <protection locked="0"/>
    </xf>
    <xf numFmtId="49" fontId="0" fillId="6" borderId="74" xfId="0" applyNumberFormat="1" applyFill="1" applyBorder="1" applyAlignment="1" applyProtection="1">
      <alignment horizontal="left" vertical="center"/>
      <protection locked="0"/>
    </xf>
    <xf numFmtId="0" fontId="4" fillId="0" borderId="0" xfId="0" applyFont="1" applyAlignment="1" applyProtection="1">
      <alignment horizontal="center"/>
      <protection locked="0"/>
    </xf>
    <xf numFmtId="49" fontId="4" fillId="6" borderId="73" xfId="0" applyNumberFormat="1" applyFont="1" applyFill="1" applyBorder="1" applyAlignment="1" applyProtection="1">
      <alignment horizontal="left" vertical="center"/>
      <protection locked="0"/>
    </xf>
    <xf numFmtId="49" fontId="4" fillId="6" borderId="74" xfId="0" applyNumberFormat="1" applyFont="1" applyFill="1" applyBorder="1" applyAlignment="1" applyProtection="1">
      <alignment horizontal="left" vertical="top"/>
      <protection locked="0"/>
    </xf>
    <xf numFmtId="49" fontId="4" fillId="6" borderId="75" xfId="0" applyNumberFormat="1" applyFont="1" applyFill="1" applyBorder="1" applyAlignment="1" applyProtection="1">
      <alignment horizontal="left" vertical="top"/>
      <protection locked="0"/>
    </xf>
    <xf numFmtId="0" fontId="32" fillId="2" borderId="0" xfId="0" applyFont="1" applyFill="1" applyAlignment="1" applyProtection="1">
      <alignment horizontal="center" vertical="center"/>
      <protection locked="0"/>
    </xf>
    <xf numFmtId="0" fontId="32" fillId="2" borderId="0" xfId="3" applyFont="1" applyFill="1" applyAlignment="1" applyProtection="1">
      <alignment horizontal="center" vertical="center"/>
      <protection locked="0"/>
    </xf>
    <xf numFmtId="0" fontId="4" fillId="10" borderId="1" xfId="3" applyFill="1" applyBorder="1" applyAlignment="1" applyProtection="1">
      <alignment horizontal="center" vertical="center"/>
      <protection locked="0"/>
    </xf>
    <xf numFmtId="2" fontId="14" fillId="14" borderId="1" xfId="0" applyNumberFormat="1" applyFont="1" applyFill="1" applyBorder="1" applyAlignment="1">
      <alignment horizontal="center"/>
    </xf>
    <xf numFmtId="2" fontId="0" fillId="6" borderId="1" xfId="1" applyNumberFormat="1" applyFont="1" applyFill="1" applyBorder="1" applyAlignment="1" applyProtection="1">
      <alignment horizontal="center" vertical="center"/>
      <protection locked="0"/>
    </xf>
    <xf numFmtId="0" fontId="0" fillId="5" borderId="1" xfId="0" applyFill="1" applyBorder="1"/>
    <xf numFmtId="166" fontId="0" fillId="5" borderId="1" xfId="0" applyNumberFormat="1" applyFill="1" applyBorder="1"/>
    <xf numFmtId="164" fontId="0" fillId="5" borderId="1" xfId="0" applyNumberFormat="1" applyFill="1" applyBorder="1"/>
    <xf numFmtId="167" fontId="14" fillId="7" borderId="1" xfId="1" applyNumberFormat="1" applyFont="1" applyFill="1" applyBorder="1" applyAlignment="1">
      <alignment horizontal="center" vertical="center" shrinkToFit="1"/>
    </xf>
    <xf numFmtId="167" fontId="14" fillId="7" borderId="1" xfId="0" applyNumberFormat="1" applyFont="1" applyFill="1" applyBorder="1" applyAlignment="1">
      <alignment horizontal="center" vertical="center" shrinkToFit="1"/>
    </xf>
    <xf numFmtId="164" fontId="14" fillId="7" borderId="8" xfId="0" applyNumberFormat="1" applyFont="1" applyFill="1" applyBorder="1" applyAlignment="1">
      <alignment horizontal="center" vertical="center" shrinkToFit="1"/>
    </xf>
    <xf numFmtId="166" fontId="14" fillId="7" borderId="1" xfId="0" applyNumberFormat="1" applyFont="1" applyFill="1" applyBorder="1" applyAlignment="1">
      <alignment horizontal="center" vertical="center" shrinkToFit="1"/>
    </xf>
    <xf numFmtId="1" fontId="14" fillId="7" borderId="1" xfId="0" applyNumberFormat="1" applyFont="1" applyFill="1" applyBorder="1" applyAlignment="1">
      <alignment horizontal="center" vertical="center" shrinkToFit="1"/>
    </xf>
    <xf numFmtId="166" fontId="14" fillId="7" borderId="1" xfId="1" applyNumberFormat="1" applyFont="1" applyFill="1" applyBorder="1" applyAlignment="1">
      <alignment horizontal="center" vertical="center" shrinkToFit="1"/>
    </xf>
    <xf numFmtId="2" fontId="4" fillId="5" borderId="10" xfId="0" applyNumberFormat="1" applyFont="1" applyFill="1" applyBorder="1" applyAlignment="1">
      <alignment horizontal="center"/>
    </xf>
    <xf numFmtId="166" fontId="4" fillId="0" borderId="0" xfId="0" applyNumberFormat="1" applyFont="1" applyAlignment="1">
      <alignment horizontal="center"/>
    </xf>
    <xf numFmtId="166" fontId="4" fillId="0" borderId="9" xfId="0" applyNumberFormat="1" applyFont="1" applyBorder="1" applyAlignment="1">
      <alignment horizontal="center"/>
    </xf>
    <xf numFmtId="0" fontId="4"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4" fillId="0" borderId="0" xfId="0" quotePrefix="1" applyFont="1"/>
    <xf numFmtId="0" fontId="4" fillId="0" borderId="1" xfId="3" applyBorder="1" applyAlignment="1" applyProtection="1">
      <alignment horizontal="center" vertical="center"/>
      <protection locked="0"/>
    </xf>
    <xf numFmtId="0" fontId="2" fillId="8" borderId="1" xfId="6" applyFill="1" applyBorder="1" applyProtection="1">
      <protection locked="0"/>
    </xf>
    <xf numFmtId="164" fontId="2" fillId="8" borderId="1" xfId="6" applyNumberFormat="1" applyFill="1" applyBorder="1" applyProtection="1">
      <protection locked="0"/>
    </xf>
    <xf numFmtId="2" fontId="2" fillId="8" borderId="1" xfId="6" applyNumberFormat="1" applyFill="1" applyBorder="1" applyProtection="1">
      <protection locked="0"/>
    </xf>
    <xf numFmtId="11" fontId="2" fillId="8" borderId="1" xfId="6" applyNumberFormat="1" applyFill="1" applyBorder="1" applyProtection="1">
      <protection locked="0"/>
    </xf>
    <xf numFmtId="1" fontId="4" fillId="0" borderId="0" xfId="0" applyNumberFormat="1" applyFont="1" applyAlignment="1">
      <alignment horizontal="center" wrapText="1"/>
    </xf>
    <xf numFmtId="0" fontId="0" fillId="6" borderId="6" xfId="0" applyFill="1" applyBorder="1" applyAlignment="1" applyProtection="1">
      <alignment horizontal="center"/>
      <protection locked="0"/>
    </xf>
    <xf numFmtId="0" fontId="4" fillId="0" borderId="76" xfId="0" applyFont="1" applyBorder="1"/>
    <xf numFmtId="166" fontId="0" fillId="7" borderId="77" xfId="0" applyNumberFormat="1" applyFill="1" applyBorder="1" applyAlignment="1">
      <alignment horizontal="center"/>
    </xf>
    <xf numFmtId="166" fontId="0" fillId="7" borderId="1" xfId="1" applyNumberFormat="1" applyFont="1" applyFill="1" applyBorder="1" applyAlignment="1">
      <alignment horizontal="center"/>
    </xf>
    <xf numFmtId="0" fontId="14" fillId="0" borderId="0" xfId="0" applyFont="1" applyAlignment="1" applyProtection="1">
      <alignment vertical="top" wrapText="1"/>
      <protection locked="0"/>
    </xf>
    <xf numFmtId="1" fontId="14" fillId="7" borderId="9" xfId="0" applyNumberFormat="1" applyFont="1" applyFill="1" applyBorder="1" applyAlignment="1">
      <alignment horizontal="center"/>
    </xf>
    <xf numFmtId="1" fontId="14" fillId="6" borderId="9" xfId="0" applyNumberFormat="1" applyFont="1" applyFill="1" applyBorder="1" applyAlignment="1" applyProtection="1">
      <alignment horizontal="center"/>
      <protection locked="0"/>
    </xf>
    <xf numFmtId="2" fontId="14" fillId="6" borderId="10" xfId="0" applyNumberFormat="1" applyFont="1" applyFill="1" applyBorder="1" applyAlignment="1" applyProtection="1">
      <alignment horizontal="center"/>
      <protection locked="0"/>
    </xf>
    <xf numFmtId="0" fontId="14" fillId="7" borderId="10" xfId="0" applyFont="1" applyFill="1" applyBorder="1" applyAlignment="1">
      <alignment horizontal="center"/>
    </xf>
    <xf numFmtId="2" fontId="22" fillId="0" borderId="5" xfId="0" applyNumberFormat="1" applyFont="1" applyBorder="1" applyAlignment="1">
      <alignment horizontal="center" vertical="center"/>
    </xf>
    <xf numFmtId="0" fontId="22" fillId="0" borderId="8" xfId="0" applyFont="1" applyBorder="1" applyAlignment="1">
      <alignment horizontal="center" vertical="center" wrapText="1"/>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10" xfId="0" applyFont="1" applyBorder="1" applyAlignment="1">
      <alignment horizontal="center"/>
    </xf>
    <xf numFmtId="0" fontId="22" fillId="0" borderId="1" xfId="0" applyFont="1" applyBorder="1" applyAlignment="1">
      <alignment horizontal="center"/>
    </xf>
    <xf numFmtId="0" fontId="22" fillId="0" borderId="12" xfId="0" applyFont="1" applyBorder="1"/>
    <xf numFmtId="2" fontId="14" fillId="0" borderId="32" xfId="0" applyNumberFormat="1" applyFont="1" applyFill="1" applyBorder="1" applyAlignment="1">
      <alignment horizontal="center"/>
    </xf>
    <xf numFmtId="2" fontId="14" fillId="0" borderId="1" xfId="0" applyNumberFormat="1"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0" fillId="0" borderId="0" xfId="0"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xf>
    <xf numFmtId="0" fontId="4" fillId="0" borderId="0" xfId="0" applyFont="1" applyAlignment="1">
      <alignment horizontal="center"/>
    </xf>
    <xf numFmtId="1" fontId="0" fillId="5" borderId="1" xfId="1" applyNumberFormat="1" applyFont="1" applyFill="1" applyBorder="1" applyAlignment="1">
      <alignment horizontal="center"/>
    </xf>
    <xf numFmtId="0" fontId="4" fillId="0" borderId="0" xfId="0" applyFont="1" applyAlignment="1">
      <alignment horizontal="center" wrapText="1"/>
    </xf>
    <xf numFmtId="0" fontId="4" fillId="8" borderId="1" xfId="0" applyFont="1" applyFill="1" applyBorder="1" applyAlignment="1">
      <alignment horizontal="center"/>
    </xf>
    <xf numFmtId="0" fontId="4" fillId="15" borderId="1" xfId="0" applyFont="1" applyFill="1" applyBorder="1" applyAlignment="1">
      <alignment horizontal="center"/>
    </xf>
    <xf numFmtId="0" fontId="4" fillId="4" borderId="1" xfId="0" applyFont="1" applyFill="1" applyBorder="1" applyAlignment="1">
      <alignment horizontal="center"/>
    </xf>
    <xf numFmtId="0" fontId="4" fillId="0" borderId="12" xfId="0" applyFont="1" applyBorder="1"/>
    <xf numFmtId="0" fontId="0" fillId="0" borderId="7" xfId="0" applyBorder="1"/>
    <xf numFmtId="0" fontId="0" fillId="0" borderId="8" xfId="0" applyBorder="1"/>
    <xf numFmtId="0" fontId="4" fillId="0" borderId="6" xfId="0" applyFont="1" applyBorder="1"/>
    <xf numFmtId="0" fontId="0" fillId="0" borderId="3" xfId="0" applyBorder="1"/>
    <xf numFmtId="0" fontId="0" fillId="0" borderId="4" xfId="0" applyBorder="1"/>
    <xf numFmtId="0" fontId="0" fillId="0" borderId="0" xfId="0" applyAlignment="1">
      <alignment horizontal="center"/>
    </xf>
    <xf numFmtId="0" fontId="0" fillId="0" borderId="0" xfId="0" applyFont="1"/>
    <xf numFmtId="0" fontId="0" fillId="0" borderId="0" xfId="0" applyFont="1" applyAlignment="1">
      <alignment horizontal="center"/>
    </xf>
    <xf numFmtId="0" fontId="4" fillId="0" borderId="0" xfId="3" applyAlignment="1">
      <alignment horizontal="left" vertical="center"/>
    </xf>
    <xf numFmtId="164" fontId="4" fillId="7" borderId="6" xfId="0" applyNumberFormat="1" applyFont="1" applyFill="1" applyBorder="1" applyAlignment="1">
      <alignment horizontal="center"/>
    </xf>
    <xf numFmtId="164" fontId="4" fillId="7" borderId="3" xfId="0" quotePrefix="1" applyNumberFormat="1" applyFont="1" applyFill="1" applyBorder="1" applyAlignment="1">
      <alignment horizontal="center"/>
    </xf>
    <xf numFmtId="164" fontId="4" fillId="7" borderId="4" xfId="0" applyNumberFormat="1" applyFont="1" applyFill="1" applyBorder="1" applyAlignment="1">
      <alignment horizontal="center"/>
    </xf>
    <xf numFmtId="0" fontId="4" fillId="7" borderId="3" xfId="0" quotePrefix="1" applyFont="1" applyFill="1" applyBorder="1" applyAlignment="1">
      <alignment horizontal="center"/>
    </xf>
    <xf numFmtId="0" fontId="4" fillId="7" borderId="6" xfId="0" applyFont="1" applyFill="1" applyBorder="1" applyAlignment="1">
      <alignment horizontal="center"/>
    </xf>
    <xf numFmtId="0" fontId="4" fillId="7" borderId="4" xfId="0" applyFont="1" applyFill="1" applyBorder="1" applyAlignment="1">
      <alignment horizontal="center"/>
    </xf>
    <xf numFmtId="166" fontId="4" fillId="7" borderId="6" xfId="0" applyNumberFormat="1" applyFont="1" applyFill="1" applyBorder="1" applyAlignment="1">
      <alignment horizontal="center"/>
    </xf>
    <xf numFmtId="166" fontId="4" fillId="7" borderId="4" xfId="0" applyNumberFormat="1" applyFont="1" applyFill="1" applyBorder="1" applyAlignment="1">
      <alignment horizontal="center"/>
    </xf>
    <xf numFmtId="164" fontId="0" fillId="16" borderId="1" xfId="0" applyNumberFormat="1" applyFill="1" applyBorder="1" applyAlignment="1">
      <alignment horizontal="center"/>
    </xf>
    <xf numFmtId="0" fontId="4" fillId="0" borderId="13" xfId="0" applyFont="1" applyBorder="1" applyAlignment="1">
      <alignment vertical="center" wrapText="1"/>
    </xf>
    <xf numFmtId="166" fontId="0" fillId="16" borderId="10" xfId="0" applyNumberFormat="1" applyFill="1" applyBorder="1" applyAlignment="1">
      <alignment horizontal="center"/>
    </xf>
    <xf numFmtId="1" fontId="4" fillId="0" borderId="0" xfId="3" applyNumberFormat="1"/>
    <xf numFmtId="164" fontId="4" fillId="0" borderId="0" xfId="3" applyNumberFormat="1" applyAlignment="1">
      <alignment horizontal="center" vertical="center"/>
    </xf>
    <xf numFmtId="10" fontId="4" fillId="0" borderId="0" xfId="3" applyNumberFormat="1" applyAlignment="1">
      <alignment horizontal="center" vertical="center"/>
    </xf>
    <xf numFmtId="164" fontId="0" fillId="0" borderId="1" xfId="0" applyNumberFormat="1" applyBorder="1" applyAlignment="1">
      <alignment horizontal="center"/>
    </xf>
    <xf numFmtId="1" fontId="1" fillId="0" borderId="1" xfId="8" applyNumberFormat="1" applyBorder="1" applyAlignment="1">
      <alignment horizontal="center" vertical="center"/>
    </xf>
    <xf numFmtId="0" fontId="1" fillId="0" borderId="1" xfId="8" applyBorder="1" applyAlignment="1">
      <alignment horizontal="center" vertical="center"/>
    </xf>
    <xf numFmtId="166" fontId="1" fillId="0" borderId="1" xfId="8" applyNumberFormat="1" applyFont="1" applyBorder="1" applyAlignment="1">
      <alignment horizontal="center" vertical="center"/>
    </xf>
    <xf numFmtId="166" fontId="1" fillId="0" borderId="1" xfId="8" applyNumberFormat="1" applyBorder="1" applyAlignment="1">
      <alignment horizontal="center" vertical="center"/>
    </xf>
    <xf numFmtId="0" fontId="4" fillId="0" borderId="1" xfId="3" applyBorder="1" applyAlignment="1">
      <alignment horizontal="left" vertical="center"/>
    </xf>
    <xf numFmtId="164" fontId="4" fillId="0" borderId="1" xfId="3" applyNumberFormat="1" applyBorder="1" applyAlignment="1">
      <alignment horizontal="center" vertical="center"/>
    </xf>
    <xf numFmtId="164" fontId="0" fillId="0" borderId="10" xfId="0" applyNumberFormat="1" applyBorder="1" applyAlignment="1">
      <alignment horizontal="center"/>
    </xf>
    <xf numFmtId="1" fontId="1" fillId="0" borderId="10" xfId="8" applyNumberFormat="1" applyBorder="1" applyAlignment="1">
      <alignment horizontal="center" vertical="center"/>
    </xf>
    <xf numFmtId="0" fontId="1" fillId="0" borderId="10" xfId="8" applyBorder="1" applyAlignment="1">
      <alignment horizontal="center" vertical="center"/>
    </xf>
    <xf numFmtId="166" fontId="1" fillId="0" borderId="10" xfId="8" applyNumberFormat="1" applyFont="1" applyBorder="1" applyAlignment="1">
      <alignment horizontal="center" vertical="center"/>
    </xf>
    <xf numFmtId="166" fontId="1" fillId="0" borderId="10" xfId="8" applyNumberFormat="1" applyBorder="1" applyAlignment="1">
      <alignment horizontal="center" vertical="center"/>
    </xf>
    <xf numFmtId="0" fontId="3" fillId="0" borderId="24" xfId="3" applyFont="1" applyBorder="1" applyAlignment="1">
      <alignment horizontal="center" vertical="center"/>
    </xf>
    <xf numFmtId="0" fontId="0" fillId="0" borderId="10" xfId="0" applyBorder="1"/>
    <xf numFmtId="0" fontId="3" fillId="0" borderId="79" xfId="3" applyFont="1" applyBorder="1" applyAlignment="1">
      <alignment horizontal="center" vertical="center"/>
    </xf>
    <xf numFmtId="2" fontId="0" fillId="16" borderId="10" xfId="0" applyNumberFormat="1" applyFill="1" applyBorder="1" applyAlignment="1">
      <alignment horizontal="center"/>
    </xf>
    <xf numFmtId="2" fontId="0" fillId="16" borderId="1" xfId="0" applyNumberFormat="1" applyFill="1" applyBorder="1" applyAlignment="1">
      <alignment horizontal="center"/>
    </xf>
    <xf numFmtId="0" fontId="15" fillId="0" borderId="0" xfId="2" applyFont="1" applyAlignment="1" applyProtection="1">
      <alignment horizontal="right"/>
    </xf>
    <xf numFmtId="0" fontId="16" fillId="0" borderId="0" xfId="0" applyFont="1" applyBorder="1" applyAlignment="1">
      <alignment horizontal="center"/>
    </xf>
    <xf numFmtId="0" fontId="16" fillId="0" borderId="0" xfId="0" applyFont="1" applyBorder="1" applyAlignment="1">
      <alignment horizontal="center" vertical="center" wrapText="1"/>
    </xf>
    <xf numFmtId="164" fontId="14" fillId="7" borderId="1" xfId="0" applyNumberFormat="1" applyFont="1" applyFill="1" applyBorder="1" applyAlignment="1">
      <alignment horizontal="center" vertical="center" shrinkToFit="1"/>
    </xf>
    <xf numFmtId="0" fontId="4" fillId="0" borderId="10" xfId="0" applyFont="1" applyBorder="1" applyAlignment="1">
      <alignment horizontal="center"/>
    </xf>
    <xf numFmtId="167" fontId="0" fillId="0" borderId="0" xfId="0" applyNumberFormat="1"/>
    <xf numFmtId="0" fontId="16" fillId="0" borderId="14" xfId="0" applyFont="1" applyBorder="1" applyAlignment="1">
      <alignment horizontal="center"/>
    </xf>
    <xf numFmtId="0" fontId="16" fillId="0" borderId="5" xfId="0" applyFont="1" applyBorder="1" applyAlignment="1">
      <alignment horizontal="center"/>
    </xf>
    <xf numFmtId="167" fontId="14" fillId="7" borderId="80" xfId="1" applyNumberFormat="1" applyFont="1" applyFill="1" applyBorder="1" applyAlignment="1">
      <alignment horizontal="center" vertical="center" shrinkToFit="1"/>
    </xf>
    <xf numFmtId="167" fontId="14" fillId="7" borderId="81" xfId="1" applyNumberFormat="1" applyFont="1" applyFill="1" applyBorder="1" applyAlignment="1">
      <alignment horizontal="center" vertical="center" shrinkToFit="1"/>
    </xf>
    <xf numFmtId="167" fontId="14" fillId="7" borderId="82" xfId="1" applyNumberFormat="1" applyFont="1" applyFill="1" applyBorder="1" applyAlignment="1">
      <alignment horizontal="center" vertical="center" shrinkToFit="1"/>
    </xf>
    <xf numFmtId="167" fontId="14" fillId="7" borderId="83" xfId="1" applyNumberFormat="1" applyFont="1" applyFill="1" applyBorder="1" applyAlignment="1">
      <alignment horizontal="center" vertical="center" shrinkToFit="1"/>
    </xf>
    <xf numFmtId="167" fontId="14" fillId="7" borderId="84" xfId="1" applyNumberFormat="1" applyFont="1" applyFill="1" applyBorder="1" applyAlignment="1">
      <alignment horizontal="center" vertical="center" shrinkToFit="1"/>
    </xf>
    <xf numFmtId="167" fontId="14" fillId="7" borderId="85" xfId="1" applyNumberFormat="1" applyFont="1" applyFill="1" applyBorder="1" applyAlignment="1">
      <alignment horizontal="center" vertical="center" shrinkToFit="1"/>
    </xf>
    <xf numFmtId="0" fontId="14" fillId="7" borderId="1" xfId="0" applyFont="1" applyFill="1" applyBorder="1" applyAlignment="1">
      <alignment horizontal="center" shrinkToFit="1"/>
    </xf>
    <xf numFmtId="0" fontId="22" fillId="0" borderId="6" xfId="0" applyFont="1" applyBorder="1" applyAlignment="1">
      <alignment horizontal="center" vertical="center"/>
    </xf>
    <xf numFmtId="0" fontId="22" fillId="0" borderId="4" xfId="0" applyFont="1" applyBorder="1" applyAlignment="1">
      <alignment horizontal="center" vertical="center"/>
    </xf>
    <xf numFmtId="164" fontId="14" fillId="7" borderId="9" xfId="0" applyNumberFormat="1" applyFont="1" applyFill="1" applyBorder="1" applyAlignment="1">
      <alignment horizontal="center" vertical="center"/>
    </xf>
    <xf numFmtId="164" fontId="14" fillId="7" borderId="10" xfId="0" applyNumberFormat="1" applyFont="1" applyFill="1" applyBorder="1" applyAlignment="1">
      <alignment horizontal="center" vertical="center"/>
    </xf>
    <xf numFmtId="166" fontId="14" fillId="7" borderId="9" xfId="0" applyNumberFormat="1" applyFont="1" applyFill="1" applyBorder="1" applyAlignment="1">
      <alignment horizontal="center" vertical="center"/>
    </xf>
    <xf numFmtId="166" fontId="14" fillId="7" borderId="10" xfId="0" applyNumberFormat="1" applyFont="1" applyFill="1" applyBorder="1" applyAlignment="1">
      <alignment horizontal="center" vertical="center"/>
    </xf>
    <xf numFmtId="166" fontId="14" fillId="7" borderId="2" xfId="0" applyNumberFormat="1" applyFont="1" applyFill="1" applyBorder="1" applyAlignment="1">
      <alignment horizontal="center" vertical="center"/>
    </xf>
    <xf numFmtId="0" fontId="22" fillId="0" borderId="14" xfId="0" applyFont="1" applyBorder="1" applyAlignment="1">
      <alignment horizontal="center" vertical="center" textRotation="90" wrapText="1"/>
    </xf>
    <xf numFmtId="0" fontId="22" fillId="0" borderId="15" xfId="0" applyFont="1" applyBorder="1" applyAlignment="1">
      <alignment horizontal="center" vertical="center" textRotation="90" wrapText="1"/>
    </xf>
    <xf numFmtId="0" fontId="22" fillId="0" borderId="12" xfId="0" applyFont="1" applyBorder="1" applyAlignment="1">
      <alignment horizontal="center" vertical="center" textRotation="90" wrapText="1"/>
    </xf>
    <xf numFmtId="0" fontId="14" fillId="6" borderId="1" xfId="0" applyFont="1" applyFill="1" applyBorder="1" applyAlignment="1" applyProtection="1">
      <alignment horizontal="center"/>
      <protection locked="0"/>
    </xf>
    <xf numFmtId="0" fontId="14" fillId="6" borderId="6" xfId="0" applyFont="1" applyFill="1" applyBorder="1" applyAlignment="1" applyProtection="1">
      <alignment horizontal="center"/>
      <protection locked="0"/>
    </xf>
    <xf numFmtId="0" fontId="14" fillId="6" borderId="4" xfId="0" applyFont="1" applyFill="1" applyBorder="1" applyAlignment="1" applyProtection="1">
      <alignment horizontal="center"/>
      <protection locked="0"/>
    </xf>
    <xf numFmtId="0" fontId="16" fillId="0" borderId="1" xfId="0" applyFont="1" applyBorder="1" applyAlignment="1">
      <alignment horizontal="center"/>
    </xf>
    <xf numFmtId="2" fontId="22" fillId="0" borderId="14" xfId="0" applyNumberFormat="1" applyFont="1" applyBorder="1" applyAlignment="1">
      <alignment horizontal="center" vertical="center" wrapText="1"/>
    </xf>
    <xf numFmtId="2" fontId="22" fillId="0" borderId="5" xfId="0" applyNumberFormat="1" applyFont="1" applyBorder="1" applyAlignment="1">
      <alignment horizontal="center" vertical="center" wrapText="1"/>
    </xf>
    <xf numFmtId="2" fontId="22" fillId="0" borderId="12" xfId="0" applyNumberFormat="1" applyFont="1" applyBorder="1" applyAlignment="1">
      <alignment horizontal="center" vertical="center" wrapText="1"/>
    </xf>
    <xf numFmtId="2" fontId="22" fillId="0" borderId="8" xfId="0" applyNumberFormat="1" applyFont="1" applyBorder="1" applyAlignment="1">
      <alignment horizontal="center" vertical="center" wrapText="1"/>
    </xf>
    <xf numFmtId="167" fontId="14" fillId="7" borderId="9" xfId="1" applyNumberFormat="1" applyFont="1" applyFill="1" applyBorder="1" applyAlignment="1">
      <alignment horizontal="center" vertical="center"/>
    </xf>
    <xf numFmtId="167" fontId="14" fillId="7" borderId="10" xfId="1" applyNumberFormat="1" applyFont="1" applyFill="1" applyBorder="1" applyAlignment="1">
      <alignment horizontal="center"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5" fillId="0" borderId="12" xfId="2" applyFont="1" applyBorder="1" applyAlignment="1" applyProtection="1">
      <alignment horizontal="center"/>
    </xf>
    <xf numFmtId="0" fontId="15" fillId="0" borderId="7" xfId="2" applyFont="1" applyBorder="1" applyAlignment="1" applyProtection="1">
      <alignment horizontal="center"/>
    </xf>
    <xf numFmtId="0" fontId="15" fillId="0" borderId="8" xfId="2" applyFont="1" applyBorder="1" applyAlignment="1" applyProtection="1">
      <alignment horizontal="center"/>
    </xf>
    <xf numFmtId="0" fontId="16" fillId="6" borderId="6" xfId="0" applyFont="1" applyFill="1" applyBorder="1" applyAlignment="1" applyProtection="1">
      <alignment horizontal="center"/>
      <protection locked="0"/>
    </xf>
    <xf numFmtId="0" fontId="16" fillId="6" borderId="3" xfId="0" applyFont="1" applyFill="1" applyBorder="1" applyAlignment="1" applyProtection="1">
      <alignment horizontal="center"/>
      <protection locked="0"/>
    </xf>
    <xf numFmtId="0" fontId="16" fillId="6" borderId="4" xfId="0" applyFont="1" applyFill="1" applyBorder="1" applyAlignment="1" applyProtection="1">
      <alignment horizontal="center"/>
      <protection locked="0"/>
    </xf>
    <xf numFmtId="0" fontId="48" fillId="0" borderId="15" xfId="0" applyFont="1" applyBorder="1" applyAlignment="1">
      <alignment horizontal="center" vertical="center" textRotation="90" wrapText="1"/>
    </xf>
    <xf numFmtId="0" fontId="48" fillId="0" borderId="12" xfId="0" applyFont="1" applyBorder="1" applyAlignment="1">
      <alignment horizontal="center" vertical="center" textRotation="90" wrapText="1"/>
    </xf>
    <xf numFmtId="0" fontId="22" fillId="0" borderId="12" xfId="0" applyFont="1" applyBorder="1" applyAlignment="1">
      <alignment horizontal="center" vertical="center"/>
    </xf>
    <xf numFmtId="0" fontId="22" fillId="0" borderId="8" xfId="0" applyFont="1" applyBorder="1" applyAlignment="1">
      <alignment horizontal="center" vertical="center"/>
    </xf>
    <xf numFmtId="0" fontId="14" fillId="6" borderId="2" xfId="0" applyFont="1" applyFill="1" applyBorder="1" applyAlignment="1" applyProtection="1">
      <alignment horizontal="center" vertical="center" wrapText="1"/>
      <protection locked="0"/>
    </xf>
    <xf numFmtId="0" fontId="22" fillId="0" borderId="10" xfId="0" applyFont="1" applyBorder="1" applyAlignment="1">
      <alignment horizontal="center" vertical="center" textRotation="90"/>
    </xf>
    <xf numFmtId="0" fontId="22" fillId="0" borderId="1" xfId="0" applyFont="1" applyBorder="1" applyAlignment="1">
      <alignment horizontal="center" vertical="center" textRotation="90"/>
    </xf>
    <xf numFmtId="0" fontId="22" fillId="0" borderId="10" xfId="0" applyFont="1" applyBorder="1" applyAlignment="1">
      <alignment horizontal="center" vertical="center" wrapText="1"/>
    </xf>
    <xf numFmtId="0" fontId="22" fillId="0" borderId="1" xfId="0" applyFont="1" applyBorder="1" applyAlignment="1">
      <alignment horizontal="center" vertical="center"/>
    </xf>
    <xf numFmtId="0" fontId="22" fillId="0" borderId="14" xfId="0" applyFont="1" applyBorder="1" applyAlignment="1">
      <alignment horizontal="center" vertical="center"/>
    </xf>
    <xf numFmtId="0" fontId="22" fillId="0" borderId="5" xfId="0" applyFont="1" applyBorder="1" applyAlignment="1">
      <alignment horizontal="center" vertical="center"/>
    </xf>
    <xf numFmtId="0" fontId="16" fillId="0" borderId="12" xfId="0" applyFont="1" applyBorder="1" applyAlignment="1">
      <alignment horizontal="center"/>
    </xf>
    <xf numFmtId="0" fontId="16" fillId="0" borderId="8" xfId="0" applyFont="1" applyBorder="1" applyAlignment="1">
      <alignment horizontal="center"/>
    </xf>
    <xf numFmtId="0" fontId="16" fillId="0" borderId="13" xfId="0" applyFont="1" applyBorder="1" applyAlignment="1">
      <alignment horizontal="center"/>
    </xf>
    <xf numFmtId="0" fontId="22" fillId="0" borderId="1" xfId="0" applyFont="1" applyBorder="1" applyAlignment="1">
      <alignment horizontal="right"/>
    </xf>
    <xf numFmtId="0" fontId="16" fillId="0" borderId="9" xfId="0" applyFont="1" applyBorder="1" applyAlignment="1">
      <alignment horizontal="center"/>
    </xf>
    <xf numFmtId="0" fontId="14" fillId="6" borderId="0" xfId="0" applyFont="1" applyFill="1" applyAlignment="1" applyProtection="1">
      <alignment horizontal="center" shrinkToFit="1"/>
      <protection locked="0"/>
    </xf>
    <xf numFmtId="168" fontId="14" fillId="6" borderId="0" xfId="0" applyNumberFormat="1" applyFont="1" applyFill="1" applyAlignment="1" applyProtection="1">
      <alignment horizontal="center"/>
      <protection locked="0"/>
    </xf>
    <xf numFmtId="0" fontId="22" fillId="0" borderId="6" xfId="0" applyFont="1" applyBorder="1" applyAlignment="1">
      <alignment horizontal="right" vertical="center"/>
    </xf>
    <xf numFmtId="0" fontId="22" fillId="0" borderId="4" xfId="0" applyFont="1" applyBorder="1" applyAlignment="1">
      <alignment horizontal="right" vertical="center"/>
    </xf>
    <xf numFmtId="0" fontId="14" fillId="7" borderId="6" xfId="0" applyFont="1" applyFill="1" applyBorder="1" applyAlignment="1">
      <alignment horizontal="center" shrinkToFit="1"/>
    </xf>
    <xf numFmtId="0" fontId="14" fillId="7" borderId="4" xfId="0" applyFont="1" applyFill="1" applyBorder="1" applyAlignment="1">
      <alignment horizontal="center" shrinkToFit="1"/>
    </xf>
    <xf numFmtId="2" fontId="14" fillId="7" borderId="6" xfId="0" applyNumberFormat="1" applyFont="1" applyFill="1" applyBorder="1" applyAlignment="1">
      <alignment horizontal="center"/>
    </xf>
    <xf numFmtId="2" fontId="14" fillId="7" borderId="4" xfId="0" applyNumberFormat="1" applyFont="1" applyFill="1" applyBorder="1" applyAlignment="1">
      <alignment horizontal="center"/>
    </xf>
    <xf numFmtId="0" fontId="14" fillId="0" borderId="0"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14" fillId="6" borderId="3" xfId="0" applyFont="1" applyFill="1" applyBorder="1" applyAlignment="1" applyProtection="1">
      <alignment horizontal="center"/>
      <protection locked="0"/>
    </xf>
    <xf numFmtId="0" fontId="16" fillId="0" borderId="6"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22" fillId="0" borderId="1" xfId="0" applyFont="1" applyBorder="1" applyAlignment="1">
      <alignment horizontal="right" shrinkToFit="1"/>
    </xf>
    <xf numFmtId="0" fontId="14" fillId="6" borderId="15" xfId="0" applyFont="1" applyFill="1" applyBorder="1" applyAlignment="1" applyProtection="1">
      <alignment horizontal="center" shrinkToFit="1"/>
      <protection locked="0"/>
    </xf>
    <xf numFmtId="0" fontId="14" fillId="6" borderId="11" xfId="0" applyFont="1" applyFill="1" applyBorder="1" applyAlignment="1" applyProtection="1">
      <alignment horizontal="center" shrinkToFit="1"/>
      <protection locked="0"/>
    </xf>
    <xf numFmtId="0" fontId="16" fillId="0" borderId="15" xfId="0" applyFont="1" applyBorder="1" applyAlignment="1">
      <alignment horizontal="center" vertical="center" wrapText="1"/>
    </xf>
    <xf numFmtId="0" fontId="16" fillId="0" borderId="11" xfId="0" applyFont="1" applyBorder="1" applyAlignment="1">
      <alignment horizontal="center" vertical="center" wrapText="1"/>
    </xf>
    <xf numFmtId="166" fontId="14" fillId="7" borderId="80" xfId="0" applyNumberFormat="1" applyFont="1" applyFill="1" applyBorder="1" applyAlignment="1">
      <alignment horizontal="center" vertical="center" shrinkToFit="1"/>
    </xf>
    <xf numFmtId="166" fontId="14" fillId="7" borderId="81" xfId="0" applyNumberFormat="1" applyFont="1" applyFill="1" applyBorder="1" applyAlignment="1">
      <alignment horizontal="center" vertical="center" shrinkToFit="1"/>
    </xf>
    <xf numFmtId="166" fontId="14" fillId="7" borderId="82" xfId="0" applyNumberFormat="1" applyFont="1" applyFill="1" applyBorder="1" applyAlignment="1">
      <alignment horizontal="center" vertical="center" shrinkToFit="1"/>
    </xf>
    <xf numFmtId="166" fontId="14" fillId="7" borderId="83" xfId="0" applyNumberFormat="1" applyFont="1" applyFill="1" applyBorder="1" applyAlignment="1">
      <alignment horizontal="center" vertical="center" shrinkToFit="1"/>
    </xf>
    <xf numFmtId="166" fontId="14" fillId="7" borderId="84" xfId="0" applyNumberFormat="1" applyFont="1" applyFill="1" applyBorder="1" applyAlignment="1">
      <alignment horizontal="center" vertical="center" shrinkToFit="1"/>
    </xf>
    <xf numFmtId="166" fontId="14" fillId="7" borderId="85" xfId="0" applyNumberFormat="1" applyFont="1" applyFill="1" applyBorder="1" applyAlignment="1">
      <alignment horizontal="center" vertical="center" shrinkToFit="1"/>
    </xf>
    <xf numFmtId="0" fontId="22" fillId="0" borderId="6" xfId="0" applyFont="1" applyBorder="1" applyAlignment="1">
      <alignment horizontal="right"/>
    </xf>
    <xf numFmtId="0" fontId="22" fillId="0" borderId="4" xfId="0" applyFont="1" applyBorder="1" applyAlignment="1">
      <alignment horizontal="right"/>
    </xf>
    <xf numFmtId="0" fontId="16" fillId="7" borderId="12" xfId="0" applyFont="1" applyFill="1" applyBorder="1" applyAlignment="1">
      <alignment horizontal="center"/>
    </xf>
    <xf numFmtId="0" fontId="16" fillId="7" borderId="8" xfId="0" applyFont="1" applyFill="1" applyBorder="1" applyAlignment="1">
      <alignment horizontal="center"/>
    </xf>
    <xf numFmtId="0" fontId="22" fillId="0" borderId="1" xfId="0" applyFont="1" applyBorder="1" applyAlignment="1" applyProtection="1">
      <alignment horizontal="right" vertical="center"/>
      <protection locked="0"/>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4" fillId="7" borderId="15" xfId="0" applyFont="1" applyFill="1" applyBorder="1" applyAlignment="1">
      <alignment horizontal="center"/>
    </xf>
    <xf numFmtId="0" fontId="14" fillId="7" borderId="0" xfId="0" applyFont="1" applyFill="1" applyAlignment="1">
      <alignment horizontal="center"/>
    </xf>
    <xf numFmtId="0" fontId="14" fillId="7" borderId="11" xfId="0" applyFont="1" applyFill="1" applyBorder="1" applyAlignment="1">
      <alignment horizontal="center"/>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4" fillId="6" borderId="0" xfId="0" applyFont="1" applyFill="1" applyAlignment="1" applyProtection="1">
      <alignment horizontal="left" shrinkToFit="1"/>
      <protection locked="0"/>
    </xf>
    <xf numFmtId="0" fontId="16" fillId="0" borderId="12" xfId="0" applyFont="1" applyBorder="1" applyAlignment="1">
      <alignment horizontal="center" vertical="center" wrapText="1"/>
    </xf>
    <xf numFmtId="0" fontId="14" fillId="7" borderId="3" xfId="0" applyFont="1" applyFill="1" applyBorder="1" applyAlignment="1">
      <alignment horizontal="center" shrinkToFit="1"/>
    </xf>
    <xf numFmtId="0" fontId="16" fillId="0" borderId="2" xfId="0" applyFont="1" applyBorder="1" applyAlignment="1">
      <alignment horizontal="center" vertical="center" wrapText="1"/>
    </xf>
    <xf numFmtId="0" fontId="4" fillId="0" borderId="1" xfId="0" applyFont="1" applyBorder="1" applyAlignment="1">
      <alignment horizontal="left"/>
    </xf>
    <xf numFmtId="0" fontId="4" fillId="0" borderId="22" xfId="0" applyFont="1" applyBorder="1" applyAlignment="1">
      <alignment horizontal="left"/>
    </xf>
    <xf numFmtId="0" fontId="4" fillId="0" borderId="1" xfId="0" applyFont="1" applyBorder="1"/>
    <xf numFmtId="0" fontId="4" fillId="0" borderId="22" xfId="0" applyFont="1" applyBorder="1"/>
    <xf numFmtId="0" fontId="0" fillId="0" borderId="1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30" xfId="0" applyBorder="1" applyAlignment="1">
      <alignment horizontal="center"/>
    </xf>
    <xf numFmtId="0" fontId="0" fillId="0" borderId="34" xfId="0" applyBorder="1" applyAlignment="1">
      <alignment horizontal="center"/>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29" xfId="0" applyFont="1" applyBorder="1" applyAlignment="1">
      <alignmen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29" xfId="0" applyFont="1" applyBorder="1" applyAlignment="1">
      <alignment horizontal="left" vertical="center" wrapText="1"/>
    </xf>
    <xf numFmtId="0" fontId="0" fillId="0" borderId="6" xfId="0" applyBorder="1" applyAlignment="1">
      <alignment horizontal="center"/>
    </xf>
    <xf numFmtId="0" fontId="0" fillId="0" borderId="3" xfId="0" applyBorder="1" applyAlignment="1">
      <alignment horizontal="center"/>
    </xf>
    <xf numFmtId="0" fontId="0" fillId="0" borderId="29" xfId="0" applyBorder="1" applyAlignment="1">
      <alignment horizontal="center"/>
    </xf>
    <xf numFmtId="0" fontId="0" fillId="0" borderId="14" xfId="0" applyBorder="1" applyAlignment="1">
      <alignment horizontal="center"/>
    </xf>
    <xf numFmtId="0" fontId="0" fillId="0" borderId="33" xfId="0" applyBorder="1" applyAlignment="1">
      <alignment horizontal="center"/>
    </xf>
    <xf numFmtId="0" fontId="0" fillId="0" borderId="1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4" fillId="0" borderId="6" xfId="0" applyFont="1" applyBorder="1" applyAlignment="1">
      <alignment horizontal="left"/>
    </xf>
    <xf numFmtId="0" fontId="4" fillId="0" borderId="3" xfId="0" applyFont="1" applyBorder="1" applyAlignment="1">
      <alignment horizontal="left"/>
    </xf>
    <xf numFmtId="0" fontId="4" fillId="0" borderId="29" xfId="0" applyFont="1" applyBorder="1" applyAlignment="1">
      <alignment horizontal="left"/>
    </xf>
    <xf numFmtId="0" fontId="4" fillId="0" borderId="9" xfId="0" applyFont="1" applyBorder="1" applyAlignment="1">
      <alignment horizontal="left"/>
    </xf>
    <xf numFmtId="0" fontId="0" fillId="0" borderId="9" xfId="0" applyBorder="1" applyAlignment="1">
      <alignment horizontal="left"/>
    </xf>
    <xf numFmtId="0" fontId="0" fillId="0" borderId="35" xfId="0" applyBorder="1" applyAlignment="1">
      <alignment horizontal="left"/>
    </xf>
    <xf numFmtId="0" fontId="0" fillId="0" borderId="4" xfId="0" applyBorder="1" applyAlignment="1">
      <alignment horizontal="center"/>
    </xf>
    <xf numFmtId="0" fontId="0" fillId="0" borderId="1" xfId="0" applyBorder="1" applyAlignment="1">
      <alignment horizontal="left"/>
    </xf>
    <xf numFmtId="0" fontId="0" fillId="0" borderId="22" xfId="0" applyBorder="1" applyAlignment="1">
      <alignment horizontal="left"/>
    </xf>
    <xf numFmtId="0" fontId="3" fillId="0" borderId="1" xfId="0" applyFont="1" applyBorder="1" applyAlignment="1">
      <alignment horizontal="center"/>
    </xf>
    <xf numFmtId="0" fontId="3" fillId="0" borderId="10" xfId="0" applyFont="1" applyBorder="1" applyAlignment="1">
      <alignment horizontal="center"/>
    </xf>
    <xf numFmtId="0" fontId="3" fillId="0" borderId="20"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4" fillId="0" borderId="24" xfId="0" applyFont="1" applyBorder="1" applyAlignment="1">
      <alignment horizontal="left"/>
    </xf>
    <xf numFmtId="0" fontId="4" fillId="0" borderId="25" xfId="0" applyFont="1" applyBorder="1" applyAlignment="1">
      <alignment horizontal="left"/>
    </xf>
    <xf numFmtId="0" fontId="0" fillId="6" borderId="6"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3" fillId="0" borderId="37" xfId="0" applyFont="1" applyBorder="1" applyAlignment="1">
      <alignment horizontal="center"/>
    </xf>
    <xf numFmtId="0" fontId="4" fillId="0" borderId="0" xfId="0" applyFont="1" applyAlignment="1">
      <alignment horizontal="center"/>
    </xf>
    <xf numFmtId="0" fontId="10" fillId="0" borderId="0" xfId="2" applyAlignment="1" applyProtection="1">
      <alignment horizontal="center"/>
    </xf>
    <xf numFmtId="0" fontId="4" fillId="0" borderId="77" xfId="0" applyFont="1" applyBorder="1" applyAlignment="1">
      <alignment horizontal="left"/>
    </xf>
    <xf numFmtId="0" fontId="4" fillId="0" borderId="78" xfId="0" applyFont="1" applyBorder="1" applyAlignment="1">
      <alignment horizontal="left"/>
    </xf>
    <xf numFmtId="0" fontId="0" fillId="0" borderId="15" xfId="0"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4" fillId="0" borderId="30" xfId="0" applyFont="1" applyBorder="1" applyAlignment="1">
      <alignment horizontal="left"/>
    </xf>
    <xf numFmtId="0" fontId="4" fillId="0" borderId="31" xfId="0" applyFont="1" applyBorder="1" applyAlignment="1">
      <alignment horizontal="left"/>
    </xf>
    <xf numFmtId="0" fontId="49" fillId="0" borderId="1" xfId="0" applyFont="1" applyBorder="1" applyAlignment="1">
      <alignment horizontal="center" vertical="center"/>
    </xf>
    <xf numFmtId="0" fontId="4" fillId="7" borderId="1" xfId="0" applyFont="1" applyFill="1" applyBorder="1" applyAlignment="1">
      <alignment horizontal="center" shrinkToFit="1"/>
    </xf>
    <xf numFmtId="0" fontId="49" fillId="0" borderId="6"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21" fillId="0" borderId="1" xfId="0" applyFont="1" applyBorder="1" applyAlignment="1">
      <alignment horizont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xf>
    <xf numFmtId="0" fontId="3" fillId="0" borderId="0" xfId="0" applyFont="1" applyAlignment="1">
      <alignment horizontal="center"/>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0" fontId="21" fillId="0" borderId="6"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3" fillId="0" borderId="9" xfId="0" applyFont="1" applyBorder="1" applyAlignment="1">
      <alignment horizontal="center"/>
    </xf>
    <xf numFmtId="0" fontId="37" fillId="0" borderId="0" xfId="5" applyAlignment="1" applyProtection="1">
      <alignment horizontal="left" vertical="top" wrapText="1"/>
    </xf>
    <xf numFmtId="0" fontId="37" fillId="0" borderId="0" xfId="5" applyAlignment="1" applyProtection="1"/>
    <xf numFmtId="0" fontId="12" fillId="9" borderId="66" xfId="0" applyFont="1" applyFill="1" applyBorder="1" applyAlignment="1">
      <alignment horizontal="center" vertical="center"/>
    </xf>
    <xf numFmtId="0" fontId="0" fillId="0" borderId="67" xfId="0" applyBorder="1"/>
    <xf numFmtId="0" fontId="23" fillId="9" borderId="0" xfId="0" applyFont="1" applyFill="1" applyAlignment="1">
      <alignment horizontal="left" vertical="center" wrapText="1" indent="10"/>
    </xf>
    <xf numFmtId="0" fontId="23" fillId="9" borderId="42" xfId="0" applyFont="1" applyFill="1" applyBorder="1" applyAlignment="1">
      <alignment horizontal="left" vertical="center" wrapText="1" indent="10"/>
    </xf>
    <xf numFmtId="0" fontId="23" fillId="9" borderId="44" xfId="0" applyFont="1" applyFill="1" applyBorder="1" applyAlignment="1">
      <alignment horizontal="center" vertical="center" wrapText="1"/>
    </xf>
    <xf numFmtId="0" fontId="0" fillId="0" borderId="44" xfId="0" applyBorder="1" applyAlignment="1">
      <alignment horizontal="center"/>
    </xf>
    <xf numFmtId="0" fontId="0" fillId="0" borderId="45" xfId="0" applyBorder="1" applyAlignment="1">
      <alignment horizontal="center"/>
    </xf>
    <xf numFmtId="0" fontId="12" fillId="12" borderId="0" xfId="0" applyFont="1" applyFill="1" applyAlignment="1">
      <alignment horizontal="left" vertical="center" wrapText="1"/>
    </xf>
    <xf numFmtId="0" fontId="18" fillId="0" borderId="0" xfId="0" applyFont="1" applyAlignment="1">
      <alignment horizontal="left" wrapText="1"/>
    </xf>
    <xf numFmtId="0" fontId="4" fillId="0" borderId="0" xfId="0" applyFont="1" applyAlignment="1">
      <alignment horizontal="left" vertical="top" wrapText="1"/>
    </xf>
    <xf numFmtId="2" fontId="3" fillId="9" borderId="62" xfId="0" applyNumberFormat="1" applyFont="1" applyFill="1" applyBorder="1" applyAlignment="1">
      <alignment horizontal="center" vertical="center"/>
    </xf>
    <xf numFmtId="0" fontId="0" fillId="0" borderId="63" xfId="0" applyBorder="1"/>
    <xf numFmtId="0" fontId="25" fillId="10" borderId="0" xfId="0" applyFont="1" applyFill="1" applyAlignment="1">
      <alignment horizontal="left" vertical="center" wrapText="1" indent="4"/>
    </xf>
    <xf numFmtId="0" fontId="25" fillId="0" borderId="0" xfId="0" applyFont="1" applyAlignment="1">
      <alignment horizontal="left" vertical="center" wrapText="1" indent="4"/>
    </xf>
    <xf numFmtId="0" fontId="25" fillId="0" borderId="42" xfId="0" applyFont="1" applyBorder="1" applyAlignment="1">
      <alignment horizontal="left" vertical="center" wrapText="1" indent="4"/>
    </xf>
    <xf numFmtId="0" fontId="25" fillId="0" borderId="44" xfId="0" applyFont="1" applyBorder="1" applyAlignment="1">
      <alignment horizontal="left" vertical="center" wrapText="1" indent="4"/>
    </xf>
    <xf numFmtId="0" fontId="25" fillId="0" borderId="45" xfId="0" applyFont="1" applyBorder="1" applyAlignment="1">
      <alignment horizontal="left" vertical="center" wrapText="1" indent="4"/>
    </xf>
    <xf numFmtId="0" fontId="23" fillId="11" borderId="39" xfId="0" applyFont="1" applyFill="1" applyBorder="1" applyAlignment="1">
      <alignment horizontal="left" vertical="top" wrapText="1" indent="3"/>
    </xf>
    <xf numFmtId="0" fontId="23" fillId="11" borderId="40" xfId="0" applyFont="1" applyFill="1" applyBorder="1" applyAlignment="1">
      <alignment horizontal="left" vertical="top" wrapText="1" indent="3"/>
    </xf>
    <xf numFmtId="0" fontId="23" fillId="11" borderId="0" xfId="0" applyFont="1" applyFill="1" applyAlignment="1">
      <alignment horizontal="left" vertical="top" wrapText="1" indent="3"/>
    </xf>
    <xf numFmtId="0" fontId="23" fillId="11" borderId="42" xfId="0" applyFont="1" applyFill="1" applyBorder="1" applyAlignment="1">
      <alignment horizontal="left" vertical="top" wrapText="1" indent="3"/>
    </xf>
    <xf numFmtId="0" fontId="4" fillId="11" borderId="0" xfId="0" applyFont="1" applyFill="1" applyAlignment="1">
      <alignment horizontal="center" wrapText="1"/>
    </xf>
    <xf numFmtId="0" fontId="4" fillId="11" borderId="53"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53" xfId="0" applyFill="1" applyBorder="1" applyAlignment="1">
      <alignment horizontal="center"/>
    </xf>
    <xf numFmtId="0" fontId="28" fillId="11" borderId="0" xfId="0" applyFont="1" applyFill="1" applyAlignment="1">
      <alignment horizontal="center" wrapText="1"/>
    </xf>
    <xf numFmtId="0" fontId="28" fillId="11" borderId="30" xfId="0" applyFont="1" applyFill="1" applyBorder="1" applyAlignment="1">
      <alignment horizontal="center" wrapText="1"/>
    </xf>
    <xf numFmtId="0" fontId="12" fillId="11" borderId="0" xfId="0" applyFont="1" applyFill="1" applyAlignment="1">
      <alignment horizontal="center" wrapText="1"/>
    </xf>
    <xf numFmtId="0" fontId="12" fillId="11" borderId="54" xfId="0" applyFont="1" applyFill="1" applyBorder="1" applyAlignment="1">
      <alignment horizontal="center" wrapText="1"/>
    </xf>
    <xf numFmtId="0" fontId="0" fillId="0" borderId="0" xfId="0" applyAlignment="1">
      <alignment horizontal="left" wrapText="1" indent="3"/>
    </xf>
    <xf numFmtId="0" fontId="0" fillId="0" borderId="42" xfId="0" applyBorder="1" applyAlignment="1">
      <alignment horizontal="left" wrapText="1" indent="3"/>
    </xf>
    <xf numFmtId="0" fontId="0" fillId="0" borderId="44" xfId="0" applyBorder="1" applyAlignment="1">
      <alignment horizontal="left" wrapText="1" indent="3"/>
    </xf>
    <xf numFmtId="0" fontId="0" fillId="0" borderId="45" xfId="0" applyBorder="1" applyAlignment="1">
      <alignment horizontal="left" wrapText="1" indent="3"/>
    </xf>
    <xf numFmtId="166" fontId="23" fillId="2" borderId="39" xfId="0" applyNumberFormat="1" applyFont="1" applyFill="1" applyBorder="1" applyAlignment="1">
      <alignment horizontal="left" vertical="center" wrapText="1"/>
    </xf>
    <xf numFmtId="166" fontId="23" fillId="2" borderId="40" xfId="0" applyNumberFormat="1" applyFont="1" applyFill="1" applyBorder="1" applyAlignment="1">
      <alignment horizontal="left" vertical="center" wrapText="1"/>
    </xf>
    <xf numFmtId="166" fontId="23" fillId="2" borderId="0" xfId="0" applyNumberFormat="1" applyFont="1" applyFill="1" applyAlignment="1">
      <alignment horizontal="left" vertical="center" wrapText="1"/>
    </xf>
    <xf numFmtId="166" fontId="23" fillId="2" borderId="42" xfId="0" applyNumberFormat="1" applyFont="1" applyFill="1" applyBorder="1" applyAlignment="1">
      <alignment horizontal="left" vertical="center" wrapText="1"/>
    </xf>
    <xf numFmtId="0" fontId="0" fillId="9" borderId="0" xfId="0" applyFill="1" applyAlignment="1">
      <alignment horizontal="center"/>
    </xf>
    <xf numFmtId="0" fontId="4" fillId="9" borderId="54" xfId="0" applyFont="1" applyFill="1" applyBorder="1" applyAlignment="1">
      <alignment horizontal="center"/>
    </xf>
    <xf numFmtId="2" fontId="4" fillId="9" borderId="60" xfId="0" applyNumberFormat="1" applyFont="1" applyFill="1" applyBorder="1" applyAlignment="1">
      <alignment horizontal="center" vertical="center"/>
    </xf>
    <xf numFmtId="0" fontId="0" fillId="0" borderId="61" xfId="0" applyBorder="1"/>
    <xf numFmtId="0" fontId="26" fillId="10" borderId="11" xfId="0" applyFont="1" applyFill="1" applyBorder="1" applyAlignment="1">
      <alignment horizontal="left" vertical="top" wrapText="1"/>
    </xf>
    <xf numFmtId="0" fontId="17" fillId="0" borderId="0" xfId="0" applyFont="1" applyAlignment="1">
      <alignment horizontal="center"/>
    </xf>
    <xf numFmtId="0" fontId="0" fillId="9" borderId="0" xfId="0" applyFill="1" applyAlignment="1">
      <alignment horizontal="left"/>
    </xf>
    <xf numFmtId="0" fontId="20" fillId="9" borderId="42" xfId="0" applyFont="1" applyFill="1" applyBorder="1" applyAlignment="1">
      <alignment horizontal="center" vertical="center"/>
    </xf>
    <xf numFmtId="0" fontId="4" fillId="9" borderId="0" xfId="0" applyFont="1" applyFill="1" applyAlignment="1">
      <alignment horizontal="left"/>
    </xf>
    <xf numFmtId="0" fontId="23" fillId="9" borderId="0" xfId="0" applyFont="1" applyFill="1" applyAlignment="1">
      <alignment horizontal="left" vertical="top" wrapText="1"/>
    </xf>
    <xf numFmtId="0" fontId="23" fillId="9" borderId="42" xfId="0" applyFont="1" applyFill="1" applyBorder="1" applyAlignment="1">
      <alignment horizontal="left" vertical="top" wrapText="1"/>
    </xf>
    <xf numFmtId="0" fontId="23" fillId="9" borderId="44" xfId="0" applyFont="1" applyFill="1" applyBorder="1" applyAlignment="1">
      <alignment horizontal="left" vertical="top" wrapText="1"/>
    </xf>
    <xf numFmtId="0" fontId="23" fillId="9" borderId="45" xfId="0" applyFont="1" applyFill="1" applyBorder="1" applyAlignment="1">
      <alignment horizontal="left" vertical="top" wrapText="1"/>
    </xf>
    <xf numFmtId="0" fontId="12" fillId="9" borderId="66" xfId="3" applyFont="1" applyFill="1" applyBorder="1" applyAlignment="1">
      <alignment horizontal="center" vertical="center"/>
    </xf>
    <xf numFmtId="0" fontId="4" fillId="0" borderId="67" xfId="3" applyBorder="1"/>
    <xf numFmtId="0" fontId="23" fillId="9" borderId="0" xfId="3" applyFont="1" applyFill="1" applyAlignment="1">
      <alignment horizontal="left" vertical="center" wrapText="1" indent="10"/>
    </xf>
    <xf numFmtId="0" fontId="23" fillId="9" borderId="42" xfId="3" applyFont="1" applyFill="1" applyBorder="1" applyAlignment="1">
      <alignment horizontal="left" vertical="center" wrapText="1" indent="10"/>
    </xf>
    <xf numFmtId="0" fontId="23" fillId="9" borderId="44" xfId="3" applyFont="1" applyFill="1" applyBorder="1" applyAlignment="1">
      <alignment horizontal="center" vertical="center" wrapText="1"/>
    </xf>
    <xf numFmtId="0" fontId="4" fillId="0" borderId="44" xfId="3" applyBorder="1" applyAlignment="1">
      <alignment horizontal="center"/>
    </xf>
    <xf numFmtId="0" fontId="4" fillId="0" borderId="45" xfId="3" applyBorder="1" applyAlignment="1">
      <alignment horizontal="center"/>
    </xf>
    <xf numFmtId="0" fontId="12" fillId="12" borderId="0" xfId="3" applyFont="1" applyFill="1" applyAlignment="1">
      <alignment horizontal="left" vertical="center" wrapText="1"/>
    </xf>
    <xf numFmtId="0" fontId="18" fillId="0" borderId="0" xfId="3" applyFont="1" applyAlignment="1">
      <alignment horizontal="left" wrapText="1"/>
    </xf>
    <xf numFmtId="0" fontId="4" fillId="0" borderId="0" xfId="3" applyAlignment="1">
      <alignment horizontal="left" vertical="top" wrapText="1"/>
    </xf>
    <xf numFmtId="2" fontId="3" fillId="9" borderId="62" xfId="3" applyNumberFormat="1" applyFont="1" applyFill="1" applyBorder="1" applyAlignment="1">
      <alignment horizontal="center" vertical="center"/>
    </xf>
    <xf numFmtId="0" fontId="4" fillId="0" borderId="63" xfId="3" applyBorder="1"/>
    <xf numFmtId="0" fontId="25" fillId="10" borderId="0" xfId="3" applyFont="1" applyFill="1" applyAlignment="1">
      <alignment horizontal="left" vertical="center" wrapText="1" indent="4"/>
    </xf>
    <xf numFmtId="0" fontId="25" fillId="0" borderId="0" xfId="3" applyFont="1" applyAlignment="1">
      <alignment horizontal="left" vertical="center" wrapText="1" indent="4"/>
    </xf>
    <xf numFmtId="0" fontId="25" fillId="0" borderId="42" xfId="3" applyFont="1" applyBorder="1" applyAlignment="1">
      <alignment horizontal="left" vertical="center" wrapText="1" indent="4"/>
    </xf>
    <xf numFmtId="0" fontId="25" fillId="0" borderId="44" xfId="3" applyFont="1" applyBorder="1" applyAlignment="1">
      <alignment horizontal="left" vertical="center" wrapText="1" indent="4"/>
    </xf>
    <xf numFmtId="0" fontId="25" fillId="0" borderId="45" xfId="3" applyFont="1" applyBorder="1" applyAlignment="1">
      <alignment horizontal="left" vertical="center" wrapText="1" indent="4"/>
    </xf>
    <xf numFmtId="0" fontId="23" fillId="11" borderId="39" xfId="3" applyFont="1" applyFill="1" applyBorder="1" applyAlignment="1">
      <alignment horizontal="left" vertical="top" wrapText="1" indent="3"/>
    </xf>
    <xf numFmtId="0" fontId="23" fillId="11" borderId="40" xfId="3" applyFont="1" applyFill="1" applyBorder="1" applyAlignment="1">
      <alignment horizontal="left" vertical="top" wrapText="1" indent="3"/>
    </xf>
    <xf numFmtId="0" fontId="23" fillId="11" borderId="0" xfId="3" applyFont="1" applyFill="1" applyAlignment="1">
      <alignment horizontal="left" vertical="top" wrapText="1" indent="3"/>
    </xf>
    <xf numFmtId="0" fontId="23" fillId="11" borderId="42" xfId="3" applyFont="1" applyFill="1" applyBorder="1" applyAlignment="1">
      <alignment horizontal="left" vertical="top" wrapText="1" indent="3"/>
    </xf>
    <xf numFmtId="0" fontId="4" fillId="11" borderId="0" xfId="3" applyFill="1" applyAlignment="1">
      <alignment horizontal="center" wrapText="1"/>
    </xf>
    <xf numFmtId="0" fontId="4" fillId="11" borderId="53" xfId="3" applyFill="1" applyBorder="1" applyAlignment="1">
      <alignment horizontal="center" wrapText="1"/>
    </xf>
    <xf numFmtId="0" fontId="4" fillId="11" borderId="0" xfId="3" applyFill="1" applyAlignment="1">
      <alignment horizontal="center"/>
    </xf>
    <xf numFmtId="0" fontId="4" fillId="11" borderId="53" xfId="3" applyFill="1" applyBorder="1" applyAlignment="1">
      <alignment horizontal="center"/>
    </xf>
    <xf numFmtId="0" fontId="28" fillId="11" borderId="0" xfId="3" applyFont="1" applyFill="1" applyAlignment="1">
      <alignment horizontal="center" wrapText="1"/>
    </xf>
    <xf numFmtId="0" fontId="28" fillId="11" borderId="30" xfId="3" applyFont="1" applyFill="1" applyBorder="1" applyAlignment="1">
      <alignment horizontal="center" wrapText="1"/>
    </xf>
    <xf numFmtId="0" fontId="12" fillId="11" borderId="0" xfId="3" applyFont="1" applyFill="1" applyAlignment="1">
      <alignment horizontal="center" wrapText="1"/>
    </xf>
    <xf numFmtId="0" fontId="12" fillId="11" borderId="54" xfId="3" applyFont="1" applyFill="1" applyBorder="1" applyAlignment="1">
      <alignment horizontal="center" wrapText="1"/>
    </xf>
    <xf numFmtId="0" fontId="4" fillId="0" borderId="0" xfId="3" applyAlignment="1">
      <alignment horizontal="left" wrapText="1" indent="3"/>
    </xf>
    <xf numFmtId="0" fontId="4" fillId="0" borderId="42" xfId="3" applyBorder="1" applyAlignment="1">
      <alignment horizontal="left" wrapText="1" indent="3"/>
    </xf>
    <xf numFmtId="0" fontId="4" fillId="0" borderId="44" xfId="3" applyBorder="1" applyAlignment="1">
      <alignment horizontal="left" wrapText="1" indent="3"/>
    </xf>
    <xf numFmtId="0" fontId="4" fillId="0" borderId="45" xfId="3" applyBorder="1" applyAlignment="1">
      <alignment horizontal="left" wrapText="1" indent="3"/>
    </xf>
    <xf numFmtId="166" fontId="23" fillId="2" borderId="39" xfId="3" applyNumberFormat="1" applyFont="1" applyFill="1" applyBorder="1" applyAlignment="1">
      <alignment horizontal="left" vertical="center" wrapText="1"/>
    </xf>
    <xf numFmtId="166" fontId="23" fillId="2" borderId="40" xfId="3" applyNumberFormat="1" applyFont="1" applyFill="1" applyBorder="1" applyAlignment="1">
      <alignment horizontal="left" vertical="center" wrapText="1"/>
    </xf>
    <xf numFmtId="166" fontId="23" fillId="2" borderId="0" xfId="3" applyNumberFormat="1" applyFont="1" applyFill="1" applyAlignment="1">
      <alignment horizontal="left" vertical="center" wrapText="1"/>
    </xf>
    <xf numFmtId="166" fontId="23" fillId="2" borderId="42" xfId="3" applyNumberFormat="1" applyFont="1" applyFill="1" applyBorder="1" applyAlignment="1">
      <alignment horizontal="left" vertical="center" wrapText="1"/>
    </xf>
    <xf numFmtId="0" fontId="4" fillId="9" borderId="0" xfId="3" applyFill="1" applyAlignment="1">
      <alignment horizontal="center"/>
    </xf>
    <xf numFmtId="0" fontId="4" fillId="9" borderId="54" xfId="3" applyFill="1" applyBorder="1" applyAlignment="1">
      <alignment horizontal="center"/>
    </xf>
    <xf numFmtId="2" fontId="4" fillId="9" borderId="60" xfId="3" applyNumberFormat="1" applyFill="1" applyBorder="1" applyAlignment="1">
      <alignment horizontal="center" vertical="center"/>
    </xf>
    <xf numFmtId="0" fontId="4" fillId="0" borderId="61" xfId="3" applyBorder="1"/>
    <xf numFmtId="0" fontId="26" fillId="10" borderId="11" xfId="3" applyFont="1" applyFill="1" applyBorder="1" applyAlignment="1">
      <alignment horizontal="left" vertical="top" wrapText="1"/>
    </xf>
    <xf numFmtId="0" fontId="17" fillId="0" borderId="0" xfId="3" applyFont="1" applyAlignment="1">
      <alignment horizontal="center"/>
    </xf>
    <xf numFmtId="0" fontId="4" fillId="9" borderId="0" xfId="3" applyFill="1" applyAlignment="1">
      <alignment horizontal="left"/>
    </xf>
    <xf numFmtId="0" fontId="20" fillId="9" borderId="42" xfId="3" applyFont="1" applyFill="1" applyBorder="1" applyAlignment="1">
      <alignment horizontal="center" vertical="center"/>
    </xf>
    <xf numFmtId="0" fontId="23" fillId="9" borderId="0" xfId="3" applyFont="1" applyFill="1" applyAlignment="1">
      <alignment horizontal="left" vertical="top" wrapText="1"/>
    </xf>
    <xf numFmtId="0" fontId="23" fillId="9" borderId="42" xfId="3" applyFont="1" applyFill="1" applyBorder="1" applyAlignment="1">
      <alignment horizontal="left" vertical="top" wrapText="1"/>
    </xf>
    <xf numFmtId="0" fontId="23" fillId="9" borderId="44" xfId="3" applyFont="1" applyFill="1" applyBorder="1" applyAlignment="1">
      <alignment horizontal="left" vertical="top" wrapText="1"/>
    </xf>
    <xf numFmtId="0" fontId="23" fillId="9" borderId="45" xfId="3" applyFont="1" applyFill="1" applyBorder="1"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xf>
    <xf numFmtId="0" fontId="4" fillId="0" borderId="9" xfId="0" applyFont="1" applyBorder="1" applyAlignment="1">
      <alignment horizontal="center" vertical="center"/>
    </xf>
    <xf numFmtId="0" fontId="3" fillId="0" borderId="14"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cellXfs>
  <cellStyles count="9">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Normal 4" xfId="8" xr:uid="{5E1D4A25-6BFF-4373-BD1D-EC6E7A8DFED0}"/>
    <cellStyle name="Percent" xfId="1" builtinId="5"/>
    <cellStyle name="Percent 2" xfId="4" xr:uid="{00000000-0005-0000-0000-000032000000}"/>
  </cellStyles>
  <dxfs count="83">
    <dxf>
      <alignment horizontal="center" vertical="bottom" textRotation="0" wrapText="1"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0"/>
        <color auto="1"/>
        <name val="Arial"/>
        <scheme val="none"/>
      </font>
      <numFmt numFmtId="167" formatCode="0.0%"/>
    </dxf>
    <dxf>
      <font>
        <b/>
        <i val="0"/>
        <strike val="0"/>
        <condense val="0"/>
        <extend val="0"/>
        <outline val="0"/>
        <shadow val="0"/>
        <u val="none"/>
        <vertAlign val="baseline"/>
        <sz val="10"/>
        <color auto="1"/>
        <name val="Arial"/>
        <scheme val="none"/>
      </font>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font>
      <fill>
        <patternFill>
          <bgColor rgb="FFFFFF00"/>
        </patternFill>
      </fill>
    </dxf>
    <dxf>
      <font>
        <b/>
        <i val="0"/>
      </font>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0.14996795556505021"/>
        </patternFill>
      </fill>
    </dxf>
    <dxf>
      <font>
        <b/>
        <i val="0"/>
      </font>
    </dxf>
    <dxf>
      <font>
        <b/>
        <i val="0"/>
      </font>
    </dxf>
    <dxf>
      <font>
        <b/>
        <i val="0"/>
      </font>
    </dxf>
    <dxf>
      <font>
        <b/>
        <i val="0"/>
      </font>
    </dxf>
    <dxf>
      <font>
        <b/>
        <i val="0"/>
      </font>
    </dxf>
    <dxf>
      <font>
        <strike/>
      </font>
    </dxf>
    <dxf>
      <font>
        <strike/>
      </font>
    </dxf>
    <dxf>
      <font>
        <strike/>
      </font>
    </dxf>
    <dxf>
      <font>
        <strike/>
      </font>
    </dxf>
    <dxf>
      <font>
        <strike/>
      </font>
    </dxf>
    <dxf>
      <font>
        <strike/>
      </font>
    </dxf>
    <dxf>
      <font>
        <strike val="0"/>
      </font>
    </dxf>
    <dxf>
      <font>
        <strike/>
      </font>
    </dxf>
    <dxf>
      <font>
        <strike val="0"/>
      </font>
    </dxf>
    <dxf>
      <font>
        <strike/>
      </font>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dxf>
    <dxf>
      <font>
        <b/>
        <i val="0"/>
      </font>
    </dxf>
    <dxf>
      <font>
        <b/>
        <i val="0"/>
      </font>
    </dxf>
    <dxf>
      <font>
        <b/>
        <i val="0"/>
      </font>
    </dxf>
    <dxf>
      <font>
        <b/>
        <i val="0"/>
      </font>
    </dxf>
    <dxf>
      <font>
        <b/>
        <i val="0"/>
      </font>
    </dxf>
    <dxf>
      <font>
        <b/>
        <i val="0"/>
      </font>
    </dxf>
    <dxf>
      <font>
        <b/>
        <i val="0"/>
      </font>
    </dxf>
    <dxf>
      <font>
        <strike val="0"/>
      </font>
    </dxf>
    <dxf>
      <font>
        <b/>
        <i val="0"/>
      </font>
      <fill>
        <patternFill>
          <bgColor rgb="FF00B0F0"/>
        </patternFill>
      </fill>
    </dxf>
    <dxf>
      <font>
        <strike/>
      </font>
    </dxf>
  </dxfs>
  <tableStyles count="0" defaultTableStyle="TableStyleMedium9" defaultPivotStyle="PivotStyleLight16"/>
  <colors>
    <mruColors>
      <color rgb="FF66FF66"/>
      <color rgb="FF66CC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F$44" lockText="1" noThreeD="1"/>
</file>

<file path=xl/ctrlProps/ctrlProp5.xml><?xml version="1.0" encoding="utf-8"?>
<formControlPr xmlns="http://schemas.microsoft.com/office/spreadsheetml/2009/9/main" objectType="CheckBox" fmlaLink="$D$37" lockText="1" noThreeD="1"/>
</file>

<file path=xl/ctrlProps/ctrlProp6.xml><?xml version="1.0" encoding="utf-8"?>
<formControlPr xmlns="http://schemas.microsoft.com/office/spreadsheetml/2009/9/main" objectType="CheckBox" fmlaLink="$E$37" lockText="1" noThreeD="1"/>
</file>

<file path=xl/ctrlProps/ctrlProp7.xml><?xml version="1.0" encoding="utf-8"?>
<formControlPr xmlns="http://schemas.microsoft.com/office/spreadsheetml/2009/9/main" objectType="CheckBox" fmlaLink="$F$37" lockText="1" noThreeD="1"/>
</file>

<file path=xl/ctrlProps/ctrlProp8.xml><?xml version="1.0" encoding="utf-8"?>
<formControlPr xmlns="http://schemas.microsoft.com/office/spreadsheetml/2009/9/main" objectType="CheckBox" fmlaLink="$E$44" lockText="1" noThreeD="1"/>
</file>

<file path=xl/ctrlProps/ctrlProp9.xml><?xml version="1.0" encoding="utf-8"?>
<formControlPr xmlns="http://schemas.microsoft.com/office/spreadsheetml/2009/9/main" objectType="Drop" dropLines="12" dropStyle="combo" dx="22" fmlaLink="D15" fmlaRange="$I$12:$I$22" noThreeD="1" sel="6" val="0"/>
</file>

<file path=xl/ctrlProps/ctrlProp10.xml><?xml version="1.0" encoding="utf-8"?>
<formControlPr xmlns="http://schemas.microsoft.com/office/spreadsheetml/2009/9/main" objectType="Drop" dropLines="12" dropStyle="combo" dx="22" fmlaLink="D16" fmlaRange="$I$12:$I$22" noThreeD="1" sel="7" val="0"/>
</file>

<file path=xl/ctrlProps/ctrlProp11.xml><?xml version="1.0" encoding="utf-8"?>
<formControlPr xmlns="http://schemas.microsoft.com/office/spreadsheetml/2009/9/main" objectType="Drop" dropLines="12" dropStyle="combo" dx="22" fmlaLink="D17" fmlaRange="$I$12:$I$22" noThreeD="1" sel="8"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fmlaLink="$D$44"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Radio" firstButton="1" fmlaLink="$K$3"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CheckBox" checked="Checked" fmlaLink="$F$45" lockText="1" noThreeD="1"/>
</file>

<file path=xl/ctrlProps/ctrlProp21.xml><?xml version="1.0" encoding="utf-8"?>
<formControlPr xmlns="http://schemas.microsoft.com/office/spreadsheetml/2009/9/main" objectType="CheckBox" checked="Checked" fmlaLink="$D$38" lockText="1" noThreeD="1"/>
</file>

<file path=xl/ctrlProps/ctrlProp22.xml><?xml version="1.0" encoding="utf-8"?>
<formControlPr xmlns="http://schemas.microsoft.com/office/spreadsheetml/2009/9/main" objectType="CheckBox" checked="Checked" fmlaLink="$E$38" lockText="1" noThreeD="1"/>
</file>

<file path=xl/ctrlProps/ctrlProp23.xml><?xml version="1.0" encoding="utf-8"?>
<formControlPr xmlns="http://schemas.microsoft.com/office/spreadsheetml/2009/9/main" objectType="CheckBox" checked="Checked" fmlaLink="$F$38" lockText="1" noThreeD="1"/>
</file>

<file path=xl/ctrlProps/ctrlProp24.xml><?xml version="1.0" encoding="utf-8"?>
<formControlPr xmlns="http://schemas.microsoft.com/office/spreadsheetml/2009/9/main" objectType="CheckBox" checked="Checked" fmlaLink="$E$45" lockText="1" noThreeD="1"/>
</file>

<file path=xl/ctrlProps/ctrlProp25.xml><?xml version="1.0" encoding="utf-8"?>
<formControlPr xmlns="http://schemas.microsoft.com/office/spreadsheetml/2009/9/main" objectType="Drop" dropLines="12" dropStyle="combo" dx="22" fmlaLink="D15" fmlaRange="$I$13:$I$23" noThreeD="1" sel="1" val="0"/>
</file>

<file path=xl/ctrlProps/ctrlProp26.xml><?xml version="1.0" encoding="utf-8"?>
<formControlPr xmlns="http://schemas.microsoft.com/office/spreadsheetml/2009/9/main" objectType="Drop" dropLines="12" dropStyle="combo" dx="22" fmlaLink="D16" fmlaRange="$I$13:$I$23" noThreeD="1" sel="1" val="0"/>
</file>

<file path=xl/ctrlProps/ctrlProp27.xml><?xml version="1.0" encoding="utf-8"?>
<formControlPr xmlns="http://schemas.microsoft.com/office/spreadsheetml/2009/9/main" objectType="Drop" dropLines="12" dropStyle="combo" dx="22" fmlaLink="D17" fmlaRange="$I$13:$I$23" noThreeD="1" sel="1" val="0"/>
</file>

<file path=xl/ctrlProps/ctrlProp28.xml><?xml version="1.0" encoding="utf-8"?>
<formControlPr xmlns="http://schemas.microsoft.com/office/spreadsheetml/2009/9/main" objectType="Drop" dropLines="12" dropStyle="combo" dx="22" fmlaLink="D18" fmlaRange="$I$13:$I$23" noThreeD="1" sel="1" val="0"/>
</file>

<file path=xl/ctrlProps/ctrlProp29.xml><?xml version="1.0" encoding="utf-8"?>
<formControlPr xmlns="http://schemas.microsoft.com/office/spreadsheetml/2009/9/main" objectType="Drop" dropLines="12" dropStyle="combo" dx="22" fmlaLink="D22" fmlaRange="$I$13:$I$23" noThreeD="1" sel="1" val="0"/>
</file>

<file path=xl/ctrlProps/ctrlProp30.xml><?xml version="1.0" encoding="utf-8"?>
<formControlPr xmlns="http://schemas.microsoft.com/office/spreadsheetml/2009/9/main" objectType="Drop" dropLines="12" dropStyle="combo" dx="22" fmlaLink="D19" fmlaRange="$I$13:$I$23" noThreeD="1" sel="1" val="0"/>
</file>

<file path=xl/ctrlProps/ctrlProp31.xml><?xml version="1.0" encoding="utf-8"?>
<formControlPr xmlns="http://schemas.microsoft.com/office/spreadsheetml/2009/9/main" objectType="Drop" dropLines="12" dropStyle="combo" dx="22" fmlaLink="D20" fmlaRange="$I$13:$I$23" noThreeD="1" sel="1" val="0"/>
</file>

<file path=xl/ctrlProps/ctrlProp32.xml><?xml version="1.0" encoding="utf-8"?>
<formControlPr xmlns="http://schemas.microsoft.com/office/spreadsheetml/2009/9/main" objectType="Drop" dropLines="12" dropStyle="combo" dx="22" fmlaLink="D21" fmlaRange="$I$13:$I$23" noThreeD="1" sel="1" val="0"/>
</file>

<file path=xl/ctrlProps/ctrlProp33.xml><?xml version="1.0" encoding="utf-8"?>
<formControlPr xmlns="http://schemas.microsoft.com/office/spreadsheetml/2009/9/main" objectType="CheckBox" checked="Checked" fmlaLink="$D$45" lockText="1" noThreeD="1"/>
</file>

<file path=xl/ctrlProps/ctrlProp34.xml><?xml version="1.0" encoding="utf-8"?>
<formControlPr xmlns="http://schemas.microsoft.com/office/spreadsheetml/2009/9/main" objectType="Drop" dropLines="12" dropStyle="combo" dx="22" fmlaLink="D23" fmlaRange="$I$13:$I$23" noThreeD="1" sel="1" val="0"/>
</file>

<file path=xl/drawings/_rels/drawing1.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3.png"/><Relationship Id="rId1" Type="http://schemas.openxmlformats.org/officeDocument/2006/relationships/hyperlink" Target="http://www.homebrewsupply.com/?a_aid=toddhuizingh&amp;a_bid=70d8cb08#a_aid=toddhuizingh&amp;a_bid=70d8cb08&amp;chan=code2"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43</xdr:row>
          <xdr:rowOff>0</xdr:rowOff>
        </xdr:from>
        <xdr:to>
          <xdr:col>5</xdr:col>
          <xdr:colOff>693420</xdr:colOff>
          <xdr:row>44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36</xdr:row>
          <xdr:rowOff>0</xdr:rowOff>
        </xdr:from>
        <xdr:to>
          <xdr:col>3</xdr:col>
          <xdr:colOff>693420</xdr:colOff>
          <xdr:row>36</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0</xdr:rowOff>
        </xdr:from>
        <xdr:to>
          <xdr:col>4</xdr:col>
          <xdr:colOff>693420</xdr:colOff>
          <xdr:row>36</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36</xdr:row>
          <xdr:rowOff>0</xdr:rowOff>
        </xdr:from>
        <xdr:to>
          <xdr:col>5</xdr:col>
          <xdr:colOff>693420</xdr:colOff>
          <xdr:row>37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43</xdr:row>
          <xdr:rowOff>0</xdr:rowOff>
        </xdr:from>
        <xdr:to>
          <xdr:col>4</xdr:col>
          <xdr:colOff>693420</xdr:colOff>
          <xdr:row>44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5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5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0</xdr:rowOff>
        </xdr:from>
        <xdr:to>
          <xdr:col>3</xdr:col>
          <xdr:colOff>693420</xdr:colOff>
          <xdr:row>44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39</xdr:row>
      <xdr:rowOff>95250</xdr:rowOff>
    </xdr:from>
    <xdr:to>
      <xdr:col>5</xdr:col>
      <xdr:colOff>495300</xdr:colOff>
      <xdr:row>40</xdr:row>
      <xdr:rowOff>66675</xdr:rowOff>
    </xdr:to>
    <xdr:sp macro="" textlink="">
      <xdr:nvSpPr>
        <xdr:cNvPr id="21" name="Line 45">
          <a:extLst>
            <a:ext uri="{FF2B5EF4-FFF2-40B4-BE49-F238E27FC236}">
              <a16:creationId xmlns:a16="http://schemas.microsoft.com/office/drawing/2014/main" id="{00000000-0008-0000-05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39</xdr:row>
      <xdr:rowOff>95250</xdr:rowOff>
    </xdr:from>
    <xdr:to>
      <xdr:col>6</xdr:col>
      <xdr:colOff>9525</xdr:colOff>
      <xdr:row>39</xdr:row>
      <xdr:rowOff>95250</xdr:rowOff>
    </xdr:to>
    <xdr:sp macro="" textlink="">
      <xdr:nvSpPr>
        <xdr:cNvPr id="22" name="Line 46">
          <a:extLst>
            <a:ext uri="{FF2B5EF4-FFF2-40B4-BE49-F238E27FC236}">
              <a16:creationId xmlns:a16="http://schemas.microsoft.com/office/drawing/2014/main" id="{00000000-0008-0000-05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36</xdr:row>
      <xdr:rowOff>200025</xdr:rowOff>
    </xdr:from>
    <xdr:to>
      <xdr:col>7</xdr:col>
      <xdr:colOff>161925</xdr:colOff>
      <xdr:row>37</xdr:row>
      <xdr:rowOff>123825</xdr:rowOff>
    </xdr:to>
    <xdr:sp macro="" textlink="">
      <xdr:nvSpPr>
        <xdr:cNvPr id="23" name="Line 47">
          <a:extLst>
            <a:ext uri="{FF2B5EF4-FFF2-40B4-BE49-F238E27FC236}">
              <a16:creationId xmlns:a16="http://schemas.microsoft.com/office/drawing/2014/main" id="{00000000-0008-0000-05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37</xdr:row>
      <xdr:rowOff>123825</xdr:rowOff>
    </xdr:from>
    <xdr:to>
      <xdr:col>7</xdr:col>
      <xdr:colOff>552450</xdr:colOff>
      <xdr:row>37</xdr:row>
      <xdr:rowOff>123825</xdr:rowOff>
    </xdr:to>
    <xdr:sp macro="" textlink="">
      <xdr:nvSpPr>
        <xdr:cNvPr id="24" name="Line 48">
          <a:extLst>
            <a:ext uri="{FF2B5EF4-FFF2-40B4-BE49-F238E27FC236}">
              <a16:creationId xmlns:a16="http://schemas.microsoft.com/office/drawing/2014/main" id="{00000000-0008-0000-05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34</xdr:row>
      <xdr:rowOff>104775</xdr:rowOff>
    </xdr:from>
    <xdr:to>
      <xdr:col>8</xdr:col>
      <xdr:colOff>114300</xdr:colOff>
      <xdr:row>34</xdr:row>
      <xdr:rowOff>104775</xdr:rowOff>
    </xdr:to>
    <xdr:sp macro="" textlink="">
      <xdr:nvSpPr>
        <xdr:cNvPr id="25" name="Line 49">
          <a:extLst>
            <a:ext uri="{FF2B5EF4-FFF2-40B4-BE49-F238E27FC236}">
              <a16:creationId xmlns:a16="http://schemas.microsoft.com/office/drawing/2014/main" id="{00000000-0008-0000-05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34</xdr:row>
      <xdr:rowOff>104775</xdr:rowOff>
    </xdr:from>
    <xdr:to>
      <xdr:col>8</xdr:col>
      <xdr:colOff>114300</xdr:colOff>
      <xdr:row>36</xdr:row>
      <xdr:rowOff>133350</xdr:rowOff>
    </xdr:to>
    <xdr:sp macro="" textlink="">
      <xdr:nvSpPr>
        <xdr:cNvPr id="26" name="Line 51">
          <a:extLst>
            <a:ext uri="{FF2B5EF4-FFF2-40B4-BE49-F238E27FC236}">
              <a16:creationId xmlns:a16="http://schemas.microsoft.com/office/drawing/2014/main" id="{00000000-0008-0000-05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30</xdr:row>
      <xdr:rowOff>180975</xdr:rowOff>
    </xdr:from>
    <xdr:to>
      <xdr:col>7</xdr:col>
      <xdr:colOff>333375</xdr:colOff>
      <xdr:row>30</xdr:row>
      <xdr:rowOff>180975</xdr:rowOff>
    </xdr:to>
    <xdr:sp macro="" textlink="">
      <xdr:nvSpPr>
        <xdr:cNvPr id="27" name="Line 52">
          <a:extLst>
            <a:ext uri="{FF2B5EF4-FFF2-40B4-BE49-F238E27FC236}">
              <a16:creationId xmlns:a16="http://schemas.microsoft.com/office/drawing/2014/main" id="{00000000-0008-0000-05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51</xdr:row>
      <xdr:rowOff>190500</xdr:rowOff>
    </xdr:from>
    <xdr:to>
      <xdr:col>2</xdr:col>
      <xdr:colOff>962025</xdr:colOff>
      <xdr:row>52</xdr:row>
      <xdr:rowOff>95250</xdr:rowOff>
    </xdr:to>
    <xdr:sp macro="" textlink="">
      <xdr:nvSpPr>
        <xdr:cNvPr id="28" name="Line 53">
          <a:extLst>
            <a:ext uri="{FF2B5EF4-FFF2-40B4-BE49-F238E27FC236}">
              <a16:creationId xmlns:a16="http://schemas.microsoft.com/office/drawing/2014/main" id="{00000000-0008-0000-05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95250</xdr:rowOff>
    </xdr:from>
    <xdr:to>
      <xdr:col>2</xdr:col>
      <xdr:colOff>1133475</xdr:colOff>
      <xdr:row>52</xdr:row>
      <xdr:rowOff>95250</xdr:rowOff>
    </xdr:to>
    <xdr:sp macro="" textlink="">
      <xdr:nvSpPr>
        <xdr:cNvPr id="29" name="Line 54">
          <a:extLst>
            <a:ext uri="{FF2B5EF4-FFF2-40B4-BE49-F238E27FC236}">
              <a16:creationId xmlns:a16="http://schemas.microsoft.com/office/drawing/2014/main" id="{00000000-0008-0000-05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26</xdr:row>
      <xdr:rowOff>85725</xdr:rowOff>
    </xdr:from>
    <xdr:to>
      <xdr:col>5</xdr:col>
      <xdr:colOff>971550</xdr:colOff>
      <xdr:row>27</xdr:row>
      <xdr:rowOff>28575</xdr:rowOff>
    </xdr:to>
    <xdr:sp macro="" textlink="">
      <xdr:nvSpPr>
        <xdr:cNvPr id="30" name="Line 56">
          <a:extLst>
            <a:ext uri="{FF2B5EF4-FFF2-40B4-BE49-F238E27FC236}">
              <a16:creationId xmlns:a16="http://schemas.microsoft.com/office/drawing/2014/main" id="{00000000-0008-0000-05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26</xdr:row>
      <xdr:rowOff>85725</xdr:rowOff>
    </xdr:from>
    <xdr:to>
      <xdr:col>7</xdr:col>
      <xdr:colOff>333375</xdr:colOff>
      <xdr:row>26</xdr:row>
      <xdr:rowOff>85725</xdr:rowOff>
    </xdr:to>
    <xdr:sp macro="" textlink="">
      <xdr:nvSpPr>
        <xdr:cNvPr id="31" name="Line 59">
          <a:extLst>
            <a:ext uri="{FF2B5EF4-FFF2-40B4-BE49-F238E27FC236}">
              <a16:creationId xmlns:a16="http://schemas.microsoft.com/office/drawing/2014/main" id="{00000000-0008-0000-05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114300</xdr:rowOff>
    </xdr:from>
    <xdr:to>
      <xdr:col>2</xdr:col>
      <xdr:colOff>114300</xdr:colOff>
      <xdr:row>38</xdr:row>
      <xdr:rowOff>114300</xdr:rowOff>
    </xdr:to>
    <xdr:sp macro="" textlink="">
      <xdr:nvSpPr>
        <xdr:cNvPr id="32" name="Line 65">
          <a:extLst>
            <a:ext uri="{FF2B5EF4-FFF2-40B4-BE49-F238E27FC236}">
              <a16:creationId xmlns:a16="http://schemas.microsoft.com/office/drawing/2014/main" id="{00000000-0008-0000-05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2</xdr:col>
      <xdr:colOff>85725</xdr:colOff>
      <xdr:row>37</xdr:row>
      <xdr:rowOff>123825</xdr:rowOff>
    </xdr:to>
    <xdr:sp macro="" textlink="">
      <xdr:nvSpPr>
        <xdr:cNvPr id="33" name="Line 66">
          <a:extLst>
            <a:ext uri="{FF2B5EF4-FFF2-40B4-BE49-F238E27FC236}">
              <a16:creationId xmlns:a16="http://schemas.microsoft.com/office/drawing/2014/main" id="{00000000-0008-0000-05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1</xdr:col>
      <xdr:colOff>47625</xdr:colOff>
      <xdr:row>38</xdr:row>
      <xdr:rowOff>114300</xdr:rowOff>
    </xdr:to>
    <xdr:sp macro="" textlink="">
      <xdr:nvSpPr>
        <xdr:cNvPr id="34" name="Line 72">
          <a:extLst>
            <a:ext uri="{FF2B5EF4-FFF2-40B4-BE49-F238E27FC236}">
              <a16:creationId xmlns:a16="http://schemas.microsoft.com/office/drawing/2014/main" id="{00000000-0008-0000-05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323850</xdr:colOff>
      <xdr:row>34</xdr:row>
      <xdr:rowOff>114300</xdr:rowOff>
    </xdr:to>
    <xdr:sp macro="" textlink="">
      <xdr:nvSpPr>
        <xdr:cNvPr id="35" name="Line 73">
          <a:extLst>
            <a:ext uri="{FF2B5EF4-FFF2-40B4-BE49-F238E27FC236}">
              <a16:creationId xmlns:a16="http://schemas.microsoft.com/office/drawing/2014/main" id="{00000000-0008-0000-05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123825</xdr:rowOff>
    </xdr:from>
    <xdr:to>
      <xdr:col>2</xdr:col>
      <xdr:colOff>180975</xdr:colOff>
      <xdr:row>35</xdr:row>
      <xdr:rowOff>123825</xdr:rowOff>
    </xdr:to>
    <xdr:sp macro="" textlink="">
      <xdr:nvSpPr>
        <xdr:cNvPr id="36" name="Line 74">
          <a:extLst>
            <a:ext uri="{FF2B5EF4-FFF2-40B4-BE49-F238E27FC236}">
              <a16:creationId xmlns:a16="http://schemas.microsoft.com/office/drawing/2014/main" id="{00000000-0008-0000-05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28575</xdr:colOff>
      <xdr:row>35</xdr:row>
      <xdr:rowOff>123825</xdr:rowOff>
    </xdr:to>
    <xdr:sp macro="" textlink="">
      <xdr:nvSpPr>
        <xdr:cNvPr id="37" name="Line 75">
          <a:extLst>
            <a:ext uri="{FF2B5EF4-FFF2-40B4-BE49-F238E27FC236}">
              <a16:creationId xmlns:a16="http://schemas.microsoft.com/office/drawing/2014/main" id="{00000000-0008-0000-05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133350</xdr:rowOff>
    </xdr:from>
    <xdr:to>
      <xdr:col>8</xdr:col>
      <xdr:colOff>209550</xdr:colOff>
      <xdr:row>36</xdr:row>
      <xdr:rowOff>133350</xdr:rowOff>
    </xdr:to>
    <xdr:sp macro="" textlink="">
      <xdr:nvSpPr>
        <xdr:cNvPr id="38" name="Line 77">
          <a:extLst>
            <a:ext uri="{FF2B5EF4-FFF2-40B4-BE49-F238E27FC236}">
              <a16:creationId xmlns:a16="http://schemas.microsoft.com/office/drawing/2014/main" id="{00000000-0008-0000-05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114300</xdr:rowOff>
    </xdr:from>
    <xdr:to>
      <xdr:col>2</xdr:col>
      <xdr:colOff>114300</xdr:colOff>
      <xdr:row>45</xdr:row>
      <xdr:rowOff>114300</xdr:rowOff>
    </xdr:to>
    <xdr:sp macro="" textlink="">
      <xdr:nvSpPr>
        <xdr:cNvPr id="39" name="Line 78">
          <a:extLst>
            <a:ext uri="{FF2B5EF4-FFF2-40B4-BE49-F238E27FC236}">
              <a16:creationId xmlns:a16="http://schemas.microsoft.com/office/drawing/2014/main" id="{00000000-0008-0000-05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2</xdr:col>
      <xdr:colOff>85725</xdr:colOff>
      <xdr:row>44</xdr:row>
      <xdr:rowOff>123825</xdr:rowOff>
    </xdr:to>
    <xdr:sp macro="" textlink="">
      <xdr:nvSpPr>
        <xdr:cNvPr id="40" name="Line 79">
          <a:extLst>
            <a:ext uri="{FF2B5EF4-FFF2-40B4-BE49-F238E27FC236}">
              <a16:creationId xmlns:a16="http://schemas.microsoft.com/office/drawing/2014/main" id="{00000000-0008-0000-05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1</xdr:col>
      <xdr:colOff>47625</xdr:colOff>
      <xdr:row>45</xdr:row>
      <xdr:rowOff>114300</xdr:rowOff>
    </xdr:to>
    <xdr:sp macro="" textlink="">
      <xdr:nvSpPr>
        <xdr:cNvPr id="41" name="Line 80">
          <a:extLst>
            <a:ext uri="{FF2B5EF4-FFF2-40B4-BE49-F238E27FC236}">
              <a16:creationId xmlns:a16="http://schemas.microsoft.com/office/drawing/2014/main" id="{00000000-0008-0000-05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323850</xdr:colOff>
      <xdr:row>41</xdr:row>
      <xdr:rowOff>114300</xdr:rowOff>
    </xdr:to>
    <xdr:sp macro="" textlink="">
      <xdr:nvSpPr>
        <xdr:cNvPr id="42" name="Line 81">
          <a:extLst>
            <a:ext uri="{FF2B5EF4-FFF2-40B4-BE49-F238E27FC236}">
              <a16:creationId xmlns:a16="http://schemas.microsoft.com/office/drawing/2014/main" id="{00000000-0008-0000-05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123825</xdr:rowOff>
    </xdr:from>
    <xdr:to>
      <xdr:col>2</xdr:col>
      <xdr:colOff>180975</xdr:colOff>
      <xdr:row>42</xdr:row>
      <xdr:rowOff>123825</xdr:rowOff>
    </xdr:to>
    <xdr:sp macro="" textlink="">
      <xdr:nvSpPr>
        <xdr:cNvPr id="43" name="Line 82">
          <a:extLst>
            <a:ext uri="{FF2B5EF4-FFF2-40B4-BE49-F238E27FC236}">
              <a16:creationId xmlns:a16="http://schemas.microsoft.com/office/drawing/2014/main" id="{00000000-0008-0000-05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28575</xdr:colOff>
      <xdr:row>42</xdr:row>
      <xdr:rowOff>123825</xdr:rowOff>
    </xdr:to>
    <xdr:sp macro="" textlink="">
      <xdr:nvSpPr>
        <xdr:cNvPr id="44" name="Line 83">
          <a:extLst>
            <a:ext uri="{FF2B5EF4-FFF2-40B4-BE49-F238E27FC236}">
              <a16:creationId xmlns:a16="http://schemas.microsoft.com/office/drawing/2014/main" id="{00000000-0008-0000-05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61</xdr:row>
      <xdr:rowOff>190499</xdr:rowOff>
    </xdr:from>
    <xdr:to>
      <xdr:col>4</xdr:col>
      <xdr:colOff>633190</xdr:colOff>
      <xdr:row>63</xdr:row>
      <xdr:rowOff>0</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78</xdr:row>
          <xdr:rowOff>99060</xdr:rowOff>
        </xdr:from>
        <xdr:to>
          <xdr:col>3</xdr:col>
          <xdr:colOff>518160</xdr:colOff>
          <xdr:row>78</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56</xdr:row>
          <xdr:rowOff>175260</xdr:rowOff>
        </xdr:from>
        <xdr:to>
          <xdr:col>2</xdr:col>
          <xdr:colOff>1584960</xdr:colOff>
          <xdr:row>60</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38</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38</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3" name="Line 49">
          <a:extLst>
            <a:ext uri="{FF2B5EF4-FFF2-40B4-BE49-F238E27FC236}">
              <a16:creationId xmlns:a16="http://schemas.microsoft.com/office/drawing/2014/main" id="{00000000-0008-0000-06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123825</xdr:rowOff>
    </xdr:to>
    <xdr:sp macro="" textlink="">
      <xdr:nvSpPr>
        <xdr:cNvPr id="24" name="Line 51">
          <a:extLst>
            <a:ext uri="{FF2B5EF4-FFF2-40B4-BE49-F238E27FC236}">
              <a16:creationId xmlns:a16="http://schemas.microsoft.com/office/drawing/2014/main" id="{00000000-0008-0000-06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5" name="Line 52">
          <a:extLst>
            <a:ext uri="{FF2B5EF4-FFF2-40B4-BE49-F238E27FC236}">
              <a16:creationId xmlns:a16="http://schemas.microsoft.com/office/drawing/2014/main" id="{00000000-0008-0000-06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6" name="Line 53">
          <a:extLst>
            <a:ext uri="{FF2B5EF4-FFF2-40B4-BE49-F238E27FC236}">
              <a16:creationId xmlns:a16="http://schemas.microsoft.com/office/drawing/2014/main" id="{00000000-0008-0000-06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7" name="Line 54">
          <a:extLst>
            <a:ext uri="{FF2B5EF4-FFF2-40B4-BE49-F238E27FC236}">
              <a16:creationId xmlns:a16="http://schemas.microsoft.com/office/drawing/2014/main" id="{00000000-0008-0000-06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28" name="Line 56">
          <a:extLst>
            <a:ext uri="{FF2B5EF4-FFF2-40B4-BE49-F238E27FC236}">
              <a16:creationId xmlns:a16="http://schemas.microsoft.com/office/drawing/2014/main" id="{00000000-0008-0000-06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29" name="Line 59">
          <a:extLst>
            <a:ext uri="{FF2B5EF4-FFF2-40B4-BE49-F238E27FC236}">
              <a16:creationId xmlns:a16="http://schemas.microsoft.com/office/drawing/2014/main" id="{00000000-0008-0000-06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0" name="Line 60">
          <a:extLst>
            <a:ext uri="{FF2B5EF4-FFF2-40B4-BE49-F238E27FC236}">
              <a16:creationId xmlns:a16="http://schemas.microsoft.com/office/drawing/2014/main" id="{00000000-0008-0000-06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1" name="Line 61">
          <a:extLst>
            <a:ext uri="{FF2B5EF4-FFF2-40B4-BE49-F238E27FC236}">
              <a16:creationId xmlns:a16="http://schemas.microsoft.com/office/drawing/2014/main" id="{00000000-0008-0000-06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2" name="Line 62">
          <a:extLst>
            <a:ext uri="{FF2B5EF4-FFF2-40B4-BE49-F238E27FC236}">
              <a16:creationId xmlns:a16="http://schemas.microsoft.com/office/drawing/2014/main" id="{00000000-0008-0000-06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3" name="Line 63">
          <a:extLst>
            <a:ext uri="{FF2B5EF4-FFF2-40B4-BE49-F238E27FC236}">
              <a16:creationId xmlns:a16="http://schemas.microsoft.com/office/drawing/2014/main" id="{00000000-0008-0000-06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4" name="Line 64">
          <a:extLst>
            <a:ext uri="{FF2B5EF4-FFF2-40B4-BE49-F238E27FC236}">
              <a16:creationId xmlns:a16="http://schemas.microsoft.com/office/drawing/2014/main" id="{00000000-0008-0000-06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5" name="Line 65">
          <a:extLst>
            <a:ext uri="{FF2B5EF4-FFF2-40B4-BE49-F238E27FC236}">
              <a16:creationId xmlns:a16="http://schemas.microsoft.com/office/drawing/2014/main" id="{00000000-0008-0000-06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6" name="Line 66">
          <a:extLst>
            <a:ext uri="{FF2B5EF4-FFF2-40B4-BE49-F238E27FC236}">
              <a16:creationId xmlns:a16="http://schemas.microsoft.com/office/drawing/2014/main" id="{00000000-0008-0000-06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37" name="Line 67">
          <a:extLst>
            <a:ext uri="{FF2B5EF4-FFF2-40B4-BE49-F238E27FC236}">
              <a16:creationId xmlns:a16="http://schemas.microsoft.com/office/drawing/2014/main" id="{00000000-0008-0000-06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38" name="Line 68">
          <a:extLst>
            <a:ext uri="{FF2B5EF4-FFF2-40B4-BE49-F238E27FC236}">
              <a16:creationId xmlns:a16="http://schemas.microsoft.com/office/drawing/2014/main" id="{00000000-0008-0000-06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39" name="Line 69">
          <a:extLst>
            <a:ext uri="{FF2B5EF4-FFF2-40B4-BE49-F238E27FC236}">
              <a16:creationId xmlns:a16="http://schemas.microsoft.com/office/drawing/2014/main" id="{00000000-0008-0000-06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0" name="Line 70">
          <a:extLst>
            <a:ext uri="{FF2B5EF4-FFF2-40B4-BE49-F238E27FC236}">
              <a16:creationId xmlns:a16="http://schemas.microsoft.com/office/drawing/2014/main" id="{00000000-0008-0000-06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1" name="Line 71">
          <a:extLst>
            <a:ext uri="{FF2B5EF4-FFF2-40B4-BE49-F238E27FC236}">
              <a16:creationId xmlns:a16="http://schemas.microsoft.com/office/drawing/2014/main" id="{00000000-0008-0000-06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123825</xdr:rowOff>
    </xdr:from>
    <xdr:to>
      <xdr:col>8</xdr:col>
      <xdr:colOff>209550</xdr:colOff>
      <xdr:row>37</xdr:row>
      <xdr:rowOff>123825</xdr:rowOff>
    </xdr:to>
    <xdr:sp macro="" textlink="">
      <xdr:nvSpPr>
        <xdr:cNvPr id="42" name="Line 75">
          <a:extLst>
            <a:ext uri="{FF2B5EF4-FFF2-40B4-BE49-F238E27FC236}">
              <a16:creationId xmlns:a16="http://schemas.microsoft.com/office/drawing/2014/main" id="{00000000-0008-0000-06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57</xdr:row>
          <xdr:rowOff>182880</xdr:rowOff>
        </xdr:from>
        <xdr:to>
          <xdr:col>2</xdr:col>
          <xdr:colOff>1607820</xdr:colOff>
          <xdr:row>61</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63</xdr:row>
      <xdr:rowOff>0</xdr:rowOff>
    </xdr:from>
    <xdr:to>
      <xdr:col>4</xdr:col>
      <xdr:colOff>628650</xdr:colOff>
      <xdr:row>64</xdr:row>
      <xdr:rowOff>0</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I240" totalsRowShown="0" headerRowDxfId="15">
  <autoFilter ref="A1:I240" xr:uid="{00000000-0009-0000-0100-000002000000}"/>
  <sortState xmlns:xlrd2="http://schemas.microsoft.com/office/spreadsheetml/2017/richdata2" ref="A2:I240">
    <sortCondition ref="A2:A240"/>
  </sortState>
  <tableColumns count="9">
    <tableColumn id="1" xr3:uid="{00000000-0010-0000-0000-000001000000}" name="Ingredient Name"/>
    <tableColumn id="6" xr3:uid="{00000000-0010-0000-0000-000006000000}" name="Company" dataDxfId="14"/>
    <tableColumn id="2" xr3:uid="{00000000-0010-0000-0000-000002000000}" name="Grain or Sugar" dataDxfId="13" totalsRowDxfId="12"/>
    <tableColumn id="8" xr3:uid="{00000000-0010-0000-0000-000008000000}" name="Extract %" dataDxfId="11" totalsRowDxfId="10"/>
    <tableColumn id="5" xr3:uid="{00000000-0010-0000-0000-000005000000}" name="Moisture Content %" dataDxfId="9" totalsRowDxfId="8"/>
    <tableColumn id="3" xr3:uid="{00000000-0010-0000-0000-000003000000}" name="Max PPG" dataDxfId="7" totalsRowDxfId="6"/>
    <tableColumn id="4" xr3:uid="{00000000-0010-0000-0000-000004000000}" name="Color (° L)" dataDxfId="5"/>
    <tableColumn id="9" xr3:uid="{97017575-087E-4C28-BD18-5533BF1CEA0D}" name="Diastatic Power_x000a_(° Lintner)" dataDxfId="4"/>
    <tableColumn id="7" xr3:uid="{00000000-0010-0000-0000-000007000000}" name="Sourc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311" totalsRowShown="0" headerRowDxfId="3">
  <autoFilter ref="A1:I311" xr:uid="{00000000-0009-0000-0100-000003000000}"/>
  <sortState xmlns:xlrd2="http://schemas.microsoft.com/office/spreadsheetml/2017/richdata2" ref="A2:I311">
    <sortCondition ref="A2:A311"/>
  </sortState>
  <tableColumns count="9">
    <tableColumn id="1" xr3:uid="{00000000-0010-0000-0100-000001000000}" name="Name &amp; Number"/>
    <tableColumn id="2" xr3:uid="{00000000-0010-0000-0100-000002000000}" name="Type"/>
    <tableColumn id="3" xr3:uid="{00000000-0010-0000-0100-000003000000}" name="Lab"/>
    <tableColumn id="4" xr3:uid="{00000000-0010-0000-0100-000004000000}" name="Floc."/>
    <tableColumn id="5" xr3:uid="{00000000-0010-0000-0100-000005000000}" name="Atten."/>
    <tableColumn id="6" xr3:uid="{00000000-0010-0000-0100-000006000000}" name="Avg Atten" dataDxfId="2" dataCellStyle="Percent"/>
    <tableColumn id="7" xr3:uid="{00000000-0010-0000-0100-000007000000}" name="Temp. Low F" dataDxfId="1"/>
    <tableColumn id="9" xr3:uid="{00000000-0010-0000-0100-000009000000}" name="Temp. High F" dataDxfId="0"/>
    <tableColumn id="8" xr3:uid="{00000000-0010-0000-0100-000008000000}" name="Descriptio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aypal.com/cgi-bin/webscr?cmd=_s-xclick&amp;hosted_button_id=4YTSMV7HTDBKW"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youtu.be/W7sEOu2Iz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1.xml"/><Relationship Id="rId12" Type="http://schemas.openxmlformats.org/officeDocument/2006/relationships/image" Target="../media/image2.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6.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1.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hyperlink" Target="http://www.howtobrew.com/section3/chapter15-1.html" TargetMode="External"/><Relationship Id="rId21" Type="http://schemas.openxmlformats.org/officeDocument/2006/relationships/ctrlProp" Target="../ctrlProps/ctrlProp28.xml"/><Relationship Id="rId7" Type="http://schemas.openxmlformats.org/officeDocument/2006/relationships/drawing" Target="../drawings/drawing2.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hyperlink" Target="http://www.ezwatercalculator.com/" TargetMode="Externa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image" Target="../media/image2.emf"/><Relationship Id="rId19" Type="http://schemas.openxmlformats.org/officeDocument/2006/relationships/ctrlProp" Target="../ctrlProps/ctrlProp26.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Roasted.htm" TargetMode="External"/><Relationship Id="rId138" Type="http://schemas.openxmlformats.org/officeDocument/2006/relationships/hyperlink" Target="http://www.fawcett-maltsters.co.uk/uploads/2/0/2/6/20260333/spec_table_asbc.pdf"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s://bsgcraftbrewing.com/rahr-standard-2row" TargetMode="External"/><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81" Type="http://schemas.openxmlformats.org/officeDocument/2006/relationships/hyperlink" Target="https://www.gladfieldmalt.co.nz/our-malts/"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extra" TargetMode="External"/><Relationship Id="rId139" Type="http://schemas.openxmlformats.org/officeDocument/2006/relationships/hyperlink" Target="http://brewingwithbriess.com/Products/Roasted_Barley.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red-x/?"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61" Type="http://schemas.openxmlformats.org/officeDocument/2006/relationships/hyperlink" Target="http://www.brewingwithbriess.com/Products/Dark_Roasted.htm" TargetMode="External"/><Relationship Id="rId182" Type="http://schemas.openxmlformats.org/officeDocument/2006/relationships/hyperlink" Target="https://www.gladfieldmalt.co.nz/our-malts/"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5" Type="http://schemas.openxmlformats.org/officeDocument/2006/relationships/hyperlink" Target="https://www.weyermann.de/usa/gelbe_seiten_usa.asp?go=brewery&amp;umenue=yes&amp;idmenue=269&amp;sprache=10"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188" Type="http://schemas.openxmlformats.org/officeDocument/2006/relationships/hyperlink" Target="https://www.weyermann.de/usa/gelbe_seiten_usa.asp?go=brewery&amp;umenue=yes&amp;idmenue=269&amp;sprache=10"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189" Type="http://schemas.openxmlformats.org/officeDocument/2006/relationships/printerSettings" Target="../printerSettings/printerSettings8.bin"/><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90" Type="http://schemas.openxmlformats.org/officeDocument/2006/relationships/table" Target="../tables/table1.xm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hyperlink" Target="http://brewingwithbriess.com/Products/Dark_Roasted.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44" Type="http://schemas.openxmlformats.org/officeDocument/2006/relationships/hyperlink" Target="http://brewingwithbriess.com/Products/Kiln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Base.htm" TargetMode="External"/><Relationship Id="rId186" Type="http://schemas.openxmlformats.org/officeDocument/2006/relationships/hyperlink" Target="http://brewingwithbriess.com/Products/Dark_Roasted.htm" TargetMode="Externa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hyperlink" Target="https://www.gladfieldmalt.co.nz/our-malts/" TargetMode="External"/><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24" Type="http://schemas.openxmlformats.org/officeDocument/2006/relationships/hyperlink" Target="http://www.muntonsmicrobrewing.com/product-range/"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s://www.weyermann.de/usa/gelbe_seiten_usa.asp?go=brewery&amp;umenue=yes&amp;idmenue=269&amp;sprache=10" TargetMode="External"/><Relationship Id="rId187" Type="http://schemas.openxmlformats.org/officeDocument/2006/relationships/hyperlink" Target="http://www.brewingwithbriess.com/Products/Munich.htm" TargetMode="External"/><Relationship Id="rId1" Type="http://schemas.openxmlformats.org/officeDocument/2006/relationships/hyperlink" Target="https://www.simpsonsmalt.co.uk/our-malts/finest-pale-ale-golden-promise/"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60" Type="http://schemas.openxmlformats.org/officeDocument/2006/relationships/hyperlink" Target="http://www.brewingwithbriess.com/Products/Base.htm" TargetMode="External"/><Relationship Id="rId81" Type="http://schemas.openxmlformats.org/officeDocument/2006/relationships/hyperlink" Target="http://www.brewingwithbriess.com/Products/Carapils.htm" TargetMode="External"/><Relationship Id="rId135" Type="http://schemas.openxmlformats.org/officeDocument/2006/relationships/hyperlink" Target="http://www.brewingwithbriess.com/Products/Extracts.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brainlubeonline.com/GasLawsBeer.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50"/>
  <sheetViews>
    <sheetView topLeftCell="A39" zoomScaleNormal="100" workbookViewId="0">
      <selection activeCell="B50" sqref="B50"/>
    </sheetView>
  </sheetViews>
  <sheetFormatPr defaultRowHeight="13.2" x14ac:dyDescent="0.25"/>
  <cols>
    <col min="1" max="1" width="10.109375" bestFit="1" customWidth="1"/>
    <col min="2" max="2" width="111.21875" customWidth="1"/>
  </cols>
  <sheetData>
    <row r="2" spans="2:2" x14ac:dyDescent="0.25">
      <c r="B2" s="42" t="s">
        <v>1156</v>
      </c>
    </row>
    <row r="3" spans="2:2" x14ac:dyDescent="0.25">
      <c r="B3" s="20" t="s">
        <v>1149</v>
      </c>
    </row>
    <row r="4" spans="2:2" x14ac:dyDescent="0.25">
      <c r="B4" s="63" t="s">
        <v>1292</v>
      </c>
    </row>
    <row r="5" spans="2:2" x14ac:dyDescent="0.25">
      <c r="B5" s="20" t="s">
        <v>2015</v>
      </c>
    </row>
    <row r="6" spans="2:2" x14ac:dyDescent="0.25">
      <c r="B6" s="20" t="s">
        <v>2146</v>
      </c>
    </row>
    <row r="7" spans="2:2" x14ac:dyDescent="0.25">
      <c r="B7" s="20" t="s">
        <v>2147</v>
      </c>
    </row>
    <row r="8" spans="2:2" x14ac:dyDescent="0.25">
      <c r="B8" s="20" t="s">
        <v>1150</v>
      </c>
    </row>
    <row r="9" spans="2:2" x14ac:dyDescent="0.25">
      <c r="B9" s="20" t="s">
        <v>1151</v>
      </c>
    </row>
    <row r="10" spans="2:2" x14ac:dyDescent="0.25">
      <c r="B10" s="20" t="s">
        <v>1152</v>
      </c>
    </row>
    <row r="11" spans="2:2" x14ac:dyDescent="0.25">
      <c r="B11" s="20" t="s">
        <v>1153</v>
      </c>
    </row>
    <row r="12" spans="2:2" x14ac:dyDescent="0.25">
      <c r="B12" s="20" t="s">
        <v>2012</v>
      </c>
    </row>
    <row r="13" spans="2:2" x14ac:dyDescent="0.25">
      <c r="B13" s="20" t="s">
        <v>2013</v>
      </c>
    </row>
    <row r="14" spans="2:2" x14ac:dyDescent="0.25">
      <c r="B14" s="20" t="s">
        <v>2014</v>
      </c>
    </row>
    <row r="15" spans="2:2" x14ac:dyDescent="0.25">
      <c r="B15" s="20" t="s">
        <v>1157</v>
      </c>
    </row>
    <row r="16" spans="2:2" x14ac:dyDescent="0.25">
      <c r="B16" s="63" t="s">
        <v>140</v>
      </c>
    </row>
    <row r="19" spans="1:2" x14ac:dyDescent="0.25">
      <c r="B19" s="42" t="s">
        <v>1154</v>
      </c>
    </row>
    <row r="20" spans="1:2" x14ac:dyDescent="0.25">
      <c r="B20" s="20" t="s">
        <v>1155</v>
      </c>
    </row>
    <row r="21" spans="1:2" ht="66" x14ac:dyDescent="0.25">
      <c r="A21" s="62">
        <v>42838</v>
      </c>
      <c r="B21" s="61" t="s">
        <v>1172</v>
      </c>
    </row>
    <row r="22" spans="1:2" x14ac:dyDescent="0.25">
      <c r="A22" s="76">
        <v>42840</v>
      </c>
      <c r="B22" s="20" t="s">
        <v>1173</v>
      </c>
    </row>
    <row r="23" spans="1:2" x14ac:dyDescent="0.25">
      <c r="A23" s="76">
        <v>42845</v>
      </c>
      <c r="B23" s="20" t="s">
        <v>1174</v>
      </c>
    </row>
    <row r="24" spans="1:2" x14ac:dyDescent="0.25">
      <c r="A24" s="76">
        <v>42850</v>
      </c>
      <c r="B24" s="20" t="s">
        <v>1248</v>
      </c>
    </row>
    <row r="25" spans="1:2" x14ac:dyDescent="0.25">
      <c r="A25" s="76">
        <v>42854</v>
      </c>
      <c r="B25" s="20" t="s">
        <v>1259</v>
      </c>
    </row>
    <row r="26" spans="1:2" ht="52.8" x14ac:dyDescent="0.25">
      <c r="A26" s="78">
        <v>42931</v>
      </c>
      <c r="B26" s="61" t="s">
        <v>1291</v>
      </c>
    </row>
    <row r="27" spans="1:2" ht="132" x14ac:dyDescent="0.25">
      <c r="A27" s="78">
        <v>42983</v>
      </c>
      <c r="B27" s="61" t="s">
        <v>1610</v>
      </c>
    </row>
    <row r="28" spans="1:2" ht="145.19999999999999" x14ac:dyDescent="0.25">
      <c r="A28" s="78">
        <v>43048</v>
      </c>
      <c r="B28" s="61" t="s">
        <v>1690</v>
      </c>
    </row>
    <row r="29" spans="1:2" ht="26.4" x14ac:dyDescent="0.25">
      <c r="A29" s="78">
        <v>43189</v>
      </c>
      <c r="B29" s="61" t="s">
        <v>1691</v>
      </c>
    </row>
    <row r="30" spans="1:2" ht="26.4" x14ac:dyDescent="0.25">
      <c r="A30" s="78">
        <v>43267</v>
      </c>
      <c r="B30" s="61" t="s">
        <v>1696</v>
      </c>
    </row>
    <row r="31" spans="1:2" x14ac:dyDescent="0.25">
      <c r="A31" s="76">
        <v>43386</v>
      </c>
      <c r="B31" s="61" t="s">
        <v>1705</v>
      </c>
    </row>
    <row r="32" spans="1:2" ht="52.8" x14ac:dyDescent="0.25">
      <c r="A32" s="78">
        <v>43435</v>
      </c>
      <c r="B32" s="61" t="s">
        <v>1706</v>
      </c>
    </row>
    <row r="33" spans="1:2" ht="316.8" x14ac:dyDescent="0.25">
      <c r="A33" s="78">
        <v>43478</v>
      </c>
      <c r="B33" s="448" t="s">
        <v>2010</v>
      </c>
    </row>
    <row r="34" spans="1:2" x14ac:dyDescent="0.25">
      <c r="A34" s="76">
        <v>43480</v>
      </c>
      <c r="B34" s="518" t="s">
        <v>2011</v>
      </c>
    </row>
    <row r="35" spans="1:2" x14ac:dyDescent="0.25">
      <c r="A35" s="76">
        <v>43481</v>
      </c>
      <c r="B35" s="61" t="s">
        <v>2016</v>
      </c>
    </row>
    <row r="36" spans="1:2" x14ac:dyDescent="0.25">
      <c r="A36" s="76">
        <v>43482</v>
      </c>
      <c r="B36" s="61" t="s">
        <v>2017</v>
      </c>
    </row>
    <row r="37" spans="1:2" x14ac:dyDescent="0.25">
      <c r="A37" s="76">
        <v>43494</v>
      </c>
      <c r="B37" s="61" t="s">
        <v>2019</v>
      </c>
    </row>
    <row r="38" spans="1:2" x14ac:dyDescent="0.25">
      <c r="A38" s="76">
        <v>43502</v>
      </c>
      <c r="B38" s="61" t="s">
        <v>2063</v>
      </c>
    </row>
    <row r="39" spans="1:2" x14ac:dyDescent="0.25">
      <c r="A39" s="76">
        <v>43522</v>
      </c>
      <c r="B39" s="61" t="s">
        <v>2082</v>
      </c>
    </row>
    <row r="40" spans="1:2" x14ac:dyDescent="0.25">
      <c r="A40" s="76">
        <v>43543</v>
      </c>
      <c r="B40" s="61" t="s">
        <v>2092</v>
      </c>
    </row>
    <row r="41" spans="1:2" ht="92.4" x14ac:dyDescent="0.25">
      <c r="A41" s="78">
        <v>43564</v>
      </c>
      <c r="B41" s="448" t="s">
        <v>2101</v>
      </c>
    </row>
    <row r="42" spans="1:2" ht="26.4" x14ac:dyDescent="0.25">
      <c r="A42" s="78">
        <v>43653</v>
      </c>
      <c r="B42" s="61" t="s">
        <v>2102</v>
      </c>
    </row>
    <row r="43" spans="1:2" x14ac:dyDescent="0.25">
      <c r="A43" s="76">
        <v>43799</v>
      </c>
      <c r="B43" t="s">
        <v>2103</v>
      </c>
    </row>
    <row r="44" spans="1:2" x14ac:dyDescent="0.25">
      <c r="A44" s="76">
        <v>43832</v>
      </c>
      <c r="B44" s="61" t="s">
        <v>2104</v>
      </c>
    </row>
    <row r="45" spans="1:2" x14ac:dyDescent="0.25">
      <c r="A45" s="76">
        <v>43836</v>
      </c>
      <c r="B45" s="61" t="s">
        <v>2127</v>
      </c>
    </row>
    <row r="46" spans="1:2" x14ac:dyDescent="0.25">
      <c r="A46" s="76">
        <v>43844</v>
      </c>
      <c r="B46" s="61" t="s">
        <v>2130</v>
      </c>
    </row>
    <row r="47" spans="1:2" x14ac:dyDescent="0.25">
      <c r="A47" s="76">
        <v>43849</v>
      </c>
      <c r="B47" s="61" t="s">
        <v>2247</v>
      </c>
    </row>
    <row r="48" spans="1:2" x14ac:dyDescent="0.25">
      <c r="A48" s="76">
        <v>43899</v>
      </c>
      <c r="B48" s="61" t="s">
        <v>2250</v>
      </c>
    </row>
    <row r="49" spans="1:2" ht="26.4" x14ac:dyDescent="0.25">
      <c r="A49" s="76">
        <v>43907</v>
      </c>
      <c r="B49" s="448" t="s">
        <v>2256</v>
      </c>
    </row>
    <row r="50" spans="1:2" ht="26.4" x14ac:dyDescent="0.25">
      <c r="A50" s="76">
        <v>43933</v>
      </c>
      <c r="B50" s="61" t="s">
        <v>2283</v>
      </c>
    </row>
  </sheetData>
  <sheetProtection sheet="1" objects="1" scenarios="1"/>
  <hyperlinks>
    <hyperlink ref="B16"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S57"/>
  <sheetViews>
    <sheetView tabSelected="1" zoomScaleNormal="100" workbookViewId="0">
      <selection activeCell="Z40" sqref="Z40"/>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3" width="6" customWidth="1"/>
    <col min="14" max="14" width="1.33203125" customWidth="1"/>
    <col min="15" max="15" width="10.33203125" customWidth="1"/>
    <col min="16" max="17" width="5.88671875" customWidth="1"/>
    <col min="18" max="18" width="0.88671875" customWidth="1"/>
    <col min="19" max="19" width="6.109375" customWidth="1"/>
    <col min="20" max="20" width="10.33203125" customWidth="1"/>
    <col min="21" max="21" width="7.33203125" bestFit="1" customWidth="1"/>
    <col min="22" max="22" width="7.33203125" customWidth="1"/>
    <col min="23" max="23" width="7.88671875" customWidth="1"/>
    <col min="24" max="24" width="1.5546875" customWidth="1"/>
    <col min="25" max="25" width="6.5546875" customWidth="1"/>
    <col min="26" max="26" width="17" customWidth="1"/>
    <col min="27" max="27" width="5.77734375" customWidth="1"/>
    <col min="28" max="28" width="1.6640625" bestFit="1" customWidth="1"/>
    <col min="29" max="30" width="5.77734375" customWidth="1"/>
    <col min="31" max="31" width="1.6640625" bestFit="1" customWidth="1"/>
    <col min="32" max="32" width="5.77734375" customWidth="1"/>
    <col min="33" max="33" width="3.77734375" customWidth="1"/>
    <col min="34" max="34" width="1.6640625" bestFit="1" customWidth="1"/>
    <col min="35" max="35" width="3.77734375" customWidth="1"/>
    <col min="36" max="36" width="5.77734375" customWidth="1"/>
    <col min="37" max="37" width="1.6640625" bestFit="1" customWidth="1"/>
    <col min="38" max="39" width="5.77734375" customWidth="1"/>
    <col min="40" max="40" width="1.6640625" bestFit="1" customWidth="1"/>
    <col min="41" max="41" width="5.77734375" customWidth="1"/>
    <col min="42" max="42" width="6.5546875" customWidth="1"/>
    <col min="43" max="43" width="4.88671875" customWidth="1"/>
    <col min="44" max="44" width="4.44140625" customWidth="1"/>
  </cols>
  <sheetData>
    <row r="1" spans="1:44" x14ac:dyDescent="0.25">
      <c r="A1" s="596" t="s">
        <v>2284</v>
      </c>
      <c r="B1" s="696" t="s">
        <v>709</v>
      </c>
      <c r="C1" s="696"/>
      <c r="D1" s="696"/>
      <c r="E1" s="696"/>
      <c r="F1" s="130"/>
      <c r="G1" s="130"/>
      <c r="H1" s="129" t="s">
        <v>127</v>
      </c>
      <c r="I1" s="656" t="s">
        <v>2106</v>
      </c>
      <c r="J1" s="656"/>
      <c r="K1" s="656"/>
      <c r="L1" s="656"/>
      <c r="M1" s="656"/>
      <c r="N1" s="656"/>
      <c r="O1" s="656"/>
      <c r="R1" s="130"/>
      <c r="S1" s="631" t="s">
        <v>141</v>
      </c>
      <c r="T1" s="632"/>
      <c r="U1" s="632"/>
      <c r="V1" s="632"/>
      <c r="W1" s="633"/>
      <c r="X1" s="155"/>
      <c r="Y1" s="450"/>
    </row>
    <row r="2" spans="1:44" ht="13.2" customHeight="1" x14ac:dyDescent="0.25">
      <c r="F2" s="130"/>
      <c r="G2" s="130"/>
      <c r="H2" s="129" t="s">
        <v>128</v>
      </c>
      <c r="I2" s="657">
        <v>44024</v>
      </c>
      <c r="J2" s="657"/>
      <c r="K2" s="657"/>
      <c r="L2" s="657"/>
      <c r="M2" s="657"/>
      <c r="N2" s="657"/>
      <c r="O2" s="657"/>
      <c r="R2" s="130"/>
      <c r="S2" s="634" t="s">
        <v>140</v>
      </c>
      <c r="T2" s="635"/>
      <c r="U2" s="635"/>
      <c r="V2" s="635"/>
      <c r="W2" s="636"/>
    </row>
    <row r="3" spans="1:44" ht="7.2" customHeight="1" x14ac:dyDescent="0.25">
      <c r="A3" s="130"/>
      <c r="B3" s="130"/>
      <c r="C3" s="130"/>
      <c r="D3" s="130"/>
      <c r="E3" s="130"/>
      <c r="F3" s="130"/>
      <c r="G3" s="130"/>
      <c r="H3" s="130"/>
      <c r="I3" s="130"/>
      <c r="J3" s="130"/>
      <c r="K3" s="130"/>
      <c r="L3" s="130"/>
      <c r="M3" s="130"/>
      <c r="N3" s="130"/>
      <c r="O3" s="130"/>
      <c r="P3" s="130"/>
      <c r="Q3" s="130"/>
      <c r="R3" s="130"/>
      <c r="S3" s="130"/>
      <c r="T3" s="130"/>
      <c r="U3" s="130"/>
      <c r="V3" s="130"/>
      <c r="W3" s="130"/>
    </row>
    <row r="4" spans="1:44" x14ac:dyDescent="0.25">
      <c r="A4" s="602" t="s">
        <v>1117</v>
      </c>
      <c r="B4" s="653"/>
      <c r="C4" s="653"/>
      <c r="D4" s="653"/>
      <c r="E4" s="653"/>
      <c r="F4" s="603"/>
      <c r="G4" s="130"/>
      <c r="H4" s="655" t="s">
        <v>1756</v>
      </c>
      <c r="I4" s="655"/>
      <c r="J4" s="655"/>
      <c r="K4" s="655"/>
      <c r="L4" s="602" t="s">
        <v>2288</v>
      </c>
      <c r="M4" s="603"/>
      <c r="N4" s="131"/>
      <c r="O4" s="655" t="s">
        <v>1953</v>
      </c>
      <c r="P4" s="655"/>
      <c r="Q4" s="655"/>
      <c r="R4" s="130"/>
      <c r="S4" s="602" t="s">
        <v>1739</v>
      </c>
      <c r="T4" s="653"/>
      <c r="U4" s="653"/>
      <c r="V4" s="653"/>
      <c r="W4" s="603"/>
    </row>
    <row r="5" spans="1:44" ht="13.2" customHeight="1" x14ac:dyDescent="0.25">
      <c r="A5" s="673" t="s">
        <v>66</v>
      </c>
      <c r="B5" s="693"/>
      <c r="C5" s="693"/>
      <c r="D5" s="674"/>
      <c r="E5" s="160" t="s">
        <v>143</v>
      </c>
      <c r="F5" s="699" t="s">
        <v>1138</v>
      </c>
      <c r="G5" s="130"/>
      <c r="H5" s="470"/>
      <c r="I5" s="471"/>
      <c r="J5" s="472" t="s">
        <v>1732</v>
      </c>
      <c r="K5" s="473" t="s">
        <v>137</v>
      </c>
      <c r="L5" s="600" t="s">
        <v>2285</v>
      </c>
      <c r="M5" s="600" t="s">
        <v>1160</v>
      </c>
      <c r="N5" s="147"/>
      <c r="O5" s="644" t="s">
        <v>2093</v>
      </c>
      <c r="P5" s="644"/>
      <c r="Q5" s="644"/>
      <c r="R5" s="130"/>
      <c r="S5" s="651" t="s">
        <v>131</v>
      </c>
      <c r="T5" s="652"/>
      <c r="U5" s="150" t="s">
        <v>1732</v>
      </c>
      <c r="V5" s="150" t="s">
        <v>137</v>
      </c>
      <c r="W5" s="150" t="s">
        <v>100</v>
      </c>
      <c r="X5" s="130"/>
      <c r="Y5" s="130"/>
    </row>
    <row r="6" spans="1:44" ht="13.2" customHeight="1" x14ac:dyDescent="0.25">
      <c r="A6" s="697"/>
      <c r="B6" s="694"/>
      <c r="C6" s="694"/>
      <c r="D6" s="695"/>
      <c r="E6" s="132" t="str">
        <f>'Brewhouse Setup &amp; Calcs'!$B$6</f>
        <v>lb</v>
      </c>
      <c r="F6" s="691"/>
      <c r="G6" s="130"/>
      <c r="H6" s="658" t="s">
        <v>1751</v>
      </c>
      <c r="I6" s="659"/>
      <c r="J6" s="507">
        <f>'Brewhouse Setup &amp; Calcs'!B18</f>
        <v>0.74</v>
      </c>
      <c r="K6" s="507" t="str">
        <f>IF(U20="Hydrometer",V25,V26)</f>
        <v/>
      </c>
      <c r="L6" s="604"/>
      <c r="M6" s="605"/>
      <c r="O6" s="647" t="s">
        <v>1954</v>
      </c>
      <c r="P6" s="645" t="s">
        <v>1951</v>
      </c>
      <c r="Q6" s="645" t="s">
        <v>1952</v>
      </c>
      <c r="R6" s="130"/>
      <c r="S6" s="611" t="str">
        <f>'Brewhouse Setup &amp; Calcs'!A41</f>
        <v>Total Water Req'd</v>
      </c>
      <c r="T6" s="612"/>
      <c r="U6" s="137">
        <f>'Brewhouse Setup &amp; Calcs'!B41</f>
        <v>65.668000000000006</v>
      </c>
      <c r="V6" s="541"/>
      <c r="W6" s="134" t="str">
        <f>'Brewhouse Setup &amp; Calcs'!$B$5</f>
        <v>qt</v>
      </c>
      <c r="X6" s="130"/>
      <c r="Y6" s="130"/>
    </row>
    <row r="7" spans="1:44" ht="13.2" customHeight="1" x14ac:dyDescent="0.25">
      <c r="A7" s="660" t="str">
        <f>IF(ISBLANK('Grain &amp; Sugar Calcs'!B5),"",'Grain &amp; Sugar Calcs'!B5)</f>
        <v>Pale Malt: Brewers Malt, 2-row (Briess)</v>
      </c>
      <c r="B7" s="698"/>
      <c r="C7" s="698"/>
      <c r="D7" s="661"/>
      <c r="E7" s="135">
        <f>IF(ISBLANK('Grain &amp; Sugar Calcs'!C5),"",'Grain &amp; Sugar Calcs'!C5)</f>
        <v>12</v>
      </c>
      <c r="F7" s="136">
        <f>IF('Grain &amp; Sugar Calcs'!D5=0,"",'Grain &amp; Sugar Calcs'!D5)</f>
        <v>0.63157894736842102</v>
      </c>
      <c r="G7" s="130"/>
      <c r="H7" s="670" t="s">
        <v>1971</v>
      </c>
      <c r="I7" s="670"/>
      <c r="J7" s="507">
        <f>IF(OR(NOT(ISNUMBER($J$9)),NOT(ISNUMBER($J$11)),'Grain &amp; Sugar Calcs'!I17=0),"",(($J$9-1)*1000)/IF('Brewhouse Setup &amp; Calcs'!$B$2="Metric",('Grain &amp; Sugar Calcs'!$I$17/$J$11*4*1.056688),('Grain &amp; Sugar Calcs'!$I$17/$J$11*4)))</f>
        <v>0.66720949966396836</v>
      </c>
      <c r="K7" s="508">
        <f>IF(NOT(ISNUMBER($K$9)),"",(($K$9-1)*1000*$K$11)/IF('Brewhouse Setup &amp; Calcs'!$B$2="Metric",('Grain &amp; Sugar Calcs'!$I$17/$J$11*4*1.056688)*$J$11,('Grain &amp; Sugar Calcs'!$I$17/$J$11*4)*$J$11))</f>
        <v>0.61468049337029917</v>
      </c>
      <c r="L7" s="606"/>
      <c r="M7" s="607"/>
      <c r="O7" s="648"/>
      <c r="P7" s="646"/>
      <c r="Q7" s="646"/>
      <c r="R7" s="130"/>
      <c r="S7" s="611" t="str">
        <f>'Brewhouse Setup &amp; Calcs'!A13</f>
        <v>Ambient Grain Temp</v>
      </c>
      <c r="T7" s="612"/>
      <c r="U7" s="133">
        <f>'Brewhouse Setup &amp; Calcs'!B13</f>
        <v>68</v>
      </c>
      <c r="V7" s="146"/>
      <c r="W7" s="134" t="str">
        <f>'Brewhouse Setup &amp; Calcs'!$B$4</f>
        <v>°F</v>
      </c>
      <c r="X7" s="130"/>
      <c r="Y7" s="130"/>
      <c r="Z7" s="130"/>
      <c r="AB7" s="130"/>
      <c r="AC7" s="130"/>
    </row>
    <row r="8" spans="1:44" ht="13.2" customHeight="1" x14ac:dyDescent="0.25">
      <c r="A8" s="610" t="str">
        <f>IF(ISBLANK('Grain &amp; Sugar Calcs'!B6),"",'Grain &amp; Sugar Calcs'!B6)</f>
        <v>Pilsner Malt: Premium Pilsener Malt (Rahr)</v>
      </c>
      <c r="B8" s="610"/>
      <c r="C8" s="610"/>
      <c r="D8" s="610"/>
      <c r="E8" s="137">
        <f>IF(ISBLANK('Grain &amp; Sugar Calcs'!C6),"",'Grain &amp; Sugar Calcs'!C6)</f>
        <v>4</v>
      </c>
      <c r="F8" s="136">
        <f>IF('Grain &amp; Sugar Calcs'!D6=0,"",'Grain &amp; Sugar Calcs'!D6)</f>
        <v>0.21052631578947367</v>
      </c>
      <c r="G8" s="130"/>
      <c r="H8" s="681" t="s">
        <v>1745</v>
      </c>
      <c r="I8" s="682"/>
      <c r="J8" s="509">
        <f>'Grain &amp; Sugar Calcs'!K21</f>
        <v>1.0373595529411765</v>
      </c>
      <c r="K8" s="509" t="str">
        <f>IF(U20="Hydrometer",V28,V30)</f>
        <v/>
      </c>
      <c r="L8" s="608"/>
      <c r="M8" s="609"/>
      <c r="O8" s="478" t="s">
        <v>1775</v>
      </c>
      <c r="P8" s="143">
        <v>37</v>
      </c>
      <c r="Q8" s="156">
        <f>IFERROR(IF('Brewhouse Setup &amp; Calcs'!$B$2="US Customary",'Water-English'!D51,'Water-Metric'!D52),"")</f>
        <v>58.928488761649504</v>
      </c>
      <c r="R8" s="130"/>
      <c r="S8" s="611" t="str">
        <f>'Brewhouse Setup &amp; Calcs'!A14</f>
        <v>Desired Mash Temp</v>
      </c>
      <c r="T8" s="612"/>
      <c r="U8" s="133">
        <f>'Brewhouse Setup &amp; Calcs'!B14</f>
        <v>150</v>
      </c>
      <c r="V8" s="146"/>
      <c r="W8" s="134" t="str">
        <f>'Brewhouse Setup &amp; Calcs'!$B$4</f>
        <v>°F</v>
      </c>
      <c r="X8" s="130"/>
      <c r="Y8" s="130"/>
      <c r="Z8" s="130"/>
      <c r="AA8" s="130"/>
      <c r="AB8" s="130"/>
      <c r="AC8" s="130"/>
      <c r="AQ8" s="468"/>
      <c r="AR8" s="468"/>
    </row>
    <row r="9" spans="1:44" x14ac:dyDescent="0.25">
      <c r="A9" s="610" t="str">
        <f>IF(ISBLANK('Grain &amp; Sugar Calcs'!B7),"",'Grain &amp; Sugar Calcs'!B7)</f>
        <v>Wheat Malt: Wheat Malt, Red (Briess)</v>
      </c>
      <c r="B9" s="610"/>
      <c r="C9" s="610"/>
      <c r="D9" s="610"/>
      <c r="E9" s="137">
        <f>IF(ISBLANK('Grain &amp; Sugar Calcs'!C7),"",'Grain &amp; Sugar Calcs'!C7)</f>
        <v>2</v>
      </c>
      <c r="F9" s="136">
        <f>IF('Grain &amp; Sugar Calcs'!D7=0,"",'Grain &amp; Sugar Calcs'!D7)</f>
        <v>0.10526315789473684</v>
      </c>
      <c r="G9" s="130"/>
      <c r="H9" s="654" t="s">
        <v>1742</v>
      </c>
      <c r="I9" s="654"/>
      <c r="J9" s="509">
        <f>ROUND('Grain &amp; Sugar Calcs'!L21,3)</f>
        <v>1.0429999999999999</v>
      </c>
      <c r="K9" s="509">
        <f>IF(U20="Hydrometer",V35,V37)</f>
        <v>1.0363134159898528</v>
      </c>
      <c r="L9" s="599" t="str">
        <f>VLOOKUP('Recipe Sheet'!$B$1,'BJCP Guidelines'!$A$2:$K$120,2,FALSE)</f>
        <v>NA</v>
      </c>
      <c r="M9" s="599" t="str">
        <f>VLOOKUP('Recipe Sheet'!$B$1,'BJCP Guidelines'!$A$2:$K$120,3,FALSE)</f>
        <v>NA</v>
      </c>
      <c r="O9" s="478" t="s">
        <v>1776</v>
      </c>
      <c r="P9" s="143">
        <v>12</v>
      </c>
      <c r="Q9" s="156">
        <f>IFERROR(IF('Brewhouse Setup &amp; Calcs'!$B$2="US Customary",'Water-English'!E51,'Water-Metric'!E52),"")</f>
        <v>19.492233660230248</v>
      </c>
      <c r="R9" s="130"/>
      <c r="S9" s="611" t="str">
        <f>'Brewhouse Setup &amp; Calcs'!A44</f>
        <v>Strike Water Volume</v>
      </c>
      <c r="T9" s="612"/>
      <c r="U9" s="137">
        <f>'Brewhouse Setup &amp; Calcs'!B44</f>
        <v>65.668000000000006</v>
      </c>
      <c r="V9" s="163"/>
      <c r="W9" s="134" t="str">
        <f>'Brewhouse Setup &amp; Calcs'!$B$5</f>
        <v>qt</v>
      </c>
      <c r="X9" s="130"/>
      <c r="Y9" s="130"/>
      <c r="Z9" s="130"/>
      <c r="AA9" s="130"/>
      <c r="AB9" s="130"/>
      <c r="AC9" s="130"/>
      <c r="AP9" s="178"/>
    </row>
    <row r="10" spans="1:44" s="24" customFormat="1" x14ac:dyDescent="0.25">
      <c r="A10" s="610" t="str">
        <f>IF(ISBLANK('Grain &amp; Sugar Calcs'!B8),"",'Grain &amp; Sugar Calcs'!B8)</f>
        <v>Vienna Malt: Goldpils® Vienna Malt (Briess)</v>
      </c>
      <c r="B10" s="610"/>
      <c r="C10" s="610"/>
      <c r="D10" s="610"/>
      <c r="E10" s="137">
        <f>IF(ISBLANK('Grain &amp; Sugar Calcs'!C8),"",'Grain &amp; Sugar Calcs'!C8)</f>
        <v>1</v>
      </c>
      <c r="F10" s="136">
        <f>IF('Grain &amp; Sugar Calcs'!D8=0,"",'Grain &amp; Sugar Calcs'!D8)</f>
        <v>5.2631578947368418E-2</v>
      </c>
      <c r="G10" s="130"/>
      <c r="H10" s="654" t="s">
        <v>1743</v>
      </c>
      <c r="I10" s="654"/>
      <c r="J10" s="509">
        <f>ROUND(IF(NOT(ISNUMBER(J13)),"",1+('Grain &amp; Sugar Calcs'!L17*(1-J13)/1000)),3)</f>
        <v>1.0089999999999999</v>
      </c>
      <c r="K10" s="509" t="str">
        <f>IF(U20="Hydrometer",V41,V43)</f>
        <v/>
      </c>
      <c r="L10" s="599" t="str">
        <f>VLOOKUP('Recipe Sheet'!$B$1,'BJCP Guidelines'!$A$2:$K$120,4,FALSE)</f>
        <v>NA</v>
      </c>
      <c r="M10" s="599" t="str">
        <f>VLOOKUP('Recipe Sheet'!$B$1,'BJCP Guidelines'!$A$2:$K$120,5,FALSE)</f>
        <v>NA</v>
      </c>
      <c r="N10"/>
      <c r="O10" s="478" t="s">
        <v>1777</v>
      </c>
      <c r="P10" s="143">
        <v>9</v>
      </c>
      <c r="Q10" s="156">
        <f>IFERROR(IF('Brewhouse Setup &amp; Calcs'!$B$2="US Customary",'Water-English'!F51,'Water-Metric'!F52),"")</f>
        <v>9</v>
      </c>
      <c r="R10" s="138"/>
      <c r="S10" s="611" t="str">
        <f>'Brewhouse Setup &amp; Calcs'!A45</f>
        <v>Strike Water Temp</v>
      </c>
      <c r="T10" s="612"/>
      <c r="U10" s="133">
        <f>IF(ISBLANK(V7),'Brewhouse Setup &amp; Calcs'!B45,(IF('Brewhouse Setup &amp; Calcs'!B2="US Customary",0.2,0.41)/'Brewhouse Setup &amp; Calcs'!B15)*('Brewhouse Setup &amp; Calcs'!B14-V7)+'Brewhouse Setup &amp; Calcs'!B14)</f>
        <v>154.74508131814582</v>
      </c>
      <c r="V10" s="164"/>
      <c r="W10" s="134" t="str">
        <f>'Brewhouse Setup &amp; Calcs'!$B$4</f>
        <v>°F</v>
      </c>
      <c r="X10" s="130"/>
      <c r="Y10" s="130"/>
      <c r="Z10" s="130"/>
      <c r="AA10" s="130"/>
      <c r="AB10" s="130"/>
      <c r="AC10" s="130"/>
      <c r="AP10" s="178"/>
    </row>
    <row r="11" spans="1:44" x14ac:dyDescent="0.25">
      <c r="A11" s="610" t="str">
        <f>IF(ISBLANK('Grain &amp; Sugar Calcs'!B9),"",'Grain &amp; Sugar Calcs'!B9)</f>
        <v/>
      </c>
      <c r="B11" s="610"/>
      <c r="C11" s="610"/>
      <c r="D11" s="610"/>
      <c r="E11" s="137" t="str">
        <f>IF(ISBLANK('Grain &amp; Sugar Calcs'!C9),"",'Grain &amp; Sugar Calcs'!C9)</f>
        <v/>
      </c>
      <c r="F11" s="136" t="str">
        <f>IF('Grain &amp; Sugar Calcs'!D9=0,"",'Grain &amp; Sugar Calcs'!D9)</f>
        <v/>
      </c>
      <c r="G11" s="130"/>
      <c r="H11" s="654" t="s">
        <v>1746</v>
      </c>
      <c r="I11" s="654"/>
      <c r="J11" s="510">
        <f>J12+'Brewhouse Setup &amp; Calcs'!B34</f>
        <v>44</v>
      </c>
      <c r="K11" s="510">
        <f>IF(ISBLANK(V38),"",V38)</f>
        <v>48</v>
      </c>
      <c r="L11" s="675"/>
      <c r="M11" s="676"/>
      <c r="O11" s="478" t="s">
        <v>1950</v>
      </c>
      <c r="P11" s="143">
        <v>16</v>
      </c>
      <c r="Q11" s="156">
        <f>IFERROR(IF('Brewhouse Setup &amp; Calcs'!$B$2="US Customary",'Water-English'!G51,'Water-Metric'!G52),"")</f>
        <v>54.822561978436987</v>
      </c>
      <c r="R11" s="130"/>
      <c r="S11" s="611" t="s">
        <v>1882</v>
      </c>
      <c r="T11" s="612"/>
      <c r="U11" s="133">
        <f>IFERROR(IF('Brewhouse Setup &amp; Calcs'!$B$2="Metric",'Water-Metric'!$F$32,'Water-English'!$F$31),"")</f>
        <v>5.5199193096546866</v>
      </c>
      <c r="V11" s="164"/>
      <c r="W11" s="541"/>
      <c r="X11" s="130"/>
      <c r="Y11" s="130"/>
      <c r="Z11" s="130"/>
      <c r="AA11" s="130"/>
      <c r="AB11" s="130"/>
      <c r="AC11" s="130"/>
      <c r="AP11" s="178"/>
    </row>
    <row r="12" spans="1:44" x14ac:dyDescent="0.25">
      <c r="A12" s="610" t="str">
        <f>IF(ISBLANK('Grain &amp; Sugar Calcs'!B10),"",'Grain &amp; Sugar Calcs'!B10)</f>
        <v/>
      </c>
      <c r="B12" s="610"/>
      <c r="C12" s="610"/>
      <c r="D12" s="610"/>
      <c r="E12" s="137" t="str">
        <f>IF(ISBLANK('Grain &amp; Sugar Calcs'!C10),"",'Grain &amp; Sugar Calcs'!C10)</f>
        <v/>
      </c>
      <c r="F12" s="136" t="str">
        <f>IF('Grain &amp; Sugar Calcs'!D10=0,"",'Grain &amp; Sugar Calcs'!D10)</f>
        <v/>
      </c>
      <c r="G12" s="130"/>
      <c r="H12" s="654" t="s">
        <v>1744</v>
      </c>
      <c r="I12" s="654"/>
      <c r="J12" s="510">
        <f>'Brewhouse Setup &amp; Calcs'!$B$12</f>
        <v>40</v>
      </c>
      <c r="K12" s="510">
        <f>IF(ISBLANK(V44),"",V44)</f>
        <v>40</v>
      </c>
      <c r="L12" s="677"/>
      <c r="M12" s="678"/>
      <c r="O12" s="478" t="s">
        <v>1779</v>
      </c>
      <c r="P12" s="143">
        <v>25</v>
      </c>
      <c r="Q12" s="156">
        <f>IFERROR(IF('Brewhouse Setup &amp; Calcs'!$B$2="US Customary",'Water-English'!H51,'Water-Metric'!H52),"")</f>
        <v>56.369921422915269</v>
      </c>
      <c r="R12" s="130"/>
      <c r="S12" s="649" t="s">
        <v>2096</v>
      </c>
      <c r="T12" s="650"/>
      <c r="U12" s="530">
        <f>'Brewhouse Setup &amp; Calcs'!B17</f>
        <v>60</v>
      </c>
      <c r="V12" s="531"/>
      <c r="W12" s="542" t="str">
        <f>'Brewhouse Setup &amp; Calcs'!C17</f>
        <v>min</v>
      </c>
      <c r="X12" s="130"/>
      <c r="Y12" s="130"/>
      <c r="Z12" s="130"/>
      <c r="AA12" s="130"/>
      <c r="AB12" s="130"/>
      <c r="AC12" s="130"/>
      <c r="AP12" s="178"/>
    </row>
    <row r="13" spans="1:44" ht="13.2" customHeight="1" x14ac:dyDescent="0.25">
      <c r="A13" s="610" t="str">
        <f>IF(ISBLANK('Grain &amp; Sugar Calcs'!B11),"",'Grain &amp; Sugar Calcs'!B11)</f>
        <v/>
      </c>
      <c r="B13" s="610"/>
      <c r="C13" s="610"/>
      <c r="D13" s="610"/>
      <c r="E13" s="137" t="str">
        <f>IF(ISBLANK('Grain &amp; Sugar Calcs'!C11),"",'Grain &amp; Sugar Calcs'!C11)</f>
        <v/>
      </c>
      <c r="F13" s="136" t="str">
        <f>IF('Grain &amp; Sugar Calcs'!D11=0,"",'Grain &amp; Sugar Calcs'!D11)</f>
        <v/>
      </c>
      <c r="G13" s="130"/>
      <c r="H13" s="685" t="s">
        <v>1171</v>
      </c>
      <c r="I13" s="685"/>
      <c r="J13" s="508">
        <f>IF(ISBLANK(O27),"",VLOOKUP(O27,yeast_table[[Name &amp; Number]:[Temp. High F]],6,FALSE))</f>
        <v>0.8</v>
      </c>
      <c r="K13" s="508" t="str">
        <f>IF(NOT(ISNUMBER(K10)),"",(K9-K10)/(K9-1))</f>
        <v/>
      </c>
      <c r="L13" s="679"/>
      <c r="M13" s="680"/>
      <c r="O13" s="478" t="s">
        <v>1955</v>
      </c>
      <c r="P13" s="143">
        <v>102</v>
      </c>
      <c r="Q13" s="475"/>
      <c r="R13" s="130"/>
      <c r="S13" s="611" t="s">
        <v>1753</v>
      </c>
      <c r="T13" s="612"/>
      <c r="U13" s="137">
        <f>'Brewhouse Setup &amp; Calcs'!B49</f>
        <v>0</v>
      </c>
      <c r="V13" s="163"/>
      <c r="W13" s="134" t="str">
        <f>'Brewhouse Setup &amp; Calcs'!$B$5</f>
        <v>qt</v>
      </c>
      <c r="X13" s="130"/>
      <c r="Y13" s="130"/>
      <c r="Z13" s="130"/>
      <c r="AA13" s="130"/>
      <c r="AB13" s="130"/>
      <c r="AC13" s="130"/>
      <c r="AP13" s="178"/>
    </row>
    <row r="14" spans="1:44" x14ac:dyDescent="0.25">
      <c r="A14" s="610" t="str">
        <f>IF(ISBLANK('Grain &amp; Sugar Calcs'!B12),"",'Grain &amp; Sugar Calcs'!B12)</f>
        <v/>
      </c>
      <c r="B14" s="610"/>
      <c r="C14" s="610"/>
      <c r="D14" s="610"/>
      <c r="E14" s="137" t="str">
        <f>IF(ISBLANK('Grain &amp; Sugar Calcs'!C12),"",'Grain &amp; Sugar Calcs'!C12)</f>
        <v/>
      </c>
      <c r="F14" s="136" t="str">
        <f>IF('Grain &amp; Sugar Calcs'!D12=0,"",'Grain &amp; Sugar Calcs'!D12)</f>
        <v/>
      </c>
      <c r="G14" s="130"/>
      <c r="H14" s="654" t="s">
        <v>1137</v>
      </c>
      <c r="I14" s="654"/>
      <c r="J14" s="511">
        <f>ROUND('Hop Calcs'!K16,3)</f>
        <v>13.247</v>
      </c>
      <c r="K14" s="511">
        <f>IF(ISBLANK(V32),"",'Hop Calcs'!K16*U32/V32)</f>
        <v>12.125247068776762</v>
      </c>
      <c r="L14" s="511" t="str">
        <f>VLOOKUP('Recipe Sheet'!$B$1,'BJCP Guidelines'!$A$2:$K$120,6,FALSE)</f>
        <v>NA</v>
      </c>
      <c r="M14" s="511" t="str">
        <f>VLOOKUP('Recipe Sheet'!$B$1,'BJCP Guidelines'!$A$2:$K$120,7,FALSE)</f>
        <v>NA</v>
      </c>
      <c r="O14" s="478" t="s">
        <v>1959</v>
      </c>
      <c r="P14" s="474">
        <f>IFERROR(P11/P12,"")</f>
        <v>0.64</v>
      </c>
      <c r="Q14" s="474">
        <f>IFERROR(IF('Brewhouse Setup &amp; Calcs'!$B$2="US Customary",'Water-English'!I51,'Water-Metric'!I52),"")</f>
        <v>0.97254990950104014</v>
      </c>
      <c r="R14" s="130"/>
      <c r="S14" s="640" t="str">
        <f>CONCATENATE('Brewhouse Setup &amp; Calcs'!B28,IF(OR('Brewhouse Setup &amp; Calcs'!B28="BIAB",'Brewhouse Setup &amp; Calcs'!B28="Extract"),"",CONCATENATE(CHAR(10),"Sparge")))</f>
        <v>BIAB</v>
      </c>
      <c r="T14" s="536" t="str">
        <f>IF('Brewhouse Setup &amp; Calcs'!$B$28="Batch","Add","-")</f>
        <v>-</v>
      </c>
      <c r="U14" s="137" t="str">
        <f>IF('Brewhouse Setup &amp; Calcs'!$B$28="Batch",'Brewhouse Setup &amp; Calcs'!$B$56,"-")</f>
        <v>-</v>
      </c>
      <c r="V14" s="163"/>
      <c r="W14" s="134" t="str">
        <f>IF('Brewhouse Setup &amp; Calcs'!$B$28="Batch",'Brewhouse Setup &amp; Calcs'!$B$5,"-")</f>
        <v>-</v>
      </c>
      <c r="X14" s="130"/>
      <c r="Y14" s="130"/>
      <c r="Z14" s="130"/>
      <c r="AA14" s="130"/>
      <c r="AB14" s="130"/>
      <c r="AC14" s="130"/>
    </row>
    <row r="15" spans="1:44" x14ac:dyDescent="0.25">
      <c r="A15" s="610" t="str">
        <f>IF(ISBLANK('Grain &amp; Sugar Calcs'!B13),"",'Grain &amp; Sugar Calcs'!B13)</f>
        <v/>
      </c>
      <c r="B15" s="610"/>
      <c r="C15" s="610"/>
      <c r="D15" s="610"/>
      <c r="E15" s="137" t="str">
        <f>IF(ISBLANK('Grain &amp; Sugar Calcs'!C13),"",'Grain &amp; Sugar Calcs'!C13)</f>
        <v/>
      </c>
      <c r="F15" s="136" t="str">
        <f>IF('Grain &amp; Sugar Calcs'!D13=0,"",'Grain &amp; Sugar Calcs'!D13)</f>
        <v/>
      </c>
      <c r="G15" s="130"/>
      <c r="H15" s="654" t="s">
        <v>133</v>
      </c>
      <c r="I15" s="654"/>
      <c r="J15" s="507">
        <f>ROUND(IF(NOT(ISNUMBER(J10)),"",(J9-J10)*(46.0688/44.0098)/J10/0.794),3)</f>
        <v>4.3999999999999997E-2</v>
      </c>
      <c r="K15" s="507" t="str">
        <f>IF(NOT(ISNUMBER(K10)),"",(K9-K10)*(46.0688/44.0098)/K10/0.794)</f>
        <v/>
      </c>
      <c r="L15" s="507" t="e">
        <f>VLOOKUP('Recipe Sheet'!$B$1,'BJCP Guidelines'!$A$2:$K$120,8,FALSE)/100</f>
        <v>#VALUE!</v>
      </c>
      <c r="M15" s="507" t="e">
        <f>VLOOKUP('Recipe Sheet'!$B$1,'BJCP Guidelines'!$A$2:$K$120,9,FALSE)/100</f>
        <v>#VALUE!</v>
      </c>
      <c r="O15" s="130"/>
      <c r="P15" s="469"/>
      <c r="Q15" s="469"/>
      <c r="R15" s="130"/>
      <c r="S15" s="640"/>
      <c r="T15" s="537" t="str">
        <f>IF('Brewhouse Setup &amp; Calcs'!$B$28="Batch","Drain","-")</f>
        <v>-</v>
      </c>
      <c r="U15" s="137" t="str">
        <f>IF('Brewhouse Setup &amp; Calcs'!$B$28="Batch",'Brewhouse Setup &amp; Calcs'!$B$57,"-")</f>
        <v>-</v>
      </c>
      <c r="V15" s="163"/>
      <c r="W15" s="134" t="str">
        <f>IF('Brewhouse Setup &amp; Calcs'!$B$28="Batch",'Brewhouse Setup &amp; Calcs'!$B$5,"-")</f>
        <v>-</v>
      </c>
      <c r="X15" s="130"/>
      <c r="Y15" s="130"/>
      <c r="Z15" s="130"/>
      <c r="AA15" s="130"/>
      <c r="AB15" s="130"/>
      <c r="AC15" s="130"/>
    </row>
    <row r="16" spans="1:44" x14ac:dyDescent="0.25">
      <c r="A16" s="610" t="str">
        <f>IF(ISBLANK('Grain &amp; Sugar Calcs'!B14),"",'Grain &amp; Sugar Calcs'!B14)</f>
        <v/>
      </c>
      <c r="B16" s="610"/>
      <c r="C16" s="610"/>
      <c r="D16" s="610"/>
      <c r="E16" s="137" t="str">
        <f>IF(ISBLANK('Grain &amp; Sugar Calcs'!C14),"",'Grain &amp; Sugar Calcs'!C14)</f>
        <v/>
      </c>
      <c r="F16" s="136" t="str">
        <f>IF('Grain &amp; Sugar Calcs'!D14=0,"",'Grain &amp; Sugar Calcs'!D14)</f>
        <v/>
      </c>
      <c r="G16" s="130"/>
      <c r="H16" s="654" t="s">
        <v>1297</v>
      </c>
      <c r="I16" s="654"/>
      <c r="J16" s="512">
        <f>ROUND('Grain &amp; Sugar Calcs'!M19,3)</f>
        <v>3.1579999999999999</v>
      </c>
      <c r="K16" s="510">
        <f>IF(ISBLANK(V32),"",'Grain &amp; Sugar Calcs'!M19*(U32/V32))</f>
        <v>2.8910273973916545</v>
      </c>
      <c r="L16" s="510" t="str">
        <f>VLOOKUP('Recipe Sheet'!$B$1,'BJCP Guidelines'!$A$2:$K$120,10,FALSE)</f>
        <v>NA</v>
      </c>
      <c r="M16" s="510" t="str">
        <f>VLOOKUP('Recipe Sheet'!$B$1,'BJCP Guidelines'!$A$2:$K$120,11,FALSE)</f>
        <v>NA</v>
      </c>
      <c r="O16" s="655" t="s">
        <v>1949</v>
      </c>
      <c r="P16" s="655"/>
      <c r="Q16" s="655"/>
      <c r="R16" s="130"/>
      <c r="S16" s="640"/>
      <c r="T16" s="537" t="str">
        <f>IF('Brewhouse Setup &amp; Calcs'!$B$28="Batch","Add/Drain",IF('Brewhouse Setup &amp; Calcs'!$B$28="Fly","Time Req'd","-"))</f>
        <v>-</v>
      </c>
      <c r="U16" s="137" t="str">
        <f>IF('Brewhouse Setup &amp; Calcs'!$B$28="Batch",'Brewhouse Setup &amp; Calcs'!$B$58,IF('Brewhouse Setup &amp; Calcs'!$B$28="Fly",$U$13/$U$17,"-"))</f>
        <v>-</v>
      </c>
      <c r="V16" s="163"/>
      <c r="W16" s="134" t="str">
        <f>IF('Brewhouse Setup &amp; Calcs'!$B$28="Batch",'Brewhouse Setup &amp; Calcs'!$B$5,IF('Brewhouse Setup &amp; Calcs'!$B$28="Fly","min","-"))</f>
        <v>-</v>
      </c>
      <c r="X16" s="130"/>
      <c r="AA16" s="130"/>
      <c r="AB16" s="130"/>
      <c r="AC16" s="130"/>
    </row>
    <row r="17" spans="1:44" x14ac:dyDescent="0.25">
      <c r="O17" s="476"/>
      <c r="P17" s="538" t="s">
        <v>1893</v>
      </c>
      <c r="Q17" s="538" t="s">
        <v>1894</v>
      </c>
      <c r="R17" s="130"/>
      <c r="S17" s="641"/>
      <c r="T17" s="537" t="str">
        <f>IF('Brewhouse Setup &amp; Calcs'!$B$28="Batch","Add/Drain",IF('Brewhouse Setup &amp; Calcs'!$B$28="Fly","Flow Rate","-"))</f>
        <v>-</v>
      </c>
      <c r="U17" s="137" t="str">
        <f>IF('Brewhouse Setup &amp; Calcs'!$B$28="Batch",'Brewhouse Setup &amp; Calcs'!$B$59,IF('Brewhouse Setup &amp; Calcs'!$B$28="Fly",'Brewhouse Setup &amp; Calcs'!$B$29,"-"))</f>
        <v>-</v>
      </c>
      <c r="V17" s="502" t="str">
        <f>IF(OR(ISBLANK($V$13),ISBLANK($V$16)),"",IF('Brewhouse Setup &amp; Calcs'!$B$28="Batch",'Brewhouse Setup &amp; Calcs'!B59,IF('Brewhouse Setup &amp; Calcs'!$B$28="Fly",$V$13/$V$16,"")))</f>
        <v/>
      </c>
      <c r="W17" s="134" t="str">
        <f>IF('Brewhouse Setup &amp; Calcs'!$B$28="Batch",'Brewhouse Setup &amp; Calcs'!$B$5,IF('Brewhouse Setup &amp; Calcs'!$B$28="Fly",CONCATENATE('Brewhouse Setup &amp; Calcs'!$B$5,"/min"),"-"))</f>
        <v>-</v>
      </c>
      <c r="X17" s="131"/>
      <c r="Z17" s="601"/>
      <c r="AA17" s="131"/>
      <c r="AB17" s="131"/>
      <c r="AC17" s="131"/>
    </row>
    <row r="18" spans="1:44" ht="13.2" customHeight="1" x14ac:dyDescent="0.25">
      <c r="A18" s="602" t="s">
        <v>129</v>
      </c>
      <c r="B18" s="653"/>
      <c r="C18" s="653"/>
      <c r="D18" s="653"/>
      <c r="E18" s="653"/>
      <c r="F18" s="653"/>
      <c r="G18" s="653"/>
      <c r="H18" s="653"/>
      <c r="I18" s="653"/>
      <c r="J18" s="653"/>
      <c r="K18" s="603"/>
      <c r="L18" s="597"/>
      <c r="M18" s="597"/>
      <c r="O18" s="478" t="s">
        <v>1831</v>
      </c>
      <c r="P18" s="157">
        <f>IF('Brewhouse Setup &amp; Calcs'!$B$2="US Customary",'Water-English'!$D$36,'Water-Metric'!$D$37)</f>
        <v>0</v>
      </c>
      <c r="Q18" s="157">
        <f>IFERROR(IF('Brewhouse Setup &amp; Calcs'!$B$2="US Customary",'Water-English'!$D$38,'Water-Metric'!$D$39),"")</f>
        <v>0</v>
      </c>
      <c r="R18" s="130"/>
      <c r="S18" s="642" t="s">
        <v>106</v>
      </c>
      <c r="T18" s="643"/>
      <c r="U18" s="135">
        <f>'Brewhouse Setup &amp; Calcs'!B61</f>
        <v>56.168000000000006</v>
      </c>
      <c r="V18" s="532">
        <v>60</v>
      </c>
      <c r="W18" s="533" t="str">
        <f>'Brewhouse Setup &amp; Calcs'!B5</f>
        <v>qt</v>
      </c>
      <c r="AA18" s="53"/>
      <c r="AB18" s="53"/>
      <c r="AC18" s="53"/>
    </row>
    <row r="19" spans="1:44" ht="13.2" customHeight="1" x14ac:dyDescent="0.25">
      <c r="A19" s="673" t="str">
        <f>'Hop Calcs'!E5</f>
        <v>Species</v>
      </c>
      <c r="B19" s="693"/>
      <c r="C19" s="693"/>
      <c r="D19" s="674"/>
      <c r="E19" s="691" t="str">
        <f>'Hop Calcs'!D5</f>
        <v>Type</v>
      </c>
      <c r="F19" s="691" t="str">
        <f>'Hop Calcs'!F5</f>
        <v>Alpha (%)</v>
      </c>
      <c r="G19" s="673" t="str">
        <f>'Hop Calcs'!G5</f>
        <v>Qty</v>
      </c>
      <c r="H19" s="674"/>
      <c r="I19" s="686" t="s">
        <v>1141</v>
      </c>
      <c r="J19" s="693" t="str">
        <f>'Hop Calcs'!C5</f>
        <v>Time (min)</v>
      </c>
      <c r="K19" s="674"/>
      <c r="L19" s="598"/>
      <c r="M19" s="598"/>
      <c r="O19" s="478" t="s">
        <v>1895</v>
      </c>
      <c r="P19" s="157">
        <f>IF('Brewhouse Setup &amp; Calcs'!$B$2="US Customary",'Water-English'!$E$36,'Water-Metric'!$E$37)</f>
        <v>5</v>
      </c>
      <c r="Q19" s="157">
        <f>IFERROR(IF('Brewhouse Setup &amp; Calcs'!$B$2="US Customary",'Water-English'!$E$38,'Water-Metric'!$E$39),"")</f>
        <v>0</v>
      </c>
      <c r="R19" s="130"/>
      <c r="S19" s="611" t="s">
        <v>1758</v>
      </c>
      <c r="T19" s="612"/>
      <c r="U19" s="135">
        <f>'Brewhouse Setup &amp; Calcs'!B16</f>
        <v>0.5</v>
      </c>
      <c r="V19" s="135" t="str">
        <f>IF(OR(ISBLANK(V9),ISBLANK(V18)),"",(V9+V13-'Brewhouse Setup &amp; Calcs'!B32-V18)/'Grain &amp; Sugar Calcs'!C15)</f>
        <v/>
      </c>
      <c r="W19" s="533" t="str">
        <f>IF('Brewhouse Setup &amp; Calcs'!$B$2="US Customary","qt/lb","L/kg")</f>
        <v>qt/lb</v>
      </c>
      <c r="AA19" s="53"/>
      <c r="AB19" s="53"/>
      <c r="AC19" s="53"/>
    </row>
    <row r="20" spans="1:44" ht="13.2" customHeight="1" x14ac:dyDescent="0.25">
      <c r="A20" s="673"/>
      <c r="B20" s="693"/>
      <c r="C20" s="693"/>
      <c r="D20" s="674"/>
      <c r="E20" s="692"/>
      <c r="F20" s="692"/>
      <c r="G20" s="683" t="str">
        <f>'Brewhouse Setup &amp; Calcs'!B7</f>
        <v>oz</v>
      </c>
      <c r="H20" s="684"/>
      <c r="I20" s="687"/>
      <c r="J20" s="694"/>
      <c r="K20" s="695"/>
      <c r="L20" s="598"/>
      <c r="M20" s="598"/>
      <c r="O20" s="478" t="s">
        <v>1896</v>
      </c>
      <c r="P20" s="157">
        <f>IF('Brewhouse Setup &amp; Calcs'!$B$2="US Customary",'Water-English'!$F$36,'Water-Metric'!$F$37)</f>
        <v>5</v>
      </c>
      <c r="Q20" s="157">
        <f>IFERROR(IF('Brewhouse Setup &amp; Calcs'!$B$2="US Customary",'Water-English'!$F$38,'Water-Metric'!$F$39),"")</f>
        <v>0</v>
      </c>
      <c r="R20" s="130"/>
      <c r="S20" s="611" t="s">
        <v>1741</v>
      </c>
      <c r="T20" s="612"/>
      <c r="U20" s="637" t="s">
        <v>2289</v>
      </c>
      <c r="V20" s="638"/>
      <c r="W20" s="639"/>
      <c r="AA20" s="53"/>
      <c r="AB20" s="53"/>
      <c r="AC20" s="53"/>
    </row>
    <row r="21" spans="1:44" ht="13.2" customHeight="1" x14ac:dyDescent="0.25">
      <c r="A21" s="610" t="str">
        <f>IF('Hop Calcs'!E7=0,"",'Hop Calcs'!E7)</f>
        <v>Cluster</v>
      </c>
      <c r="B21" s="610"/>
      <c r="C21" s="610"/>
      <c r="D21" s="610"/>
      <c r="E21" s="159" t="str">
        <f>IF('Hop Calcs'!D7=0,"",'Hop Calcs'!D7)</f>
        <v>Pellet</v>
      </c>
      <c r="F21" s="133">
        <f>IF('Hop Calcs'!F7=0,"",'Hop Calcs'!F7)</f>
        <v>7.2</v>
      </c>
      <c r="G21" s="662">
        <f>IF('Hop Calcs'!G7=0,"",'Hop Calcs'!G7)</f>
        <v>1</v>
      </c>
      <c r="H21" s="663"/>
      <c r="I21" s="133">
        <f>'Hop Calcs'!H7</f>
        <v>7.2</v>
      </c>
      <c r="J21" s="660">
        <f>IF(ISBLANK('Hop Calcs'!C7),"",IF('Hop Calcs'!C7="Hop Stand",CONCATENATE('Hop Calcs'!C7," (",'Hop Calcs'!B7,")"),'Hop Calcs'!C7))</f>
        <v>60</v>
      </c>
      <c r="K21" s="661"/>
      <c r="O21" s="478" t="s">
        <v>1851</v>
      </c>
      <c r="P21" s="157">
        <f>IF('Brewhouse Setup &amp; Calcs'!$B$2="US Customary",'Water-English'!$D$43,'Water-Metric'!$D$44)</f>
        <v>0</v>
      </c>
      <c r="Q21" s="157">
        <f>IFERROR(IF('Brewhouse Setup &amp; Calcs'!$B$2="US Customary",'Water-English'!$D$45,'Water-Metric'!$D$46),"")</f>
        <v>0</v>
      </c>
      <c r="R21" s="130"/>
      <c r="S21" s="618" t="s">
        <v>2099</v>
      </c>
      <c r="T21" s="534" t="s">
        <v>1733</v>
      </c>
      <c r="U21" s="613">
        <f>'Grain &amp; Sugar Calcs'!K19</f>
        <v>1.0373595529411765</v>
      </c>
      <c r="V21" s="152">
        <v>1.032</v>
      </c>
      <c r="W21" s="151" t="s">
        <v>19</v>
      </c>
    </row>
    <row r="22" spans="1:44" x14ac:dyDescent="0.25">
      <c r="A22" s="610" t="str">
        <f>IF('Hop Calcs'!E8=0,"",'Hop Calcs'!E8)</f>
        <v>Hallertauer Mittelfrüh (German)</v>
      </c>
      <c r="B22" s="610"/>
      <c r="C22" s="610"/>
      <c r="D22" s="610"/>
      <c r="E22" s="159" t="str">
        <f>IF('Hop Calcs'!D8=0,"",'Hop Calcs'!D8)</f>
        <v>Pellet</v>
      </c>
      <c r="F22" s="133">
        <f>IF('Hop Calcs'!F8=0,"",'Hop Calcs'!F8)</f>
        <v>3.2</v>
      </c>
      <c r="G22" s="662">
        <f>IF('Hop Calcs'!G8=0,"",'Hop Calcs'!G8)</f>
        <v>1</v>
      </c>
      <c r="H22" s="663"/>
      <c r="I22" s="133">
        <f>'Hop Calcs'!H8</f>
        <v>3.2</v>
      </c>
      <c r="J22" s="660">
        <f>IF(ISBLANK('Hop Calcs'!C8),"",IF('Hop Calcs'!C8="Hop Stand",CONCATENATE('Hop Calcs'!C8," (",'Hop Calcs'!B8,")"),'Hop Calcs'!C8))</f>
        <v>5</v>
      </c>
      <c r="K22" s="661"/>
      <c r="O22" s="478" t="s">
        <v>1852</v>
      </c>
      <c r="P22" s="157">
        <f>IF('Brewhouse Setup &amp; Calcs'!$B$2="US Customary",'Water-English'!$E$43,'Water-Metric'!$E$44)</f>
        <v>0</v>
      </c>
      <c r="Q22" s="157">
        <f>IFERROR(IF('Brewhouse Setup &amp; Calcs'!$B$2="US Customary",'Water-English'!$E$45,'Water-Metric'!$E$46),"")</f>
        <v>0</v>
      </c>
      <c r="R22" s="130"/>
      <c r="S22" s="619"/>
      <c r="T22" s="535" t="s">
        <v>1734</v>
      </c>
      <c r="U22" s="614"/>
      <c r="V22" s="141">
        <f>IF(ISBLANK(V21),"",(IF(ISBLANK(W22),"",'Brewhouse Setup &amp; Calcs'!$B$36+IF('Brewhouse Setup &amp; Calcs'!$B$2="US Customary",(V21*((1.00130346-0.000134722124*W22+0.00000204052596*W22^2-0.00000000232820948*W22^3)/(1.00130346-0.000134722124*'Brewhouse Setup &amp; Calcs'!$B$35+0.00000204052596*'Brewhouse Setup &amp; Calcs'!$B$35^2-0.00000000232820948*'Brewhouse Setup &amp; Calcs'!$B$35^3))),(V21*((1.00130346-0.000134722124*((W22*9/5)+32)+0.00000204052596*((W22*9/5)+32)^2-0.00000000232820948*((W22*9/5)+32)^3)/(1.00130346-0.000134722124*(('Brewhouse Setup &amp; Calcs'!$B$35*9/5)+32)+0.00000204052596*(('Brewhouse Setup &amp; Calcs'!$B$35*9/5)+32)^2-0.00000000232820948*(('Brewhouse Setup &amp; Calcs'!$B$35*9/5)+32)^3)))))))</f>
        <v>1.0380318294240445</v>
      </c>
      <c r="W22" s="145">
        <v>100</v>
      </c>
    </row>
    <row r="23" spans="1:44" ht="13.2" customHeight="1" x14ac:dyDescent="0.25">
      <c r="A23" s="610" t="str">
        <f>IF('Hop Calcs'!E9=0,"",'Hop Calcs'!E9)</f>
        <v/>
      </c>
      <c r="B23" s="610"/>
      <c r="C23" s="610"/>
      <c r="D23" s="610"/>
      <c r="E23" s="159" t="str">
        <f>IF('Hop Calcs'!D9=0,"",'Hop Calcs'!D9)</f>
        <v/>
      </c>
      <c r="F23" s="133" t="str">
        <f>IF('Hop Calcs'!F9=0,"",'Hop Calcs'!F9)</f>
        <v/>
      </c>
      <c r="G23" s="662" t="str">
        <f>IF('Hop Calcs'!G9=0,"",'Hop Calcs'!G9)</f>
        <v/>
      </c>
      <c r="H23" s="663"/>
      <c r="I23" s="133" t="str">
        <f>'Hop Calcs'!H9</f>
        <v/>
      </c>
      <c r="J23" s="660" t="str">
        <f>IF(ISBLANK('Hop Calcs'!C9),"",IF('Hop Calcs'!C9="Hop Stand",CONCATENATE('Hop Calcs'!C9," (",'Hop Calcs'!B9,")"),'Hop Calcs'!C9))</f>
        <v/>
      </c>
      <c r="K23" s="661"/>
      <c r="O23" s="478" t="s">
        <v>1853</v>
      </c>
      <c r="P23" s="157">
        <f>IF('Brewhouse Setup &amp; Calcs'!$B$2="US Customary",'Water-English'!$F$43,'Water-Metric'!$F$44)</f>
        <v>0</v>
      </c>
      <c r="Q23" s="157">
        <f>IFERROR(IF('Brewhouse Setup &amp; Calcs'!$B$2="US Customary",'Water-English'!$F$45,'Water-Metric'!$F$46),"")</f>
        <v>0</v>
      </c>
      <c r="R23" s="130"/>
      <c r="S23" s="619"/>
      <c r="T23" s="534" t="s">
        <v>1736</v>
      </c>
      <c r="U23" s="617">
        <f>(((182.4601*U21-775.6821)*U21+1262.7794)*U21-669.5622)</f>
        <v>9.3545493114311284</v>
      </c>
      <c r="V23" s="140"/>
      <c r="W23" s="542" t="s">
        <v>139</v>
      </c>
    </row>
    <row r="24" spans="1:44" ht="13.2" customHeight="1" x14ac:dyDescent="0.25">
      <c r="A24" s="610" t="str">
        <f>IF('Hop Calcs'!E10=0,"",'Hop Calcs'!E10)</f>
        <v/>
      </c>
      <c r="B24" s="610"/>
      <c r="C24" s="610"/>
      <c r="D24" s="610"/>
      <c r="E24" s="159" t="str">
        <f>IF('Hop Calcs'!D10=0,"",'Hop Calcs'!D10)</f>
        <v/>
      </c>
      <c r="F24" s="133" t="str">
        <f>IF('Hop Calcs'!F10=0,"",'Hop Calcs'!F10)</f>
        <v/>
      </c>
      <c r="G24" s="662" t="str">
        <f>IF('Hop Calcs'!G10=0,"",'Hop Calcs'!G10)</f>
        <v/>
      </c>
      <c r="H24" s="663"/>
      <c r="I24" s="133" t="str">
        <f>'Hop Calcs'!H10</f>
        <v/>
      </c>
      <c r="J24" s="660" t="str">
        <f>IF(ISBLANK('Hop Calcs'!C10),"",IF('Hop Calcs'!C10="Hop Stand",CONCATENATE('Hop Calcs'!C10," (",'Hop Calcs'!B10,")"),'Hop Calcs'!C10))</f>
        <v/>
      </c>
      <c r="K24" s="661"/>
      <c r="R24" s="147"/>
      <c r="S24" s="620"/>
      <c r="T24" s="535" t="s">
        <v>1734</v>
      </c>
      <c r="U24" s="616"/>
      <c r="V24" s="141" t="str">
        <f>IF(V23="","",(V23/(258.6-((V23/258.2)*227.1)))+1)</f>
        <v/>
      </c>
      <c r="W24" s="139"/>
      <c r="AR24" s="130"/>
    </row>
    <row r="25" spans="1:44" ht="13.2" customHeight="1" x14ac:dyDescent="0.25">
      <c r="A25" s="610" t="str">
        <f>IF('Hop Calcs'!E11=0,"",'Hop Calcs'!E11)</f>
        <v/>
      </c>
      <c r="B25" s="610"/>
      <c r="C25" s="610"/>
      <c r="D25" s="610"/>
      <c r="E25" s="159" t="str">
        <f>IF('Hop Calcs'!D11=0,"",'Hop Calcs'!D11)</f>
        <v/>
      </c>
      <c r="F25" s="133" t="str">
        <f>IF('Hop Calcs'!F11=0,"",'Hop Calcs'!F11)</f>
        <v/>
      </c>
      <c r="G25" s="662" t="str">
        <f>IF('Hop Calcs'!G11=0,"",'Hop Calcs'!G11)</f>
        <v/>
      </c>
      <c r="H25" s="663"/>
      <c r="I25" s="133" t="str">
        <f>'Hop Calcs'!H11</f>
        <v/>
      </c>
      <c r="J25" s="660" t="str">
        <f>IF(ISBLANK('Hop Calcs'!C11),"",IF('Hop Calcs'!C11="Hop Stand",CONCATENATE('Hop Calcs'!C11," (",'Hop Calcs'!B11,")"),'Hop Calcs'!C11))</f>
        <v/>
      </c>
      <c r="K25" s="661"/>
      <c r="O25" s="602" t="s">
        <v>1143</v>
      </c>
      <c r="P25" s="653"/>
      <c r="Q25" s="603"/>
      <c r="R25" s="130"/>
      <c r="S25" s="625" t="s">
        <v>1970</v>
      </c>
      <c r="T25" s="626"/>
      <c r="U25" s="629">
        <f>'Brewhouse Setup &amp; Calcs'!B18</f>
        <v>0.74</v>
      </c>
      <c r="V25" s="148">
        <f>IF(OR('Grain &amp; Sugar Calcs'!$K$15=0,NOT(ISNUMBER($V$22)),NOT(ISNUMBER($V$18))),"",((($V$22-1)*1000))/('Grain &amp; Sugar Calcs'!$I$15/IF('Brewhouse Setup &amp; Calcs'!$B$5="Liters",(1.056688*$V$18/4),($V$18/4))))</f>
        <v>0.8047102922195184</v>
      </c>
      <c r="W25" s="153" t="s">
        <v>1733</v>
      </c>
      <c r="AR25" s="130"/>
    </row>
    <row r="26" spans="1:44" x14ac:dyDescent="0.25">
      <c r="A26" s="610" t="str">
        <f>IF('Hop Calcs'!E12=0,"",'Hop Calcs'!E12)</f>
        <v/>
      </c>
      <c r="B26" s="610"/>
      <c r="C26" s="610"/>
      <c r="D26" s="610"/>
      <c r="E26" s="159" t="str">
        <f>IF('Hop Calcs'!D12=0,"",'Hop Calcs'!D12)</f>
        <v/>
      </c>
      <c r="F26" s="134" t="str">
        <f>IF('Hop Calcs'!F12=0,"",'Hop Calcs'!F12)</f>
        <v/>
      </c>
      <c r="G26" s="662" t="str">
        <f>IF('Hop Calcs'!G12=0,"",'Hop Calcs'!G12)</f>
        <v/>
      </c>
      <c r="H26" s="663"/>
      <c r="I26" s="133" t="str">
        <f>'Hop Calcs'!H12</f>
        <v/>
      </c>
      <c r="J26" s="660" t="str">
        <f>IF(ISBLANK('Hop Calcs'!C12),"",IF('Hop Calcs'!C12="Hop Stand",CONCATENATE('Hop Calcs'!C12," (",'Hop Calcs'!B12,")"),'Hop Calcs'!C12))</f>
        <v/>
      </c>
      <c r="K26" s="661"/>
      <c r="O26" s="688" t="str">
        <f>IF(ISBLANK(O27),"",VLOOKUP(O27,yeast_table[#All],3,FALSE))</f>
        <v>Lallemand</v>
      </c>
      <c r="P26" s="689"/>
      <c r="Q26" s="690"/>
      <c r="R26" s="130"/>
      <c r="S26" s="627"/>
      <c r="T26" s="628"/>
      <c r="U26" s="630"/>
      <c r="V26" s="148" t="str">
        <f>IF(OR('Grain &amp; Sugar Calcs'!$K$15=0,NOT(ISNUMBER($V$24)),NOT(ISNUMBER($V$18))),"",((($V$24-1)*1000))/('Grain &amp; Sugar Calcs'!$I$15/IF('Brewhouse Setup &amp; Calcs'!$B$5="Liters",(1.056688*$V$18/4),($V$18/4))))</f>
        <v/>
      </c>
      <c r="W26" s="154" t="s">
        <v>1750</v>
      </c>
      <c r="AR26" s="130"/>
    </row>
    <row r="27" spans="1:44" ht="13.2" customHeight="1" x14ac:dyDescent="0.25">
      <c r="A27" s="610" t="str">
        <f>IF('Hop Calcs'!E13=0,"",'Hop Calcs'!E13)</f>
        <v/>
      </c>
      <c r="B27" s="610"/>
      <c r="C27" s="610"/>
      <c r="D27" s="610"/>
      <c r="E27" s="159" t="str">
        <f>IF('Hop Calcs'!D13=0,"",'Hop Calcs'!D13)</f>
        <v/>
      </c>
      <c r="F27" s="134" t="str">
        <f>IF('Hop Calcs'!F13=0,"",'Hop Calcs'!F13)</f>
        <v/>
      </c>
      <c r="G27" s="662" t="str">
        <f>IF('Hop Calcs'!G13=0,"",'Hop Calcs'!G13)</f>
        <v/>
      </c>
      <c r="H27" s="663"/>
      <c r="I27" s="133" t="str">
        <f>'Hop Calcs'!H13</f>
        <v/>
      </c>
      <c r="J27" s="660" t="str">
        <f>IF(ISBLANK('Hop Calcs'!C13),"",IF('Hop Calcs'!C13="Hop Stand",CONCATENATE('Hop Calcs'!C13," (",'Hop Calcs'!B13,")"),'Hop Calcs'!C13))</f>
        <v/>
      </c>
      <c r="K27" s="661"/>
      <c r="O27" s="671" t="s">
        <v>966</v>
      </c>
      <c r="P27" s="656"/>
      <c r="Q27" s="672"/>
      <c r="R27" s="130"/>
      <c r="S27" s="618" t="s">
        <v>2100</v>
      </c>
      <c r="T27" s="534" t="s">
        <v>1733</v>
      </c>
      <c r="U27" s="613">
        <f>'Grain &amp; Sugar Calcs'!K21</f>
        <v>1.0373595529411765</v>
      </c>
      <c r="V27" s="152">
        <v>1.032</v>
      </c>
      <c r="W27" s="151" t="s">
        <v>19</v>
      </c>
    </row>
    <row r="28" spans="1:44" ht="13.2" customHeight="1" x14ac:dyDescent="0.25">
      <c r="A28" s="610" t="str">
        <f>IF('Hop Calcs'!E14=0,"",'Hop Calcs'!E14)</f>
        <v/>
      </c>
      <c r="B28" s="610"/>
      <c r="C28" s="610"/>
      <c r="D28" s="610"/>
      <c r="E28" s="159" t="str">
        <f>IF('Hop Calcs'!D14=0,"",'Hop Calcs'!D14)</f>
        <v/>
      </c>
      <c r="F28" s="134" t="str">
        <f>IF('Hop Calcs'!F14=0,"",'Hop Calcs'!F14)</f>
        <v/>
      </c>
      <c r="G28" s="662" t="str">
        <f>IF('Hop Calcs'!G14=0,"",'Hop Calcs'!G14)</f>
        <v/>
      </c>
      <c r="H28" s="663"/>
      <c r="I28" s="133" t="str">
        <f>'Hop Calcs'!H14</f>
        <v/>
      </c>
      <c r="J28" s="660" t="str">
        <f>IF(ISBLANK('Hop Calcs'!C14),"",IF('Hop Calcs'!C14="Hop Stand",CONCATENATE('Hop Calcs'!C14," (",'Hop Calcs'!B14,")"),'Hop Calcs'!C14))</f>
        <v/>
      </c>
      <c r="K28" s="661"/>
      <c r="O28" s="540" t="s">
        <v>1737</v>
      </c>
      <c r="P28" s="477" t="str">
        <f>CONCATENATE(IF(ISBLANK(O27),"",(IF('Brewhouse Setup &amp; Calcs'!$B$4="°C",ROUND(5/9*(VLOOKUP(O27,yeast_table[#All],7,FALSE)-32),0),VLOOKUP(O27,yeast_table[#All],7,FALSE)))),"-",IF(ISBLANK(O27),"",(IF('Brewhouse Setup &amp; Calcs'!$B$4="°C",ROUND(5/9*(VLOOKUP(O27,yeast_table[#All],8,FALSE)-32),0),VLOOKUP(O27,yeast_table[#All],8,FALSE)))))</f>
        <v>59-95</v>
      </c>
      <c r="Q28" s="149" t="str">
        <f>'Brewhouse Setup &amp; Calcs'!$B$4</f>
        <v>°F</v>
      </c>
      <c r="R28" s="130"/>
      <c r="S28" s="619"/>
      <c r="T28" s="535" t="s">
        <v>1734</v>
      </c>
      <c r="U28" s="614"/>
      <c r="V28" s="141">
        <f>IF(ISBLANK(V27),"",(IF(ISBLANK(W28),"",'Brewhouse Setup &amp; Calcs'!$B$36+IF('Brewhouse Setup &amp; Calcs'!$B$2="US Customary",(V27*((1.00130346-0.000134722124*W28+0.00000204052596*W28^2-0.00000000232820948*W28^3)/(1.00130346-0.000134722124*'Brewhouse Setup &amp; Calcs'!$B$35+0.00000204052596*'Brewhouse Setup &amp; Calcs'!$B$35^2-0.00000000232820948*'Brewhouse Setup &amp; Calcs'!$B$35^3))),(V27*((1.00130346-0.000134722124*((W28*9/5)+32)+0.00000204052596*((W28*9/5)+32)^2-0.00000000232820948*((W28*9/5)+32)^3)/(1.00130346-0.000134722124*(('Brewhouse Setup &amp; Calcs'!$B$35*9/5)+32)+0.00000204052596*(('Brewhouse Setup &amp; Calcs'!$B$35*9/5)+32)^2-0.00000000232820948*(('Brewhouse Setup &amp; Calcs'!$B$35*9/5)+32)^3)))))))</f>
        <v>1.0380318294240445</v>
      </c>
      <c r="W28" s="145">
        <v>100</v>
      </c>
    </row>
    <row r="29" spans="1:44" ht="13.2" customHeight="1" x14ac:dyDescent="0.25">
      <c r="A29" s="610" t="str">
        <f>IF('Hop Calcs'!E15=0,"",'Hop Calcs'!E15)</f>
        <v/>
      </c>
      <c r="B29" s="610"/>
      <c r="C29" s="610"/>
      <c r="D29" s="610"/>
      <c r="E29" s="159" t="str">
        <f>IF('Hop Calcs'!D15=0,"",'Hop Calcs'!D15)</f>
        <v/>
      </c>
      <c r="F29" s="134" t="str">
        <f>IF('Hop Calcs'!F15=0,"",'Hop Calcs'!F15)</f>
        <v/>
      </c>
      <c r="G29" s="662" t="str">
        <f>IF('Hop Calcs'!G15=0,"",'Hop Calcs'!G15)</f>
        <v/>
      </c>
      <c r="H29" s="663"/>
      <c r="I29" s="133" t="str">
        <f>'Hop Calcs'!H15</f>
        <v/>
      </c>
      <c r="J29" s="660" t="str">
        <f>IF(ISBLANK('Hop Calcs'!C15),"",IF('Hop Calcs'!C15="Hop Stand",CONCATENATE('Hop Calcs'!C15," (",'Hop Calcs'!B15,")"),'Hop Calcs'!C15))</f>
        <v/>
      </c>
      <c r="K29" s="661"/>
      <c r="N29" s="130"/>
      <c r="R29" s="130"/>
      <c r="S29" s="619"/>
      <c r="T29" s="534" t="s">
        <v>1736</v>
      </c>
      <c r="U29" s="617">
        <f>(((182.4601*U27-775.6821)*U27+1262.7794)*U27-669.5622)</f>
        <v>9.3545493114311284</v>
      </c>
      <c r="V29" s="140"/>
      <c r="W29" s="542" t="s">
        <v>139</v>
      </c>
    </row>
    <row r="30" spans="1:44" ht="13.2" customHeight="1" x14ac:dyDescent="0.25">
      <c r="O30" s="667" t="s">
        <v>1579</v>
      </c>
      <c r="P30" s="668"/>
      <c r="Q30" s="669"/>
      <c r="R30" s="130"/>
      <c r="S30" s="620"/>
      <c r="T30" s="535" t="s">
        <v>1734</v>
      </c>
      <c r="U30" s="616"/>
      <c r="V30" s="141" t="str">
        <f>IF(V29="","",(V29/(258.6-((V29/258.2)*227.1)))+1)</f>
        <v/>
      </c>
      <c r="W30" s="139"/>
    </row>
    <row r="31" spans="1:44" ht="13.2" customHeight="1" x14ac:dyDescent="0.25">
      <c r="A31" s="624" t="s">
        <v>132</v>
      </c>
      <c r="B31" s="624"/>
      <c r="C31" s="624"/>
      <c r="D31" s="624"/>
      <c r="E31" s="667" t="s">
        <v>1958</v>
      </c>
      <c r="F31" s="669"/>
      <c r="G31" s="667" t="s">
        <v>1738</v>
      </c>
      <c r="H31" s="668"/>
      <c r="I31" s="669"/>
      <c r="O31" s="539" t="s">
        <v>1956</v>
      </c>
      <c r="P31" s="480">
        <v>2.5</v>
      </c>
      <c r="Q31" s="139"/>
      <c r="R31" s="130"/>
      <c r="S31" s="611" t="s">
        <v>111</v>
      </c>
      <c r="T31" s="612"/>
      <c r="U31" s="142">
        <f>'Brewhouse Setup &amp; Calcs'!$B$19</f>
        <v>60</v>
      </c>
      <c r="V31" s="143">
        <v>60</v>
      </c>
      <c r="W31" s="542" t="str">
        <f>'Brewhouse Setup &amp; Calcs'!C19</f>
        <v>min</v>
      </c>
    </row>
    <row r="32" spans="1:44" ht="13.2" customHeight="1" x14ac:dyDescent="0.25">
      <c r="A32" s="621" t="s">
        <v>1835</v>
      </c>
      <c r="B32" s="621"/>
      <c r="C32" s="621"/>
      <c r="D32" s="621"/>
      <c r="E32" s="622" t="s">
        <v>2294</v>
      </c>
      <c r="F32" s="623"/>
      <c r="G32" s="622" t="s">
        <v>2293</v>
      </c>
      <c r="H32" s="666"/>
      <c r="I32" s="623"/>
      <c r="O32" s="539" t="s">
        <v>1129</v>
      </c>
      <c r="P32" s="480">
        <v>38</v>
      </c>
      <c r="Q32" s="134" t="str">
        <f>'Brewhouse Setup &amp; Calcs'!$B$4</f>
        <v>°F</v>
      </c>
      <c r="R32" s="130"/>
      <c r="S32" s="611" t="s">
        <v>107</v>
      </c>
      <c r="T32" s="612"/>
      <c r="U32" s="137">
        <f>'Brewhouse Setup &amp; Calcs'!B64</f>
        <v>49.2</v>
      </c>
      <c r="V32" s="163">
        <v>53.75</v>
      </c>
      <c r="W32" s="137" t="str">
        <f>'Brewhouse Setup &amp; Calcs'!C64</f>
        <v>qt</v>
      </c>
    </row>
    <row r="33" spans="1:29" ht="13.2" customHeight="1" x14ac:dyDescent="0.25">
      <c r="A33" s="621" t="s">
        <v>2251</v>
      </c>
      <c r="B33" s="621"/>
      <c r="C33" s="621"/>
      <c r="D33" s="621"/>
      <c r="E33" s="622">
        <v>2</v>
      </c>
      <c r="F33" s="623"/>
      <c r="G33" s="622" t="s">
        <v>2129</v>
      </c>
      <c r="H33" s="666"/>
      <c r="I33" s="623"/>
      <c r="O33" s="539" t="s">
        <v>1957</v>
      </c>
      <c r="P33" s="157">
        <f>IF(OR(ISBLANK(P31),ISBLANK(P32)),"",IF('Brewhouse Setup &amp; Calcs'!$B$2="US Customary",(-16.6999 - 0.0101059*P32 + 0.00116512*P32^2 + 0.173354*P32*P31 + 4.24267*P31 - 0.0684226*P31^2),(-16.6999 - 0.0101059*(9/5*P32+32) + 0.00116512*(9/5*P32+32)^2 + 0.173354*(9/5*P32+32)*P31 + 4.24267*P31 - 0.0684226*P31^2)*6.894757))</f>
        <v>11.246172830000003</v>
      </c>
      <c r="Q33" s="134" t="str">
        <f>'Brewhouse Setup &amp; Calcs'!B8</f>
        <v>PSI</v>
      </c>
      <c r="R33" s="130"/>
      <c r="S33" s="611" t="s">
        <v>2097</v>
      </c>
      <c r="T33" s="612"/>
      <c r="U33" s="137">
        <f>'Brewhouse Setup &amp; Calcs'!B20</f>
        <v>5</v>
      </c>
      <c r="V33" s="137">
        <f>IF(OR(ISBLANK(V18),ISBLANK(V31),ISBLANK(V32)),"",(V18-V32-'Brewhouse Setup &amp; Calcs'!B63)/(V31/60))</f>
        <v>4.282</v>
      </c>
      <c r="W33" s="137" t="str">
        <f>IF('Brewhouse Setup &amp; Calcs'!$B$2="US Customary","qt/hr","L/hr")</f>
        <v>qt/hr</v>
      </c>
    </row>
    <row r="34" spans="1:29" ht="13.2" customHeight="1" x14ac:dyDescent="0.25">
      <c r="A34" s="621" t="s">
        <v>2291</v>
      </c>
      <c r="B34" s="621"/>
      <c r="C34" s="621"/>
      <c r="D34" s="621"/>
      <c r="E34" s="622" t="s">
        <v>2292</v>
      </c>
      <c r="F34" s="623"/>
      <c r="G34" s="622" t="s">
        <v>2290</v>
      </c>
      <c r="H34" s="666"/>
      <c r="I34" s="623"/>
      <c r="R34" s="130"/>
      <c r="S34" s="618" t="s">
        <v>1740</v>
      </c>
      <c r="T34" s="534" t="s">
        <v>1733</v>
      </c>
      <c r="U34" s="613">
        <f>'Grain &amp; Sugar Calcs'!L21</f>
        <v>1.0426506375934959</v>
      </c>
      <c r="V34" s="144">
        <v>1.036</v>
      </c>
      <c r="W34" s="151" t="s">
        <v>19</v>
      </c>
    </row>
    <row r="35" spans="1:29" x14ac:dyDescent="0.25">
      <c r="A35" s="621" t="s">
        <v>2295</v>
      </c>
      <c r="B35" s="621"/>
      <c r="C35" s="621"/>
      <c r="D35" s="621"/>
      <c r="E35" s="622" t="s">
        <v>2296</v>
      </c>
      <c r="F35" s="623"/>
      <c r="G35" s="622" t="s">
        <v>2290</v>
      </c>
      <c r="H35" s="666"/>
      <c r="I35" s="623"/>
      <c r="R35" s="130"/>
      <c r="S35" s="619"/>
      <c r="T35" s="535" t="s">
        <v>1734</v>
      </c>
      <c r="U35" s="614"/>
      <c r="V35" s="141">
        <f>IF(OR(ISBLANK(V34),ISBLANK(W35)),"",'Brewhouse Setup &amp; Calcs'!$B$36+IF('Brewhouse Setup &amp; Calcs'!$B$2="US Customary", (V34*((1.00130346-0.000134722124*W35+0.00000204052596*W35^2-0.00000000232820948*W35^3)/(1.00130346-0.000134722124*'Brewhouse Setup &amp; Calcs'!$B$35+0.00000204052596*'Brewhouse Setup &amp; Calcs'!$B$35^2-0.00000000232820948*'Brewhouse Setup &amp; Calcs'!$B$35^3))), (V34*((1.00130346-0.000134722124*((W35* 9/5)+32)+0.00000204052596*((W35* 9/5)+32)^2-0.00000000232820948*((W35* 9/5)+32)^3)/(1.00130346-0.000134722124*(('Brewhouse Setup &amp; Calcs'!$B$35* 9/5)+32)+0.00000204052596*(('Brewhouse Setup &amp; Calcs'!$B$35* 9/5)+32)^2-0.00000000232820948*(('Brewhouse Setup &amp; Calcs'!$B$35* 9/5)+32)^3)))))</f>
        <v>1.0382627959612734</v>
      </c>
      <c r="W35" s="145">
        <v>79</v>
      </c>
    </row>
    <row r="36" spans="1:29" ht="13.2" customHeight="1" x14ac:dyDescent="0.25">
      <c r="A36" s="621"/>
      <c r="B36" s="621"/>
      <c r="C36" s="621"/>
      <c r="D36" s="621"/>
      <c r="E36" s="622"/>
      <c r="F36" s="623"/>
      <c r="G36" s="622"/>
      <c r="H36" s="666"/>
      <c r="I36" s="623"/>
      <c r="N36" s="130"/>
      <c r="O36" s="130"/>
      <c r="P36" s="130"/>
      <c r="Q36" s="130"/>
      <c r="R36" s="130"/>
      <c r="S36" s="619"/>
      <c r="T36" s="534" t="s">
        <v>1736</v>
      </c>
      <c r="U36" s="615">
        <f>(((182.4601*U34-775.6821)*U34+1262.7794)*U34-669.5622)</f>
        <v>10.631850682028812</v>
      </c>
      <c r="V36" s="140">
        <v>9.1</v>
      </c>
      <c r="W36" s="542" t="s">
        <v>139</v>
      </c>
      <c r="X36" s="130"/>
      <c r="Y36" s="130"/>
      <c r="Z36" s="130"/>
      <c r="AA36" s="130"/>
      <c r="AB36" s="130"/>
      <c r="AC36" s="130"/>
    </row>
    <row r="37" spans="1:29" x14ac:dyDescent="0.25">
      <c r="R37" s="130"/>
      <c r="S37" s="620"/>
      <c r="T37" s="535" t="s">
        <v>1734</v>
      </c>
      <c r="U37" s="616"/>
      <c r="V37" s="141">
        <f>IF(V36="","",(V36/(258.6-((V36/258.2)*227.1)))+1)</f>
        <v>1.0363134159898528</v>
      </c>
      <c r="W37" s="139"/>
    </row>
    <row r="38" spans="1:29" ht="13.2" customHeight="1" x14ac:dyDescent="0.25">
      <c r="A38" s="664" t="s">
        <v>2297</v>
      </c>
      <c r="B38" s="665"/>
      <c r="C38" s="665"/>
      <c r="D38" s="665"/>
      <c r="E38" s="665"/>
      <c r="F38" s="665"/>
      <c r="G38" s="665"/>
      <c r="H38" s="665"/>
      <c r="I38" s="665"/>
      <c r="J38" s="665"/>
      <c r="K38" s="665"/>
      <c r="L38" s="665"/>
      <c r="M38" s="665"/>
      <c r="N38" s="665"/>
      <c r="O38" s="665"/>
      <c r="P38" s="665"/>
      <c r="Q38" s="665"/>
      <c r="S38" s="611" t="s">
        <v>1747</v>
      </c>
      <c r="T38" s="612"/>
      <c r="U38" s="137">
        <f>J12+'Brewhouse Setup &amp; Calcs'!B34</f>
        <v>44</v>
      </c>
      <c r="V38" s="163">
        <v>48</v>
      </c>
      <c r="W38" s="134" t="str">
        <f>'Brewhouse Setup &amp; Calcs'!$B$5</f>
        <v>qt</v>
      </c>
    </row>
    <row r="39" spans="1:29" x14ac:dyDescent="0.25">
      <c r="A39" s="665"/>
      <c r="B39" s="665"/>
      <c r="C39" s="665"/>
      <c r="D39" s="665"/>
      <c r="E39" s="665"/>
      <c r="F39" s="665"/>
      <c r="G39" s="665"/>
      <c r="H39" s="665"/>
      <c r="I39" s="665"/>
      <c r="J39" s="665"/>
      <c r="K39" s="665"/>
      <c r="L39" s="665"/>
      <c r="M39" s="665"/>
      <c r="N39" s="665"/>
      <c r="O39" s="665"/>
      <c r="P39" s="665"/>
      <c r="Q39" s="665"/>
      <c r="S39" s="611" t="s">
        <v>1731</v>
      </c>
      <c r="T39" s="612"/>
      <c r="U39" s="137">
        <f>'Brewhouse Setup &amp; Calcs'!B22</f>
        <v>0.1</v>
      </c>
      <c r="V39" s="137">
        <f>IF(OR(ISBLANK(V32),ISBLANK(V38)),"",(V32-V38-'Brewhouse Setup &amp; Calcs'!B33)/'Hop Calcs'!G17)</f>
        <v>0.375</v>
      </c>
      <c r="W39" s="134" t="str">
        <f>'Brewhouse Setup &amp; Calcs'!C22</f>
        <v>qt/oz</v>
      </c>
    </row>
    <row r="40" spans="1:29" ht="13.2" customHeight="1" x14ac:dyDescent="0.25">
      <c r="A40" s="665"/>
      <c r="B40" s="665"/>
      <c r="C40" s="665"/>
      <c r="D40" s="665"/>
      <c r="E40" s="665"/>
      <c r="F40" s="665"/>
      <c r="G40" s="665"/>
      <c r="H40" s="665"/>
      <c r="I40" s="665"/>
      <c r="J40" s="665"/>
      <c r="K40" s="665"/>
      <c r="L40" s="665"/>
      <c r="M40" s="665"/>
      <c r="N40" s="665"/>
      <c r="O40" s="665"/>
      <c r="P40" s="665"/>
      <c r="Q40" s="665"/>
      <c r="R40" s="529"/>
      <c r="S40" s="618" t="s">
        <v>1961</v>
      </c>
      <c r="T40" s="534" t="s">
        <v>1733</v>
      </c>
      <c r="U40" s="613">
        <f>IF(NOT(ISNUMBER(J13)),"",1+('Grain &amp; Sugar Calcs'!L17*(1-J13)/1000))</f>
        <v>1.0085301275186991</v>
      </c>
      <c r="V40" s="152">
        <v>1.002</v>
      </c>
      <c r="W40" s="151" t="s">
        <v>19</v>
      </c>
      <c r="X40" s="130"/>
      <c r="Y40" s="130"/>
      <c r="Z40" s="130"/>
      <c r="AA40" s="130"/>
      <c r="AB40" s="130"/>
      <c r="AC40" s="130"/>
    </row>
    <row r="41" spans="1:29" ht="13.2" customHeight="1" x14ac:dyDescent="0.25">
      <c r="A41" s="665"/>
      <c r="B41" s="665"/>
      <c r="C41" s="665"/>
      <c r="D41" s="665"/>
      <c r="E41" s="665"/>
      <c r="F41" s="665"/>
      <c r="G41" s="665"/>
      <c r="H41" s="665"/>
      <c r="I41" s="665"/>
      <c r="J41" s="665"/>
      <c r="K41" s="665"/>
      <c r="L41" s="665"/>
      <c r="M41" s="665"/>
      <c r="N41" s="665"/>
      <c r="O41" s="665"/>
      <c r="P41" s="665"/>
      <c r="Q41" s="665"/>
      <c r="R41" s="529"/>
      <c r="S41" s="619"/>
      <c r="T41" s="535" t="s">
        <v>1734</v>
      </c>
      <c r="U41" s="614"/>
      <c r="V41" s="141">
        <f>IF(OR(ISBLANK(V40),ISBLANK(W41)),"",'Brewhouse Setup &amp; Calcs'!$B$36+IF('Brewhouse Setup &amp; Calcs'!$B$2="US Customary", (V40*((1.00130346-0.000134722124*W41+0.00000204052596*W41^2-0.00000000232820948*W41^3)/(1.00130346-0.000134722124*'Brewhouse Setup &amp; Calcs'!$B$35+0.00000204052596*'Brewhouse Setup &amp; Calcs'!$B$35^2-0.00000000232820948*'Brewhouse Setup &amp; Calcs'!$B$35^3))), (V40*((1.00130346-0.000134722124*((W41* 9/5)+32)+0.00000204052596*((W41* 9/5)+32)^2-0.00000000232820948*((W41* 9/5)+32)^3)/(1.00130346-0.000134722124*(('Brewhouse Setup &amp; Calcs'!$B$35* 9/5)+32)+0.00000204052596*(('Brewhouse Setup &amp; Calcs'!$B$35* 9/5)+32)^2-0.00000000232820948*(('Brewhouse Setup &amp; Calcs'!$B$35* 9/5)+32)^3)))))</f>
        <v>1.0035042716131941</v>
      </c>
      <c r="W41" s="145">
        <v>74</v>
      </c>
      <c r="X41" s="130"/>
      <c r="Y41" s="130"/>
      <c r="Z41" s="130"/>
      <c r="AA41" s="130"/>
      <c r="AB41" s="130"/>
      <c r="AC41" s="130"/>
    </row>
    <row r="42" spans="1:29" x14ac:dyDescent="0.25">
      <c r="A42" s="665"/>
      <c r="B42" s="665"/>
      <c r="C42" s="665"/>
      <c r="D42" s="665"/>
      <c r="E42" s="665"/>
      <c r="F42" s="665"/>
      <c r="G42" s="665"/>
      <c r="H42" s="665"/>
      <c r="I42" s="665"/>
      <c r="J42" s="665"/>
      <c r="K42" s="665"/>
      <c r="L42" s="665"/>
      <c r="M42" s="665"/>
      <c r="N42" s="665"/>
      <c r="O42" s="665"/>
      <c r="P42" s="665"/>
      <c r="Q42" s="665"/>
      <c r="R42" s="529"/>
      <c r="S42" s="619"/>
      <c r="T42" s="534" t="s">
        <v>1736</v>
      </c>
      <c r="U42" s="615">
        <f>IF(NOT(ISNUMBER(J13)),"",(((182.4601*U40-775.6821)*U40+1262.7794)*U40-669.5622))</f>
        <v>2.1862599241854923</v>
      </c>
      <c r="V42" s="140"/>
      <c r="W42" s="542" t="s">
        <v>139</v>
      </c>
    </row>
    <row r="43" spans="1:29" x14ac:dyDescent="0.25">
      <c r="A43" s="665"/>
      <c r="B43" s="665"/>
      <c r="C43" s="665"/>
      <c r="D43" s="665"/>
      <c r="E43" s="665"/>
      <c r="F43" s="665"/>
      <c r="G43" s="665"/>
      <c r="H43" s="665"/>
      <c r="I43" s="665"/>
      <c r="J43" s="665"/>
      <c r="K43" s="665"/>
      <c r="L43" s="665"/>
      <c r="M43" s="665"/>
      <c r="N43" s="665"/>
      <c r="O43" s="665"/>
      <c r="P43" s="665"/>
      <c r="Q43" s="665"/>
      <c r="R43" s="529"/>
      <c r="S43" s="620"/>
      <c r="T43" s="535" t="s">
        <v>1734</v>
      </c>
      <c r="U43" s="616"/>
      <c r="V43" s="141" t="str">
        <f>IF(V42=0,"",1-0.0044993*(V36/'Brewhouse Setup &amp; Calcs'!B37)+0.011774*(V42/'Brewhouse Setup &amp; Calcs'!B37)+0.00027581*(V36/'Brewhouse Setup &amp; Calcs'!B37)^2-0.0012717*(V42/'Brewhouse Setup &amp; Calcs'!B37)^2-0.00000728*(V36/'Brewhouse Setup &amp; Calcs'!B37)^3+0.000063293*(V42/'Brewhouse Setup &amp; Calcs'!B37)^3)</f>
        <v/>
      </c>
      <c r="W43" s="139"/>
    </row>
    <row r="44" spans="1:29" x14ac:dyDescent="0.25">
      <c r="A44" s="665"/>
      <c r="B44" s="665"/>
      <c r="C44" s="665"/>
      <c r="D44" s="665"/>
      <c r="E44" s="665"/>
      <c r="F44" s="665"/>
      <c r="G44" s="665"/>
      <c r="H44" s="665"/>
      <c r="I44" s="665"/>
      <c r="J44" s="665"/>
      <c r="K44" s="665"/>
      <c r="L44" s="665"/>
      <c r="M44" s="665"/>
      <c r="N44" s="665"/>
      <c r="O44" s="665"/>
      <c r="P44" s="665"/>
      <c r="Q44" s="665"/>
      <c r="R44" s="529"/>
      <c r="S44" s="611" t="str">
        <f>'Brewhouse Setup &amp; Calcs'!A12</f>
        <v>Target Batch Size</v>
      </c>
      <c r="T44" s="612"/>
      <c r="U44" s="133">
        <f>'Brewhouse Setup &amp; Calcs'!$B$12</f>
        <v>40</v>
      </c>
      <c r="V44" s="146">
        <v>40</v>
      </c>
      <c r="W44" s="134" t="str">
        <f>'Brewhouse Setup &amp; Calcs'!$B$5</f>
        <v>qt</v>
      </c>
    </row>
    <row r="50" spans="24:45" x14ac:dyDescent="0.25">
      <c r="AS50" s="40"/>
    </row>
    <row r="51" spans="24:45" x14ac:dyDescent="0.25">
      <c r="X51" s="40"/>
      <c r="Y51" s="40"/>
      <c r="Z51" s="40"/>
      <c r="AA51" s="40"/>
      <c r="AB51" s="40"/>
      <c r="AC51" s="40"/>
    </row>
    <row r="53" spans="24:45" x14ac:dyDescent="0.25">
      <c r="AD53" s="40"/>
      <c r="AE53" s="40"/>
      <c r="AF53" s="40"/>
    </row>
    <row r="54" spans="24:45" x14ac:dyDescent="0.25">
      <c r="AD54" s="40"/>
      <c r="AE54" s="40"/>
      <c r="AF54" s="40"/>
    </row>
    <row r="55" spans="24:45" x14ac:dyDescent="0.25">
      <c r="AD55" s="40"/>
      <c r="AE55" s="40"/>
      <c r="AF55" s="40"/>
    </row>
    <row r="56" spans="24:45" x14ac:dyDescent="0.25">
      <c r="X56" s="61"/>
      <c r="Y56" s="61"/>
      <c r="Z56" s="61"/>
      <c r="AA56" s="61"/>
      <c r="AB56" s="61"/>
      <c r="AC56" s="61"/>
      <c r="AD56" s="40"/>
      <c r="AE56" s="40"/>
      <c r="AF56" s="40"/>
    </row>
    <row r="57" spans="24:45" x14ac:dyDescent="0.25">
      <c r="AD57" s="40"/>
      <c r="AE57" s="40"/>
      <c r="AF57" s="40"/>
    </row>
  </sheetData>
  <sheetProtection sheet="1" objects="1" scenarios="1"/>
  <dataConsolidate/>
  <mergeCells count="132">
    <mergeCell ref="B1:E1"/>
    <mergeCell ref="A5:D6"/>
    <mergeCell ref="A4:F4"/>
    <mergeCell ref="A7:D7"/>
    <mergeCell ref="A8:D8"/>
    <mergeCell ref="A9:D9"/>
    <mergeCell ref="A10:D10"/>
    <mergeCell ref="A11:D11"/>
    <mergeCell ref="F5:F6"/>
    <mergeCell ref="A12:D12"/>
    <mergeCell ref="A13:D13"/>
    <mergeCell ref="O25:Q25"/>
    <mergeCell ref="A15:D15"/>
    <mergeCell ref="A14:D14"/>
    <mergeCell ref="E31:F31"/>
    <mergeCell ref="A26:D26"/>
    <mergeCell ref="E32:F32"/>
    <mergeCell ref="J23:K23"/>
    <mergeCell ref="J24:K24"/>
    <mergeCell ref="J22:K22"/>
    <mergeCell ref="J21:K21"/>
    <mergeCell ref="J27:K27"/>
    <mergeCell ref="A18:K18"/>
    <mergeCell ref="F19:F20"/>
    <mergeCell ref="E19:E20"/>
    <mergeCell ref="A25:D25"/>
    <mergeCell ref="A19:D20"/>
    <mergeCell ref="J19:K20"/>
    <mergeCell ref="A22:D22"/>
    <mergeCell ref="A21:D21"/>
    <mergeCell ref="A23:D23"/>
    <mergeCell ref="A32:D32"/>
    <mergeCell ref="A24:D24"/>
    <mergeCell ref="J28:K28"/>
    <mergeCell ref="H16:I16"/>
    <mergeCell ref="O16:Q16"/>
    <mergeCell ref="I19:I20"/>
    <mergeCell ref="H11:I11"/>
    <mergeCell ref="H12:I12"/>
    <mergeCell ref="O26:Q26"/>
    <mergeCell ref="G24:H24"/>
    <mergeCell ref="G25:H25"/>
    <mergeCell ref="H7:I7"/>
    <mergeCell ref="S6:T6"/>
    <mergeCell ref="S7:T7"/>
    <mergeCell ref="S8:T8"/>
    <mergeCell ref="S9:T9"/>
    <mergeCell ref="S10:T10"/>
    <mergeCell ref="O27:Q27"/>
    <mergeCell ref="G19:H19"/>
    <mergeCell ref="J26:K26"/>
    <mergeCell ref="L11:M13"/>
    <mergeCell ref="H8:I8"/>
    <mergeCell ref="H15:I15"/>
    <mergeCell ref="G22:H22"/>
    <mergeCell ref="G21:H21"/>
    <mergeCell ref="G20:H20"/>
    <mergeCell ref="G23:H23"/>
    <mergeCell ref="H14:I14"/>
    <mergeCell ref="H13:I13"/>
    <mergeCell ref="U36:U37"/>
    <mergeCell ref="S34:S37"/>
    <mergeCell ref="J25:K25"/>
    <mergeCell ref="A27:D27"/>
    <mergeCell ref="A28:D28"/>
    <mergeCell ref="A33:D33"/>
    <mergeCell ref="G27:H27"/>
    <mergeCell ref="G26:H26"/>
    <mergeCell ref="A38:Q44"/>
    <mergeCell ref="S44:T44"/>
    <mergeCell ref="S38:T38"/>
    <mergeCell ref="S33:T33"/>
    <mergeCell ref="G36:I36"/>
    <mergeCell ref="G35:I35"/>
    <mergeCell ref="G34:I34"/>
    <mergeCell ref="G29:H29"/>
    <mergeCell ref="G28:H28"/>
    <mergeCell ref="E33:F33"/>
    <mergeCell ref="E34:F34"/>
    <mergeCell ref="G33:I33"/>
    <mergeCell ref="G31:I31"/>
    <mergeCell ref="G32:I32"/>
    <mergeCell ref="O30:Q30"/>
    <mergeCell ref="J29:K29"/>
    <mergeCell ref="S1:W1"/>
    <mergeCell ref="S2:W2"/>
    <mergeCell ref="U20:W20"/>
    <mergeCell ref="S14:S17"/>
    <mergeCell ref="S19:T19"/>
    <mergeCell ref="S13:T13"/>
    <mergeCell ref="S20:T20"/>
    <mergeCell ref="S18:T18"/>
    <mergeCell ref="A34:D34"/>
    <mergeCell ref="S11:T11"/>
    <mergeCell ref="O5:Q5"/>
    <mergeCell ref="P6:P7"/>
    <mergeCell ref="Q6:Q7"/>
    <mergeCell ref="O6:O7"/>
    <mergeCell ref="S12:T12"/>
    <mergeCell ref="S5:T5"/>
    <mergeCell ref="S4:W4"/>
    <mergeCell ref="H9:I9"/>
    <mergeCell ref="H10:I10"/>
    <mergeCell ref="H4:K4"/>
    <mergeCell ref="I1:O1"/>
    <mergeCell ref="I2:O2"/>
    <mergeCell ref="O4:Q4"/>
    <mergeCell ref="H6:I6"/>
    <mergeCell ref="L4:M4"/>
    <mergeCell ref="L6:M8"/>
    <mergeCell ref="A16:D16"/>
    <mergeCell ref="S32:T32"/>
    <mergeCell ref="S31:T31"/>
    <mergeCell ref="U40:U41"/>
    <mergeCell ref="U42:U43"/>
    <mergeCell ref="S39:T39"/>
    <mergeCell ref="U21:U22"/>
    <mergeCell ref="U23:U24"/>
    <mergeCell ref="U27:U28"/>
    <mergeCell ref="U29:U30"/>
    <mergeCell ref="S21:S24"/>
    <mergeCell ref="A35:D35"/>
    <mergeCell ref="E36:F36"/>
    <mergeCell ref="A29:D29"/>
    <mergeCell ref="A36:D36"/>
    <mergeCell ref="A31:D31"/>
    <mergeCell ref="S40:S43"/>
    <mergeCell ref="S25:T26"/>
    <mergeCell ref="U25:U26"/>
    <mergeCell ref="S27:S30"/>
    <mergeCell ref="E35:F35"/>
    <mergeCell ref="U34:U35"/>
  </mergeCells>
  <conditionalFormatting sqref="U10">
    <cfRule type="expression" dxfId="82" priority="16">
      <formula>$S$14="Extract"</formula>
    </cfRule>
    <cfRule type="expression" dxfId="81" priority="21">
      <formula>AND(U7&lt;&gt;V7,NOT(ISBLANK(V7)))</formula>
    </cfRule>
    <cfRule type="expression" dxfId="80" priority="41">
      <formula>$S$14="BIAB"</formula>
    </cfRule>
  </conditionalFormatting>
  <conditionalFormatting sqref="V28">
    <cfRule type="expression" dxfId="79" priority="36">
      <formula>IF($U$20="Hydrometer",TRUE,FALSE)</formula>
    </cfRule>
  </conditionalFormatting>
  <conditionalFormatting sqref="V35">
    <cfRule type="expression" dxfId="78" priority="35">
      <formula>IF($U$20="Hydrometer",TRUE,FALSE)</formula>
    </cfRule>
  </conditionalFormatting>
  <conditionalFormatting sqref="V41">
    <cfRule type="expression" dxfId="77" priority="34">
      <formula>IF($U$20="Hydrometer",TRUE,FALSE)</formula>
    </cfRule>
  </conditionalFormatting>
  <conditionalFormatting sqref="V30">
    <cfRule type="expression" dxfId="76" priority="33">
      <formula>IF($U$20="Refractometer",TRUE,FALSE)</formula>
    </cfRule>
  </conditionalFormatting>
  <conditionalFormatting sqref="V37">
    <cfRule type="expression" dxfId="75" priority="32">
      <formula>IF($U$20="Refractometer",TRUE,FALSE)</formula>
    </cfRule>
  </conditionalFormatting>
  <conditionalFormatting sqref="V43">
    <cfRule type="expression" dxfId="74" priority="31">
      <formula>IF($U$20="Refractometer",TRUE,FALSE)</formula>
    </cfRule>
  </conditionalFormatting>
  <conditionalFormatting sqref="V22">
    <cfRule type="expression" dxfId="73" priority="29">
      <formula>IF($U$20="Hydrometer",TRUE,FALSE)</formula>
    </cfRule>
  </conditionalFormatting>
  <conditionalFormatting sqref="V24">
    <cfRule type="expression" dxfId="72" priority="28">
      <formula>IF($U$20="Refractometer",TRUE,FALSE)</formula>
    </cfRule>
  </conditionalFormatting>
  <conditionalFormatting sqref="U6">
    <cfRule type="expression" dxfId="71" priority="19">
      <formula>$S$14="Extract"</formula>
    </cfRule>
    <cfRule type="expression" dxfId="70" priority="26">
      <formula>$S$14="BIAB"</formula>
    </cfRule>
  </conditionalFormatting>
  <conditionalFormatting sqref="S14:S17">
    <cfRule type="expression" dxfId="69" priority="18">
      <formula>$S$14="Extract"</formula>
    </cfRule>
    <cfRule type="expression" dxfId="68" priority="23">
      <formula>$S$14="BIAB"</formula>
    </cfRule>
  </conditionalFormatting>
  <conditionalFormatting sqref="U9">
    <cfRule type="expression" dxfId="67" priority="17">
      <formula>$S$14="Extract"</formula>
    </cfRule>
    <cfRule type="expression" dxfId="66" priority="22">
      <formula>$S$14="BIAB"</formula>
    </cfRule>
  </conditionalFormatting>
  <conditionalFormatting sqref="U13">
    <cfRule type="expression" dxfId="65" priority="15">
      <formula>$S$14="Extract"</formula>
    </cfRule>
    <cfRule type="expression" dxfId="64" priority="20">
      <formula>$S$14="BIAB"</formula>
    </cfRule>
  </conditionalFormatting>
  <conditionalFormatting sqref="U7">
    <cfRule type="expression" dxfId="63" priority="14">
      <formula>$S$14="Extract"</formula>
    </cfRule>
  </conditionalFormatting>
  <conditionalFormatting sqref="U8">
    <cfRule type="expression" dxfId="62" priority="13">
      <formula>$S$14="Extract"</formula>
    </cfRule>
  </conditionalFormatting>
  <conditionalFormatting sqref="U12">
    <cfRule type="expression" dxfId="61" priority="12">
      <formula>$S$14="Extract"</formula>
    </cfRule>
  </conditionalFormatting>
  <conditionalFormatting sqref="U21:U22">
    <cfRule type="expression" dxfId="60" priority="11">
      <formula>$S$14="Extract"</formula>
    </cfRule>
  </conditionalFormatting>
  <conditionalFormatting sqref="U23:U24">
    <cfRule type="expression" dxfId="59" priority="10">
      <formula>$S$14="Extract"</formula>
    </cfRule>
  </conditionalFormatting>
  <conditionalFormatting sqref="U25:U26">
    <cfRule type="expression" dxfId="58" priority="9">
      <formula>$S$14="Extract"</formula>
    </cfRule>
  </conditionalFormatting>
  <conditionalFormatting sqref="J9">
    <cfRule type="expression" dxfId="57" priority="5">
      <formula>OR($J$9&lt;$L$9,$J$9&gt;$M$9)</formula>
    </cfRule>
  </conditionalFormatting>
  <conditionalFormatting sqref="J10">
    <cfRule type="expression" dxfId="56" priority="4">
      <formula>OR($J$10&lt;$L$10,$J$10&gt;$M$10)</formula>
    </cfRule>
  </conditionalFormatting>
  <conditionalFormatting sqref="J14">
    <cfRule type="expression" dxfId="55" priority="3">
      <formula>OR($J$14&lt;$L$14,$J$14&gt;$M$14)</formula>
    </cfRule>
  </conditionalFormatting>
  <conditionalFormatting sqref="J15">
    <cfRule type="expression" dxfId="54" priority="2">
      <formula>OR($J$15&lt;$L$15,$J$15&gt;$M$15)</formula>
    </cfRule>
  </conditionalFormatting>
  <conditionalFormatting sqref="J16">
    <cfRule type="expression" dxfId="53" priority="1">
      <formula>OR($J$16&lt;$L$16,$J$16&gt;$M$16)</formula>
    </cfRule>
  </conditionalFormatting>
  <dataValidations xWindow="253" yWindow="300" count="4">
    <dataValidation type="list" allowBlank="1" showInputMessage="1" showErrorMessage="1" sqref="U20" xr:uid="{78058F6E-1241-4ACD-9E15-365D7B01F2EE}">
      <formula1>"Hydrometer,Refractometer"</formula1>
    </dataValidation>
    <dataValidation allowBlank="1" showInputMessage="1" showErrorMessage="1" promptTitle="Hydrometer Sample Temperature" prompt="Temperature of sample in hydrometer flask." sqref="W27 W34 W21" xr:uid="{3DC86975-0BEA-4B25-923C-794D631ED61C}"/>
    <dataValidation allowBlank="1" showInputMessage="1" showErrorMessage="1" prompt="NOTE: Your recorded Brix value will be MUCH higher than the predicted value. This is due to the alcohol throwing off the reading. The FG conversion below takes into account this discrepancy." sqref="V42" xr:uid="{D734160D-D0D9-49A4-81BD-7839818217FC}"/>
    <dataValidation allowBlank="1" showInputMessage="1" showErrorMessage="1" promptTitle="Mash Method Notes" prompt="Extract (No Mash): use Total Water volume._x000a_No Sparge BIAB: use Total Water volume._x000a_Others: Use Strike/Sparge volumes as directed." sqref="S14:S17" xr:uid="{829577B3-604D-441F-B625-2240049E1C2B}"/>
  </dataValidations>
  <hyperlinks>
    <hyperlink ref="S2" r:id="rId1" xr:uid="{00000000-0004-0000-0100-000000000000}"/>
    <hyperlink ref="A1" location="'BJCP Guidelines'!A1" display="Beer Style:" xr:uid="{A03FD432-3480-4282-BD9A-34B7A18CFC9D}"/>
  </hyperlinks>
  <printOptions horizontalCentered="1" verticalCentered="1"/>
  <pageMargins left="0.38" right="0.38" top="0.5" bottom="0.5" header="0.2" footer="0.2"/>
  <pageSetup scale="92" orientation="landscape" r:id="rId2"/>
  <headerFooter>
    <oddHeader>&amp;C&amp;"Comic Sans MS,Regular"&amp;16&amp;F</oddHeader>
    <oddFooter>&amp;L&amp;8YouTube Channel: BEERNBBQBYLARRY
Facebook: BEERNBBQBYLARRY
Twitter: @BEERNBBQbyLarry&amp;C&amp;"Arial,Bold"&amp;11BEER-N-BBQ by Larry&amp;12
&amp;9www.beernbbqbylarry.com&amp;R&amp;8Please consider donating via the PayPal link above.</oddFooter>
  </headerFooter>
  <ignoredErrors>
    <ignoredError sqref="W9" formula="1"/>
  </ignoredErrors>
  <extLst>
    <ext xmlns:x14="http://schemas.microsoft.com/office/spreadsheetml/2009/9/main" uri="{78C0D931-6437-407d-A8EE-F0AAD7539E65}">
      <x14:conditionalFormattings>
        <x14:conditionalFormatting xmlns:xm="http://schemas.microsoft.com/office/excel/2006/main">
          <x14:cfRule type="expression" priority="30" id="{01623D2D-1FEF-4170-A966-BF23EED05C01}">
            <xm:f>IF('Brewhouse Setup &amp; Calcs'!$B$28="Fly",TRUE,FALSE)</xm:f>
            <x14:dxf>
              <fill>
                <patternFill>
                  <bgColor theme="0" tint="-0.14996795556505021"/>
                </patternFill>
              </fill>
            </x14:dxf>
          </x14:cfRule>
          <xm:sqref>V17</xm:sqref>
        </x14:conditionalFormatting>
      </x14:conditionalFormattings>
    </ext>
    <ext xmlns:x14="http://schemas.microsoft.com/office/spreadsheetml/2009/9/main" uri="{CCE6A557-97BC-4b89-ADB6-D9C93CAAB3DF}">
      <x14:dataValidations xmlns:xm="http://schemas.microsoft.com/office/excel/2006/main" xWindow="253" yWindow="300" count="2">
        <x14:dataValidation type="list" showInputMessage="1" showErrorMessage="1" errorTitle="Category" error="Choose a beer category." promptTitle="BJCP Beer Style" prompt="Choose beer style for recipe." xr:uid="{00000000-0002-0000-0100-000000000000}">
          <x14:formula1>
            <xm:f>'BJCP Guidelines'!$A$2:$A$120</xm:f>
          </x14:formula1>
          <xm:sqref>B1</xm:sqref>
        </x14:dataValidation>
        <x14:dataValidation type="list" showInputMessage="1" showErrorMessage="1" xr:uid="{00000000-0002-0000-0100-000002000000}">
          <x14:formula1>
            <xm:f>'Yeast List'!$A$2:$A$311</xm:f>
          </x14:formula1>
          <xm:sqref>O27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I76"/>
  <sheetViews>
    <sheetView workbookViewId="0">
      <selection activeCell="B61" sqref="B61"/>
    </sheetView>
  </sheetViews>
  <sheetFormatPr defaultRowHeight="13.2" x14ac:dyDescent="0.25"/>
  <cols>
    <col min="1" max="1" width="32.88671875" customWidth="1"/>
    <col min="2" max="2" width="6.6640625" style="4" customWidth="1"/>
    <col min="3" max="3" width="8.44140625" style="4" bestFit="1" customWidth="1"/>
    <col min="4" max="4" width="6.5546875" style="4" customWidth="1"/>
    <col min="5" max="5" width="10" style="4" customWidth="1"/>
    <col min="6" max="6" width="14.44140625" customWidth="1"/>
    <col min="8" max="8" width="79.5546875" customWidth="1"/>
    <col min="9" max="9" width="89.5546875" customWidth="1"/>
  </cols>
  <sheetData>
    <row r="2" spans="1:9" x14ac:dyDescent="0.25">
      <c r="A2" s="45" t="s">
        <v>1133</v>
      </c>
      <c r="B2" s="743" t="s">
        <v>1960</v>
      </c>
      <c r="C2" s="744"/>
      <c r="D2"/>
      <c r="E2"/>
      <c r="F2" s="746" t="s">
        <v>1581</v>
      </c>
      <c r="G2" s="706"/>
      <c r="H2" s="706"/>
    </row>
    <row r="3" spans="1:9" x14ac:dyDescent="0.25">
      <c r="A3" s="48" t="s">
        <v>131</v>
      </c>
      <c r="B3" s="47" t="s">
        <v>104</v>
      </c>
      <c r="C3"/>
      <c r="D3"/>
      <c r="E3"/>
      <c r="F3" s="747" t="s">
        <v>1292</v>
      </c>
      <c r="G3" s="747"/>
      <c r="H3" s="747"/>
    </row>
    <row r="4" spans="1:9" x14ac:dyDescent="0.25">
      <c r="A4" s="2" t="s">
        <v>1129</v>
      </c>
      <c r="B4" s="54" t="str">
        <f>IF($B$2="US Customary","°F", IF($B$2="Metric","°C",))</f>
        <v>°F</v>
      </c>
    </row>
    <row r="5" spans="1:9" x14ac:dyDescent="0.25">
      <c r="A5" s="2" t="s">
        <v>1130</v>
      </c>
      <c r="B5" s="54" t="str">
        <f>IF($B$2="US Customary","qt", IF($B$2="Metric","Liters",))</f>
        <v>qt</v>
      </c>
      <c r="F5" s="733" t="s">
        <v>1268</v>
      </c>
      <c r="G5" s="733"/>
    </row>
    <row r="6" spans="1:9" x14ac:dyDescent="0.25">
      <c r="A6" s="2" t="s">
        <v>1131</v>
      </c>
      <c r="B6" s="54" t="str">
        <f>IF($B$2="US Customary","lb", IF($B$2="Metric","kg",))</f>
        <v>lb</v>
      </c>
      <c r="F6" s="14" t="s">
        <v>1269</v>
      </c>
      <c r="G6" s="23" t="str">
        <f>IF(B48&lt;=B26*B27,"PASS","FAIL")</f>
        <v>PASS</v>
      </c>
    </row>
    <row r="7" spans="1:9" x14ac:dyDescent="0.25">
      <c r="A7" s="2" t="s">
        <v>1132</v>
      </c>
      <c r="B7" s="54" t="str">
        <f>IF($B$2="US Customary","oz", IF($B$2="Metric","grams",))</f>
        <v>oz</v>
      </c>
      <c r="F7" s="14" t="s">
        <v>1270</v>
      </c>
      <c r="G7" s="23" t="str">
        <f>IF(B61&lt;=(B31*B30),"PASS","FAIL")</f>
        <v>PASS</v>
      </c>
    </row>
    <row r="8" spans="1:9" x14ac:dyDescent="0.25">
      <c r="A8" s="14" t="s">
        <v>1580</v>
      </c>
      <c r="B8" s="70" t="str">
        <f>IF($B$2="US Customary","PSI", IF($B$2="Metric","kPa",))</f>
        <v>PSI</v>
      </c>
    </row>
    <row r="9" spans="1:9" ht="13.8" thickBot="1" x14ac:dyDescent="0.3">
      <c r="A9" s="4"/>
      <c r="B9"/>
    </row>
    <row r="10" spans="1:9" ht="13.8" thickTop="1" x14ac:dyDescent="0.25">
      <c r="A10" s="736" t="s">
        <v>1121</v>
      </c>
      <c r="B10" s="737"/>
      <c r="C10" s="737"/>
      <c r="D10" s="737"/>
      <c r="E10" s="737"/>
      <c r="F10" s="737"/>
      <c r="G10" s="737"/>
      <c r="H10" s="745"/>
      <c r="I10" s="739" t="s">
        <v>1724</v>
      </c>
    </row>
    <row r="11" spans="1:9" x14ac:dyDescent="0.25">
      <c r="A11" s="84" t="s">
        <v>1271</v>
      </c>
      <c r="B11" s="82" t="s">
        <v>104</v>
      </c>
      <c r="C11" s="82" t="s">
        <v>100</v>
      </c>
      <c r="D11" s="82" t="s">
        <v>104</v>
      </c>
      <c r="E11" s="82" t="s">
        <v>100</v>
      </c>
      <c r="F11" s="734" t="s">
        <v>67</v>
      </c>
      <c r="G11" s="734"/>
      <c r="H11" s="735"/>
      <c r="I11" s="740"/>
    </row>
    <row r="12" spans="1:9" x14ac:dyDescent="0.25">
      <c r="A12" s="85" t="s">
        <v>1757</v>
      </c>
      <c r="B12" s="83">
        <v>40</v>
      </c>
      <c r="C12" s="54" t="str">
        <f>$B$5</f>
        <v>qt</v>
      </c>
      <c r="D12" s="55">
        <f>IF($B$2="US Customary",B12/4,"")</f>
        <v>10</v>
      </c>
      <c r="E12" s="70" t="str">
        <f>IF($B$2="US Customary","US Gal","")</f>
        <v>US Gal</v>
      </c>
      <c r="F12" s="700" t="s">
        <v>1968</v>
      </c>
      <c r="G12" s="700"/>
      <c r="H12" s="701"/>
      <c r="I12" s="491"/>
    </row>
    <row r="13" spans="1:9" x14ac:dyDescent="0.25">
      <c r="A13" s="85" t="s">
        <v>103</v>
      </c>
      <c r="B13" s="39">
        <v>68</v>
      </c>
      <c r="C13" s="70" t="str">
        <f>'Brewhouse Setup &amp; Calcs'!$B$4</f>
        <v>°F</v>
      </c>
      <c r="D13" s="719"/>
      <c r="E13" s="705"/>
      <c r="F13" s="700" t="s">
        <v>1759</v>
      </c>
      <c r="G13" s="700"/>
      <c r="H13" s="701"/>
      <c r="I13" s="492"/>
    </row>
    <row r="14" spans="1:9" x14ac:dyDescent="0.25">
      <c r="A14" s="85" t="s">
        <v>144</v>
      </c>
      <c r="B14" s="39">
        <v>150</v>
      </c>
      <c r="C14" s="70" t="str">
        <f>'Brewhouse Setup &amp; Calcs'!$B$4</f>
        <v>°F</v>
      </c>
      <c r="D14" s="721"/>
      <c r="E14" s="723"/>
      <c r="F14" s="700" t="s">
        <v>1760</v>
      </c>
      <c r="G14" s="700"/>
      <c r="H14" s="701"/>
      <c r="I14" s="492"/>
    </row>
    <row r="15" spans="1:9" x14ac:dyDescent="0.25">
      <c r="A15" s="85" t="s">
        <v>101</v>
      </c>
      <c r="B15" s="83">
        <v>5</v>
      </c>
      <c r="C15" s="70" t="str">
        <f>IF($B$2="Metric","L/kg","qt/lb")</f>
        <v>qt/lb</v>
      </c>
      <c r="D15" s="55">
        <f>IF($B$2="US Customary",B15/4,"")</f>
        <v>1.25</v>
      </c>
      <c r="E15" s="70" t="str">
        <f>IF($B$2="US Customary","USGal/lb","")</f>
        <v>USGal/lb</v>
      </c>
      <c r="F15" s="700" t="s">
        <v>2287</v>
      </c>
      <c r="G15" s="700"/>
      <c r="H15" s="701"/>
      <c r="I15" s="492"/>
    </row>
    <row r="16" spans="1:9" x14ac:dyDescent="0.25">
      <c r="A16" s="85" t="s">
        <v>1758</v>
      </c>
      <c r="B16" s="83">
        <v>0.5</v>
      </c>
      <c r="C16" s="70" t="str">
        <f>IF($B$2="Metric","L/kg","qt/lb")</f>
        <v>qt/lb</v>
      </c>
      <c r="D16" s="55">
        <f>IF($B$2="US Customary",B16/4,"")</f>
        <v>0.125</v>
      </c>
      <c r="E16" s="70" t="str">
        <f>IF($B$2="US Customary","USGal/lb","")</f>
        <v>USGal/lb</v>
      </c>
      <c r="F16" s="700" t="s">
        <v>1761</v>
      </c>
      <c r="G16" s="700"/>
      <c r="H16" s="701"/>
      <c r="I16" s="498" t="s">
        <v>1762</v>
      </c>
    </row>
    <row r="17" spans="1:9" x14ac:dyDescent="0.25">
      <c r="A17" s="85" t="s">
        <v>2096</v>
      </c>
      <c r="B17" s="525">
        <v>60</v>
      </c>
      <c r="C17" s="70" t="s">
        <v>1144</v>
      </c>
      <c r="D17" s="719"/>
      <c r="E17" s="705"/>
      <c r="F17" s="700" t="s">
        <v>2098</v>
      </c>
      <c r="G17" s="700"/>
      <c r="H17" s="701"/>
      <c r="I17" s="498"/>
    </row>
    <row r="18" spans="1:9" x14ac:dyDescent="0.25">
      <c r="A18" s="86" t="s">
        <v>96</v>
      </c>
      <c r="B18" s="33">
        <v>0.74</v>
      </c>
      <c r="C18" s="70" t="s">
        <v>105</v>
      </c>
      <c r="D18" s="750"/>
      <c r="E18" s="707"/>
      <c r="F18" s="700" t="s">
        <v>1763</v>
      </c>
      <c r="G18" s="700"/>
      <c r="H18" s="701"/>
      <c r="I18" s="492"/>
    </row>
    <row r="19" spans="1:9" x14ac:dyDescent="0.25">
      <c r="A19" s="85" t="s">
        <v>111</v>
      </c>
      <c r="B19" s="34">
        <v>60</v>
      </c>
      <c r="C19" s="70" t="s">
        <v>1144</v>
      </c>
      <c r="D19" s="750"/>
      <c r="E19" s="707"/>
      <c r="F19" s="700" t="s">
        <v>1764</v>
      </c>
      <c r="G19" s="700"/>
      <c r="H19" s="701"/>
      <c r="I19" s="492"/>
    </row>
    <row r="20" spans="1:9" x14ac:dyDescent="0.25">
      <c r="A20" s="85" t="s">
        <v>109</v>
      </c>
      <c r="B20" s="125">
        <v>5</v>
      </c>
      <c r="C20" s="70" t="str">
        <f>IF($B$2="Metric","L/hr","qt/hr")</f>
        <v>qt/hr</v>
      </c>
      <c r="D20" s="750"/>
      <c r="E20" s="707"/>
      <c r="F20" s="700" t="s">
        <v>1723</v>
      </c>
      <c r="G20" s="700"/>
      <c r="H20" s="701"/>
      <c r="I20" s="498" t="s">
        <v>2252</v>
      </c>
    </row>
    <row r="21" spans="1:9" x14ac:dyDescent="0.25">
      <c r="A21" s="85" t="s">
        <v>1148</v>
      </c>
      <c r="B21" s="35">
        <v>210.6</v>
      </c>
      <c r="C21" s="70" t="str">
        <f>$B$4</f>
        <v>°F</v>
      </c>
      <c r="D21" s="721"/>
      <c r="E21" s="723"/>
      <c r="F21" s="700" t="s">
        <v>1125</v>
      </c>
      <c r="G21" s="700"/>
      <c r="H21" s="701"/>
      <c r="I21" s="492"/>
    </row>
    <row r="22" spans="1:9" ht="13.8" thickBot="1" x14ac:dyDescent="0.3">
      <c r="A22" s="87" t="s">
        <v>1731</v>
      </c>
      <c r="B22" s="161">
        <v>0.1</v>
      </c>
      <c r="C22" s="90" t="str">
        <f>IF($B$2="Metric","L/g","qt/oz")</f>
        <v>qt/oz</v>
      </c>
      <c r="D22" s="109">
        <f>IF($B$2="US Customary",B22/4*16,"")</f>
        <v>0.4</v>
      </c>
      <c r="E22" s="90" t="str">
        <f>IF($B$2="US Customary","USGal/lb","")</f>
        <v>USGal/lb</v>
      </c>
      <c r="F22" s="741" t="s">
        <v>1765</v>
      </c>
      <c r="G22" s="741"/>
      <c r="H22" s="742"/>
      <c r="I22" s="497" t="s">
        <v>1969</v>
      </c>
    </row>
    <row r="23" spans="1:9" ht="14.4" thickTop="1" thickBot="1" x14ac:dyDescent="0.3">
      <c r="B23"/>
      <c r="I23" s="126"/>
    </row>
    <row r="24" spans="1:9" ht="13.8" thickTop="1" x14ac:dyDescent="0.25">
      <c r="A24" s="736" t="s">
        <v>1272</v>
      </c>
      <c r="B24" s="737"/>
      <c r="C24" s="737"/>
      <c r="D24" s="737"/>
      <c r="E24" s="737"/>
      <c r="F24" s="737"/>
      <c r="G24" s="737"/>
      <c r="H24" s="738"/>
      <c r="I24" s="739" t="s">
        <v>1724</v>
      </c>
    </row>
    <row r="25" spans="1:9" x14ac:dyDescent="0.25">
      <c r="A25" s="84" t="s">
        <v>1271</v>
      </c>
      <c r="B25" s="82" t="s">
        <v>104</v>
      </c>
      <c r="C25" s="82" t="s">
        <v>100</v>
      </c>
      <c r="D25" s="82" t="s">
        <v>104</v>
      </c>
      <c r="E25" s="82" t="s">
        <v>100</v>
      </c>
      <c r="F25" s="734" t="s">
        <v>67</v>
      </c>
      <c r="G25" s="734"/>
      <c r="H25" s="735"/>
      <c r="I25" s="740"/>
    </row>
    <row r="26" spans="1:9" x14ac:dyDescent="0.25">
      <c r="A26" s="88" t="s">
        <v>108</v>
      </c>
      <c r="B26" s="31">
        <v>80</v>
      </c>
      <c r="C26" s="54" t="str">
        <f>$B$5</f>
        <v>qt</v>
      </c>
      <c r="D26" s="54">
        <f>IF($B$2="US Customary",B26/4,"")</f>
        <v>20</v>
      </c>
      <c r="E26" s="70" t="str">
        <f>IF($B$2="US Customary","US Gal","")</f>
        <v>US Gal</v>
      </c>
      <c r="F26" s="702" t="s">
        <v>1122</v>
      </c>
      <c r="G26" s="702"/>
      <c r="H26" s="703"/>
      <c r="I26" s="493" t="s">
        <v>2254</v>
      </c>
    </row>
    <row r="27" spans="1:9" x14ac:dyDescent="0.25">
      <c r="A27" s="88" t="s">
        <v>124</v>
      </c>
      <c r="B27" s="32">
        <v>0.9</v>
      </c>
      <c r="C27" s="2" t="s">
        <v>105</v>
      </c>
      <c r="D27" s="716"/>
      <c r="E27" s="730"/>
      <c r="F27" s="702" t="s">
        <v>1123</v>
      </c>
      <c r="G27" s="702"/>
      <c r="H27" s="703"/>
      <c r="I27" s="493"/>
    </row>
    <row r="28" spans="1:9" ht="12.6" customHeight="1" x14ac:dyDescent="0.25">
      <c r="A28" s="88" t="s">
        <v>1962</v>
      </c>
      <c r="B28" s="481" t="s">
        <v>2286</v>
      </c>
      <c r="C28" s="716"/>
      <c r="D28" s="717"/>
      <c r="E28" s="730"/>
      <c r="F28" s="702" t="s">
        <v>2255</v>
      </c>
      <c r="G28" s="702"/>
      <c r="H28" s="703"/>
      <c r="I28" s="493"/>
    </row>
    <row r="29" spans="1:9" ht="12.6" customHeight="1" x14ac:dyDescent="0.25">
      <c r="A29" s="85" t="str">
        <f>IF(B28="Fly","Fly Sparge Flow Rate","-")</f>
        <v>-</v>
      </c>
      <c r="B29" s="31">
        <v>1</v>
      </c>
      <c r="C29" s="54" t="str">
        <f>IF(B28="Fly",CONCATENATE($B$5,"/min"),"")</f>
        <v/>
      </c>
      <c r="D29" s="54" t="str">
        <f>IF(B28="Fly",IF($B$2="US Customary",B29/4,""),"")</f>
        <v/>
      </c>
      <c r="E29" s="70" t="str">
        <f>IF(B28="Fly",IF($B$2="US Customary","US Gal/min",""),"")</f>
        <v/>
      </c>
      <c r="F29" s="702" t="s">
        <v>1963</v>
      </c>
      <c r="G29" s="702"/>
      <c r="H29" s="703"/>
      <c r="I29" s="493"/>
    </row>
    <row r="30" spans="1:9" x14ac:dyDescent="0.25">
      <c r="A30" s="85" t="s">
        <v>110</v>
      </c>
      <c r="B30" s="31">
        <v>80</v>
      </c>
      <c r="C30" s="54" t="str">
        <f>$B$5</f>
        <v>qt</v>
      </c>
      <c r="D30" s="54">
        <f>IF($B$2="US Customary",B30/4,"")</f>
        <v>20</v>
      </c>
      <c r="E30" s="70" t="str">
        <f>IF($B$2="US Customary","US Gal","")</f>
        <v>US Gal</v>
      </c>
      <c r="F30" s="702" t="s">
        <v>1124</v>
      </c>
      <c r="G30" s="702"/>
      <c r="H30" s="703"/>
      <c r="I30" s="493" t="s">
        <v>1769</v>
      </c>
    </row>
    <row r="31" spans="1:9" x14ac:dyDescent="0.25">
      <c r="A31" s="85" t="s">
        <v>1118</v>
      </c>
      <c r="B31" s="32">
        <v>0.9</v>
      </c>
      <c r="C31" s="2" t="s">
        <v>105</v>
      </c>
      <c r="D31" s="716"/>
      <c r="E31" s="730"/>
      <c r="F31" s="702" t="s">
        <v>1126</v>
      </c>
      <c r="G31" s="702"/>
      <c r="H31" s="703"/>
      <c r="I31" s="493"/>
    </row>
    <row r="32" spans="1:9" x14ac:dyDescent="0.25">
      <c r="A32" s="85" t="s">
        <v>112</v>
      </c>
      <c r="B32" s="83">
        <v>0</v>
      </c>
      <c r="C32" s="54" t="str">
        <f t="shared" ref="C32:C34" si="0">$B$5</f>
        <v>qt</v>
      </c>
      <c r="D32" s="55">
        <f>IF($B$2="US Customary",B32/4,"")</f>
        <v>0</v>
      </c>
      <c r="E32" s="70" t="str">
        <f>IF($B$2="US Customary","US Gal","")</f>
        <v>US Gal</v>
      </c>
      <c r="F32" s="702" t="s">
        <v>1772</v>
      </c>
      <c r="G32" s="702"/>
      <c r="H32" s="703"/>
      <c r="I32" s="496" t="s">
        <v>1749</v>
      </c>
    </row>
    <row r="33" spans="1:9" x14ac:dyDescent="0.25">
      <c r="A33" s="85" t="s">
        <v>1119</v>
      </c>
      <c r="B33" s="83">
        <v>5</v>
      </c>
      <c r="C33" s="54" t="str">
        <f t="shared" si="0"/>
        <v>qt</v>
      </c>
      <c r="D33" s="55">
        <f>IF($B$2="US Customary",B33/4,"")</f>
        <v>1.25</v>
      </c>
      <c r="E33" s="70" t="str">
        <f>IF($B$2="US Customary","US Gal","")</f>
        <v>US Gal</v>
      </c>
      <c r="F33" s="702" t="s">
        <v>1748</v>
      </c>
      <c r="G33" s="702"/>
      <c r="H33" s="703"/>
      <c r="I33" s="493" t="s">
        <v>2253</v>
      </c>
    </row>
    <row r="34" spans="1:9" x14ac:dyDescent="0.25">
      <c r="A34" s="85" t="s">
        <v>1120</v>
      </c>
      <c r="B34" s="83">
        <v>4</v>
      </c>
      <c r="C34" s="54" t="str">
        <f t="shared" si="0"/>
        <v>qt</v>
      </c>
      <c r="D34" s="55">
        <f>IF($B$2="US Customary",B34/4,"")</f>
        <v>1</v>
      </c>
      <c r="E34" s="70" t="str">
        <f>IF($B$2="US Customary","US Gal","")</f>
        <v>US Gal</v>
      </c>
      <c r="F34" s="702" t="s">
        <v>1704</v>
      </c>
      <c r="G34" s="702"/>
      <c r="H34" s="703"/>
      <c r="I34" s="493" t="s">
        <v>1725</v>
      </c>
    </row>
    <row r="35" spans="1:9" x14ac:dyDescent="0.25">
      <c r="A35" s="85" t="s">
        <v>1726</v>
      </c>
      <c r="B35" s="83">
        <v>60</v>
      </c>
      <c r="C35" s="70" t="str">
        <f>$B$4</f>
        <v>°F</v>
      </c>
      <c r="D35" s="704"/>
      <c r="E35" s="705"/>
      <c r="F35" s="702" t="s">
        <v>1727</v>
      </c>
      <c r="G35" s="702"/>
      <c r="H35" s="703"/>
      <c r="I35" s="493"/>
    </row>
    <row r="36" spans="1:9" x14ac:dyDescent="0.25">
      <c r="A36" s="85" t="s">
        <v>1722</v>
      </c>
      <c r="B36" s="83">
        <v>0</v>
      </c>
      <c r="C36" s="719"/>
      <c r="D36" s="706"/>
      <c r="E36" s="707"/>
      <c r="F36" s="700" t="s">
        <v>1773</v>
      </c>
      <c r="G36" s="700"/>
      <c r="H36" s="701"/>
      <c r="I36" s="493"/>
    </row>
    <row r="37" spans="1:9" ht="13.8" thickBot="1" x14ac:dyDescent="0.3">
      <c r="A37" s="87" t="s">
        <v>1285</v>
      </c>
      <c r="B37" s="127">
        <v>1.04</v>
      </c>
      <c r="C37" s="720"/>
      <c r="D37" s="708"/>
      <c r="E37" s="709"/>
      <c r="F37" s="754" t="s">
        <v>1286</v>
      </c>
      <c r="G37" s="754"/>
      <c r="H37" s="755"/>
      <c r="I37" s="494"/>
    </row>
    <row r="38" spans="1:9" ht="14.4" thickTop="1" thickBot="1" x14ac:dyDescent="0.3">
      <c r="I38" s="126"/>
    </row>
    <row r="39" spans="1:9" ht="13.8" thickTop="1" x14ac:dyDescent="0.25">
      <c r="A39" s="751" t="s">
        <v>1273</v>
      </c>
      <c r="B39" s="752"/>
      <c r="C39" s="752"/>
      <c r="D39" s="752"/>
      <c r="E39" s="752"/>
      <c r="F39" s="752"/>
      <c r="G39" s="752"/>
      <c r="H39" s="753"/>
      <c r="I39" s="739" t="s">
        <v>1724</v>
      </c>
    </row>
    <row r="40" spans="1:9" x14ac:dyDescent="0.25">
      <c r="A40" s="84" t="s">
        <v>131</v>
      </c>
      <c r="B40" s="82" t="s">
        <v>104</v>
      </c>
      <c r="C40" s="82" t="s">
        <v>100</v>
      </c>
      <c r="D40" s="82" t="s">
        <v>104</v>
      </c>
      <c r="E40" s="82" t="s">
        <v>100</v>
      </c>
      <c r="F40" s="734" t="s">
        <v>67</v>
      </c>
      <c r="G40" s="734"/>
      <c r="H40" s="735"/>
      <c r="I40" s="740"/>
    </row>
    <row r="41" spans="1:9" x14ac:dyDescent="0.25">
      <c r="A41" s="85" t="s">
        <v>1754</v>
      </c>
      <c r="B41" s="55">
        <f>B61+B47</f>
        <v>65.668000000000006</v>
      </c>
      <c r="C41" s="54" t="str">
        <f t="shared" ref="C41:C64" si="1">$B$5</f>
        <v>qt</v>
      </c>
      <c r="D41" s="55">
        <f>IF($B$2="US Customary",B41/4,"")</f>
        <v>16.417000000000002</v>
      </c>
      <c r="E41" s="70" t="str">
        <f>IF($B$2="US Customary","US Gal","")</f>
        <v>US Gal</v>
      </c>
      <c r="F41" s="700" t="s">
        <v>1730</v>
      </c>
      <c r="G41" s="700"/>
      <c r="H41" s="701"/>
      <c r="I41" s="493"/>
    </row>
    <row r="42" spans="1:9" x14ac:dyDescent="0.25">
      <c r="A42" s="85" t="s">
        <v>126</v>
      </c>
      <c r="B42" s="123">
        <f>IF(C42="qt",0.3125*'Grain &amp; Sugar Calcs'!C15,IF(C42="Liters",0.652*'Grain &amp; Sugar Calcs'!C15,""))</f>
        <v>5.9375</v>
      </c>
      <c r="C42" s="70" t="str">
        <f>'Brewhouse Setup &amp; Calcs'!$B$5</f>
        <v>qt</v>
      </c>
      <c r="D42" s="55">
        <f>IF($B$2="US Customary",B42/4,"")</f>
        <v>1.484375</v>
      </c>
      <c r="E42" s="70" t="str">
        <f>IF($B$2="US Customary","US Gal","")</f>
        <v>US Gal</v>
      </c>
      <c r="F42" s="1" t="s">
        <v>1128</v>
      </c>
      <c r="G42" s="1"/>
      <c r="H42" s="92"/>
      <c r="I42" s="493"/>
    </row>
    <row r="43" spans="1:9" x14ac:dyDescent="0.25">
      <c r="A43" s="110" t="s">
        <v>1622</v>
      </c>
      <c r="B43" s="716"/>
      <c r="C43" s="717"/>
      <c r="D43" s="717"/>
      <c r="E43" s="717"/>
      <c r="F43" s="717"/>
      <c r="G43" s="717"/>
      <c r="H43" s="718"/>
      <c r="I43" s="493"/>
    </row>
    <row r="44" spans="1:9" x14ac:dyDescent="0.25">
      <c r="A44" s="85" t="s">
        <v>1752</v>
      </c>
      <c r="B44" s="123">
        <f>IF(('Grain &amp; Sugar Calcs'!C15*B15)&lt;=B41,'Grain &amp; Sugar Calcs'!C15*B15,B41)</f>
        <v>65.668000000000006</v>
      </c>
      <c r="C44" s="70" t="str">
        <f>'Brewhouse Setup &amp; Calcs'!$B$5</f>
        <v>qt</v>
      </c>
      <c r="D44" s="55">
        <f>IF($B$2="US Customary",B44/4,"")</f>
        <v>16.417000000000002</v>
      </c>
      <c r="E44" s="70" t="str">
        <f>IF($B$2="US Customary","US Gal","")</f>
        <v>US Gal</v>
      </c>
      <c r="F44" s="731" t="s">
        <v>1127</v>
      </c>
      <c r="G44" s="731"/>
      <c r="H44" s="732"/>
      <c r="I44" s="493"/>
    </row>
    <row r="45" spans="1:9" x14ac:dyDescent="0.25">
      <c r="A45" s="85" t="s">
        <v>102</v>
      </c>
      <c r="B45" s="111">
        <f>IF(B2="US Customary",0.2,0.41)/(B44/'Grain &amp; Sugar Calcs'!C15)*(B14-B13)+B14</f>
        <v>154.74508131814582</v>
      </c>
      <c r="C45" s="112" t="str">
        <f>'Brewhouse Setup &amp; Calcs'!$B$4</f>
        <v>°F</v>
      </c>
      <c r="D45" s="716"/>
      <c r="E45" s="730"/>
      <c r="F45" s="727" t="s">
        <v>1728</v>
      </c>
      <c r="G45" s="728"/>
      <c r="H45" s="729"/>
      <c r="I45" s="496"/>
    </row>
    <row r="46" spans="1:9" x14ac:dyDescent="0.25">
      <c r="A46" s="110" t="s">
        <v>1623</v>
      </c>
      <c r="B46" s="716"/>
      <c r="C46" s="717"/>
      <c r="D46" s="717"/>
      <c r="E46" s="717"/>
      <c r="F46" s="717"/>
      <c r="G46" s="717"/>
      <c r="H46" s="718"/>
      <c r="I46" s="493"/>
    </row>
    <row r="47" spans="1:9" x14ac:dyDescent="0.25">
      <c r="A47" s="85" t="s">
        <v>1264</v>
      </c>
      <c r="B47" s="89">
        <f>B16*'Grain &amp; Sugar Calcs'!C15</f>
        <v>9.5</v>
      </c>
      <c r="C47" s="70" t="str">
        <f>'Brewhouse Setup &amp; Calcs'!$B$5</f>
        <v>qt</v>
      </c>
      <c r="D47" s="55">
        <f>IF($B$2="US Customary",B47/4,"")</f>
        <v>2.375</v>
      </c>
      <c r="E47" s="70" t="str">
        <f>IF($B$2="US Customary","US Gal","")</f>
        <v>US Gal</v>
      </c>
      <c r="F47" s="700" t="s">
        <v>1263</v>
      </c>
      <c r="G47" s="700"/>
      <c r="H47" s="701"/>
      <c r="I47" s="493"/>
    </row>
    <row r="48" spans="1:9" x14ac:dyDescent="0.25">
      <c r="A48" s="85" t="s">
        <v>121</v>
      </c>
      <c r="B48" s="123">
        <f>(B42+B44)</f>
        <v>71.605500000000006</v>
      </c>
      <c r="C48" s="70" t="str">
        <f>'Brewhouse Setup &amp; Calcs'!$B$5</f>
        <v>qt</v>
      </c>
      <c r="D48" s="55">
        <f>IF($B$2="US Customary",B48/4,"")</f>
        <v>17.901375000000002</v>
      </c>
      <c r="E48" s="70" t="str">
        <f>IF($B$2="US Customary","US Gal","")</f>
        <v>US Gal</v>
      </c>
      <c r="F48" s="700" t="s">
        <v>1265</v>
      </c>
      <c r="G48" s="700"/>
      <c r="H48" s="701"/>
      <c r="I48" s="493"/>
    </row>
    <row r="49" spans="1:9" x14ac:dyDescent="0.25">
      <c r="A49" s="158" t="s">
        <v>1753</v>
      </c>
      <c r="B49" s="162">
        <f>B41-B44</f>
        <v>0</v>
      </c>
      <c r="C49" s="70" t="str">
        <f>'Brewhouse Setup &amp; Calcs'!$B$5</f>
        <v>qt</v>
      </c>
      <c r="D49" s="55">
        <f>IF($B$2="US Customary",B49/4,"")</f>
        <v>0</v>
      </c>
      <c r="E49" s="70" t="str">
        <f>IF($B$2="US Customary","US Gal","")</f>
        <v>US Gal</v>
      </c>
      <c r="F49" s="724" t="s">
        <v>1755</v>
      </c>
      <c r="G49" s="725"/>
      <c r="H49" s="726"/>
      <c r="I49" s="493"/>
    </row>
    <row r="50" spans="1:9" x14ac:dyDescent="0.25">
      <c r="A50" s="93" t="s">
        <v>122</v>
      </c>
      <c r="B50" s="95">
        <f>B26*B27-B42-B47</f>
        <v>56.5625</v>
      </c>
      <c r="C50" s="91" t="str">
        <f>'Brewhouse Setup &amp; Calcs'!$B$5</f>
        <v>qt</v>
      </c>
      <c r="D50" s="55">
        <f>IF($B$2="US Customary",B50/4,"")</f>
        <v>14.140625</v>
      </c>
      <c r="E50" s="70" t="str">
        <f>IF($B$2="US Customary","US Gal","")</f>
        <v>US Gal</v>
      </c>
      <c r="F50" s="700" t="s">
        <v>1266</v>
      </c>
      <c r="G50" s="700"/>
      <c r="H50" s="701"/>
      <c r="I50" s="493"/>
    </row>
    <row r="51" spans="1:9" x14ac:dyDescent="0.25">
      <c r="A51" s="94" t="s">
        <v>123</v>
      </c>
      <c r="B51" s="123">
        <f>B61/B50</f>
        <v>0.99302541436464098</v>
      </c>
      <c r="C51" s="719"/>
      <c r="D51" s="704"/>
      <c r="E51" s="705"/>
      <c r="F51" s="700" t="s">
        <v>1146</v>
      </c>
      <c r="G51" s="700"/>
      <c r="H51" s="701"/>
      <c r="I51" s="493"/>
    </row>
    <row r="52" spans="1:9" x14ac:dyDescent="0.25">
      <c r="A52" s="94" t="s">
        <v>125</v>
      </c>
      <c r="B52" s="54">
        <f>ROUNDUP(B51,0)</f>
        <v>1</v>
      </c>
      <c r="C52" s="721"/>
      <c r="D52" s="722"/>
      <c r="E52" s="723"/>
      <c r="F52" s="700" t="s">
        <v>1147</v>
      </c>
      <c r="G52" s="700"/>
      <c r="H52" s="701"/>
      <c r="I52" s="493"/>
    </row>
    <row r="53" spans="1:9" ht="13.2" customHeight="1" x14ac:dyDescent="0.25">
      <c r="A53" s="85" t="s">
        <v>1267</v>
      </c>
      <c r="B53" s="123">
        <f>B61/B52</f>
        <v>56.168000000000006</v>
      </c>
      <c r="C53" s="70" t="str">
        <f>'Brewhouse Setup &amp; Calcs'!$B$5</f>
        <v>qt</v>
      </c>
      <c r="D53" s="55">
        <f>IF($B$2="US Customary",B53/4,"")</f>
        <v>14.042000000000002</v>
      </c>
      <c r="E53" s="70" t="str">
        <f>IF($B$2="US Customary","US Gal","")</f>
        <v>US Gal</v>
      </c>
      <c r="F53" s="713" t="s">
        <v>1278</v>
      </c>
      <c r="G53" s="714"/>
      <c r="H53" s="715"/>
      <c r="I53" s="493"/>
    </row>
    <row r="54" spans="1:9" x14ac:dyDescent="0.25">
      <c r="A54" s="85" t="s">
        <v>1145</v>
      </c>
      <c r="B54" s="123">
        <f>B44-B47-B32</f>
        <v>56.168000000000006</v>
      </c>
      <c r="C54" s="70" t="str">
        <f>'Brewhouse Setup &amp; Calcs'!$B$5</f>
        <v>qt</v>
      </c>
      <c r="D54" s="55">
        <f>IF($B$2="US Customary",B54/4,"")</f>
        <v>14.042000000000002</v>
      </c>
      <c r="E54" s="70" t="str">
        <f>IF($B$2="US Customary","US Gal","")</f>
        <v>US Gal</v>
      </c>
      <c r="F54" s="713" t="s">
        <v>1279</v>
      </c>
      <c r="G54" s="714"/>
      <c r="H54" s="715"/>
      <c r="I54" s="493"/>
    </row>
    <row r="55" spans="1:9" x14ac:dyDescent="0.25">
      <c r="A55" s="110" t="s">
        <v>1624</v>
      </c>
      <c r="B55" s="716"/>
      <c r="C55" s="717"/>
      <c r="D55" s="717"/>
      <c r="E55" s="717"/>
      <c r="F55" s="717"/>
      <c r="G55" s="717"/>
      <c r="H55" s="718"/>
      <c r="I55" s="493"/>
    </row>
    <row r="56" spans="1:9" x14ac:dyDescent="0.25">
      <c r="A56" s="85" t="s">
        <v>1275</v>
      </c>
      <c r="B56" s="123">
        <f>IF(B53&gt;=B54,B53-B54,0)</f>
        <v>0</v>
      </c>
      <c r="C56" s="70" t="str">
        <f>'Brewhouse Setup &amp; Calcs'!$B$5</f>
        <v>qt</v>
      </c>
      <c r="D56" s="55">
        <f>IF($B$2="US Customary",B56/4,"")</f>
        <v>0</v>
      </c>
      <c r="E56" s="70" t="str">
        <f>IF($B$2="US Customary","US Gal","")</f>
        <v>US Gal</v>
      </c>
      <c r="F56" s="713" t="s">
        <v>1280</v>
      </c>
      <c r="G56" s="714"/>
      <c r="H56" s="715"/>
      <c r="I56" s="493"/>
    </row>
    <row r="57" spans="1:9" x14ac:dyDescent="0.25">
      <c r="A57" s="85" t="s">
        <v>1274</v>
      </c>
      <c r="B57" s="89">
        <f>IF(B53&gt;B54,B53,B54)</f>
        <v>56.168000000000006</v>
      </c>
      <c r="C57" s="70" t="str">
        <f>'Brewhouse Setup &amp; Calcs'!$B$5</f>
        <v>qt</v>
      </c>
      <c r="D57" s="55">
        <f>IF($B$2="US Customary",B57/4,"")</f>
        <v>14.042000000000002</v>
      </c>
      <c r="E57" s="70" t="str">
        <f>IF($B$2="US Customary","US Gal","")</f>
        <v>US Gal</v>
      </c>
      <c r="F57" s="713" t="s">
        <v>1281</v>
      </c>
      <c r="G57" s="714"/>
      <c r="H57" s="715"/>
      <c r="I57" s="493"/>
    </row>
    <row r="58" spans="1:9" x14ac:dyDescent="0.25">
      <c r="A58" s="85" t="s">
        <v>1276</v>
      </c>
      <c r="B58" s="123">
        <f>IF(B52&gt;1,B53,0)</f>
        <v>0</v>
      </c>
      <c r="C58" s="70" t="str">
        <f>'Brewhouse Setup &amp; Calcs'!$B$5</f>
        <v>qt</v>
      </c>
      <c r="D58" s="55">
        <f>IF($B$2="US Customary",B58/4,"")</f>
        <v>0</v>
      </c>
      <c r="E58" s="70" t="str">
        <f>IF($B$2="US Customary","US Gal","")</f>
        <v>US Gal</v>
      </c>
      <c r="F58" s="713" t="s">
        <v>1282</v>
      </c>
      <c r="G58" s="714"/>
      <c r="H58" s="715"/>
      <c r="I58" s="493"/>
    </row>
    <row r="59" spans="1:9" x14ac:dyDescent="0.25">
      <c r="A59" s="85" t="s">
        <v>1277</v>
      </c>
      <c r="B59" s="123">
        <f>IF(B52&gt;2,B61-B57-B58,0)</f>
        <v>0</v>
      </c>
      <c r="C59" s="70" t="str">
        <f>'Brewhouse Setup &amp; Calcs'!$B$5</f>
        <v>qt</v>
      </c>
      <c r="D59" s="55">
        <f>IF($B$2="US Customary",B59/4,"")</f>
        <v>0</v>
      </c>
      <c r="E59" s="70" t="str">
        <f>IF($B$2="US Customary","US Gal","")</f>
        <v>US Gal</v>
      </c>
      <c r="F59" s="710" t="s">
        <v>1283</v>
      </c>
      <c r="G59" s="711"/>
      <c r="H59" s="712"/>
      <c r="I59" s="493"/>
    </row>
    <row r="60" spans="1:9" x14ac:dyDescent="0.25">
      <c r="A60" s="110" t="s">
        <v>1767</v>
      </c>
      <c r="B60" s="716"/>
      <c r="C60" s="717"/>
      <c r="D60" s="717"/>
      <c r="E60" s="717"/>
      <c r="F60" s="717"/>
      <c r="G60" s="717"/>
      <c r="H60" s="718"/>
      <c r="I60" s="493"/>
    </row>
    <row r="61" spans="1:9" x14ac:dyDescent="0.25">
      <c r="A61" s="85" t="s">
        <v>106</v>
      </c>
      <c r="B61" s="123">
        <f>B64+B62+B63</f>
        <v>56.168000000000006</v>
      </c>
      <c r="C61" s="54" t="str">
        <f t="shared" si="1"/>
        <v>qt</v>
      </c>
      <c r="D61" s="55">
        <f t="shared" ref="D61:D66" si="2">IF($B$2="US Customary",B61/4,"")</f>
        <v>14.042000000000002</v>
      </c>
      <c r="E61" s="70" t="str">
        <f t="shared" ref="E61:E66" si="3">IF($B$2="US Customary","US Gal","")</f>
        <v>US Gal</v>
      </c>
      <c r="F61" s="700" t="s">
        <v>113</v>
      </c>
      <c r="G61" s="700"/>
      <c r="H61" s="701"/>
      <c r="I61" s="493"/>
    </row>
    <row r="62" spans="1:9" x14ac:dyDescent="0.25">
      <c r="A62" s="85" t="s">
        <v>115</v>
      </c>
      <c r="B62" s="528">
        <f>B19/60*B20</f>
        <v>5</v>
      </c>
      <c r="C62" s="54" t="str">
        <f t="shared" ref="C62:C66" si="4">$B$5</f>
        <v>qt</v>
      </c>
      <c r="D62" s="55">
        <f t="shared" si="2"/>
        <v>1.25</v>
      </c>
      <c r="E62" s="70" t="str">
        <f t="shared" si="3"/>
        <v>US Gal</v>
      </c>
      <c r="F62" s="700" t="s">
        <v>1284</v>
      </c>
      <c r="G62" s="700"/>
      <c r="H62" s="701"/>
      <c r="I62" s="493"/>
    </row>
    <row r="63" spans="1:9" x14ac:dyDescent="0.25">
      <c r="A63" s="85" t="s">
        <v>116</v>
      </c>
      <c r="B63" s="123">
        <f>B64*0.04</f>
        <v>1.9680000000000002</v>
      </c>
      <c r="C63" s="54" t="str">
        <f t="shared" si="4"/>
        <v>qt</v>
      </c>
      <c r="D63" s="55">
        <f t="shared" si="2"/>
        <v>0.49200000000000005</v>
      </c>
      <c r="E63" s="70" t="str">
        <f t="shared" si="3"/>
        <v>US Gal</v>
      </c>
      <c r="F63" s="700" t="s">
        <v>114</v>
      </c>
      <c r="G63" s="700"/>
      <c r="H63" s="701"/>
      <c r="I63" s="493"/>
    </row>
    <row r="64" spans="1:9" x14ac:dyDescent="0.25">
      <c r="A64" s="85" t="s">
        <v>107</v>
      </c>
      <c r="B64" s="123">
        <f>B66+B65+B33</f>
        <v>49.2</v>
      </c>
      <c r="C64" s="54" t="str">
        <f t="shared" si="1"/>
        <v>qt</v>
      </c>
      <c r="D64" s="55">
        <f t="shared" si="2"/>
        <v>12.3</v>
      </c>
      <c r="E64" s="70" t="str">
        <f t="shared" si="3"/>
        <v>US Gal</v>
      </c>
      <c r="F64" s="700" t="s">
        <v>2094</v>
      </c>
      <c r="G64" s="700"/>
      <c r="H64" s="701"/>
      <c r="I64" s="493"/>
    </row>
    <row r="65" spans="1:9" x14ac:dyDescent="0.25">
      <c r="A65" s="85" t="s">
        <v>1766</v>
      </c>
      <c r="B65" s="123">
        <f>B22*'Hop Calcs'!G17</f>
        <v>0.2</v>
      </c>
      <c r="C65" s="54" t="str">
        <f t="shared" si="4"/>
        <v>qt</v>
      </c>
      <c r="D65" s="55">
        <f t="shared" si="2"/>
        <v>0.05</v>
      </c>
      <c r="E65" s="70" t="str">
        <f t="shared" si="3"/>
        <v>US Gal</v>
      </c>
      <c r="F65" s="700" t="s">
        <v>1768</v>
      </c>
      <c r="G65" s="700"/>
      <c r="H65" s="701"/>
      <c r="I65" s="493"/>
    </row>
    <row r="66" spans="1:9" ht="13.8" thickBot="1" x14ac:dyDescent="0.3">
      <c r="A66" s="526" t="s">
        <v>1747</v>
      </c>
      <c r="B66" s="527">
        <f>B12+B34</f>
        <v>44</v>
      </c>
      <c r="C66" s="527" t="str">
        <f t="shared" si="4"/>
        <v>qt</v>
      </c>
      <c r="D66" s="527">
        <f t="shared" si="2"/>
        <v>11</v>
      </c>
      <c r="E66" s="527" t="str">
        <f t="shared" si="3"/>
        <v>US Gal</v>
      </c>
      <c r="F66" s="748" t="s">
        <v>2095</v>
      </c>
      <c r="G66" s="748"/>
      <c r="H66" s="749"/>
      <c r="I66" s="494"/>
    </row>
    <row r="67" spans="1:9" ht="13.8" thickTop="1" x14ac:dyDescent="0.25"/>
    <row r="70" spans="1:9" x14ac:dyDescent="0.25">
      <c r="B70"/>
      <c r="C70"/>
      <c r="D70"/>
      <c r="E70"/>
    </row>
    <row r="71" spans="1:9" x14ac:dyDescent="0.25">
      <c r="B71"/>
      <c r="C71"/>
      <c r="D71"/>
      <c r="E71"/>
    </row>
    <row r="72" spans="1:9" x14ac:dyDescent="0.25">
      <c r="B72"/>
      <c r="C72"/>
      <c r="D72"/>
      <c r="E72"/>
    </row>
    <row r="73" spans="1:9" x14ac:dyDescent="0.25">
      <c r="B73"/>
      <c r="C73"/>
      <c r="D73"/>
      <c r="E73"/>
    </row>
    <row r="74" spans="1:9" x14ac:dyDescent="0.25">
      <c r="B74"/>
      <c r="C74"/>
      <c r="D74"/>
      <c r="E74"/>
    </row>
    <row r="75" spans="1:9" x14ac:dyDescent="0.25">
      <c r="B75"/>
      <c r="C75"/>
      <c r="D75"/>
      <c r="E75"/>
    </row>
    <row r="76" spans="1:9" x14ac:dyDescent="0.25">
      <c r="B76"/>
      <c r="C76"/>
      <c r="D76"/>
      <c r="E76"/>
    </row>
  </sheetData>
  <sheetProtection sheet="1" objects="1" scenarios="1"/>
  <dataConsolidate/>
  <mergeCells count="70">
    <mergeCell ref="F66:H66"/>
    <mergeCell ref="D17:E21"/>
    <mergeCell ref="F17:H17"/>
    <mergeCell ref="I39:I40"/>
    <mergeCell ref="F29:H29"/>
    <mergeCell ref="F28:H28"/>
    <mergeCell ref="C28:E28"/>
    <mergeCell ref="F64:H64"/>
    <mergeCell ref="F30:H30"/>
    <mergeCell ref="F31:H31"/>
    <mergeCell ref="F32:H32"/>
    <mergeCell ref="F33:H33"/>
    <mergeCell ref="F34:H34"/>
    <mergeCell ref="A39:H39"/>
    <mergeCell ref="D31:E31"/>
    <mergeCell ref="F37:H37"/>
    <mergeCell ref="I10:I11"/>
    <mergeCell ref="I24:I25"/>
    <mergeCell ref="F22:H22"/>
    <mergeCell ref="F40:H40"/>
    <mergeCell ref="B2:C2"/>
    <mergeCell ref="F19:H19"/>
    <mergeCell ref="F20:H20"/>
    <mergeCell ref="F21:H21"/>
    <mergeCell ref="A10:H10"/>
    <mergeCell ref="F13:H13"/>
    <mergeCell ref="F14:H14"/>
    <mergeCell ref="F15:H15"/>
    <mergeCell ref="F16:H16"/>
    <mergeCell ref="F18:H18"/>
    <mergeCell ref="F2:H2"/>
    <mergeCell ref="F3:H3"/>
    <mergeCell ref="D13:E14"/>
    <mergeCell ref="D27:E27"/>
    <mergeCell ref="F5:G5"/>
    <mergeCell ref="F11:H11"/>
    <mergeCell ref="F12:H12"/>
    <mergeCell ref="A24:H24"/>
    <mergeCell ref="F25:H25"/>
    <mergeCell ref="F26:H26"/>
    <mergeCell ref="F27:H27"/>
    <mergeCell ref="F41:H41"/>
    <mergeCell ref="C51:E52"/>
    <mergeCell ref="F47:H47"/>
    <mergeCell ref="F50:H50"/>
    <mergeCell ref="F51:H51"/>
    <mergeCell ref="F52:H52"/>
    <mergeCell ref="F49:H49"/>
    <mergeCell ref="F48:H48"/>
    <mergeCell ref="B46:H46"/>
    <mergeCell ref="F45:H45"/>
    <mergeCell ref="B43:H43"/>
    <mergeCell ref="D45:E45"/>
    <mergeCell ref="F44:H44"/>
    <mergeCell ref="F65:H65"/>
    <mergeCell ref="F36:H36"/>
    <mergeCell ref="F35:H35"/>
    <mergeCell ref="D35:E37"/>
    <mergeCell ref="F63:H63"/>
    <mergeCell ref="F59:H59"/>
    <mergeCell ref="F58:H58"/>
    <mergeCell ref="F57:H57"/>
    <mergeCell ref="F62:H62"/>
    <mergeCell ref="B60:H60"/>
    <mergeCell ref="B55:H55"/>
    <mergeCell ref="F61:H61"/>
    <mergeCell ref="F56:H56"/>
    <mergeCell ref="F54:H54"/>
    <mergeCell ref="F53:H53"/>
    <mergeCell ref="C36:C37"/>
  </mergeCells>
  <conditionalFormatting sqref="G7">
    <cfRule type="cellIs" dxfId="51" priority="11" operator="equal">
      <formula>"PASS"</formula>
    </cfRule>
    <cfRule type="cellIs" dxfId="50" priority="12" operator="equal">
      <formula>"FAIL"</formula>
    </cfRule>
  </conditionalFormatting>
  <conditionalFormatting sqref="G6">
    <cfRule type="cellIs" dxfId="49" priority="9" operator="equal">
      <formula>"PASS"</formula>
    </cfRule>
    <cfRule type="cellIs" dxfId="48" priority="10" operator="equal">
      <formula>"FAIL"</formula>
    </cfRule>
  </conditionalFormatting>
  <conditionalFormatting sqref="B26">
    <cfRule type="expression" dxfId="47" priority="6">
      <formula>AND(IF(B48&lt;=B26*B27,FALSE,TRUE),NOT(ISBLANK($B$26)))</formula>
    </cfRule>
  </conditionalFormatting>
  <conditionalFormatting sqref="B30">
    <cfRule type="expression" dxfId="46" priority="5">
      <formula>AND(IF(B61&lt;=(B31*B30),FALSE,TRUE),NOT(ISBLANK(B30)))</formula>
    </cfRule>
  </conditionalFormatting>
  <conditionalFormatting sqref="B29">
    <cfRule type="expression" dxfId="45" priority="1">
      <formula>AND(IF(B28="Fly",TRUE,FALSE),NOT($B$29&gt;0))</formula>
    </cfRule>
    <cfRule type="expression" dxfId="44" priority="2">
      <formula>IF(B28="Fly",FALSE,TRUE)</formula>
    </cfRule>
  </conditionalFormatting>
  <dataValidations count="20">
    <dataValidation type="decimal" operator="lessThan" showInputMessage="1" showErrorMessage="1" sqref="B27 B13" xr:uid="{00000000-0002-0000-0200-000000000000}">
      <formula1>100</formula1>
    </dataValidation>
    <dataValidation showInputMessage="1" showErrorMessage="1" promptTitle="Suggested Values" prompt="Coleman 70 qt: 65 qt_x000a_Grainfather: 32 qt_x000a_Spike 20g eBIAB: 80 qt" sqref="B26" xr:uid="{00000000-0002-0000-0200-000001000000}"/>
    <dataValidation type="list" showInputMessage="1" showErrorMessage="1" errorTitle="System of Measure" error="Select from the list" promptTitle="System Units" prompt="Select units system for this spreadsheet." sqref="B2:C2" xr:uid="{00000000-0002-0000-0200-000002000000}">
      <formula1>"US Customary,Metric"</formula1>
    </dataValidation>
    <dataValidation type="list" allowBlank="1" showInputMessage="1" showErrorMessage="1" promptTitle="Units" prompt="Select Units" sqref="C13:C14" xr:uid="{00000000-0002-0000-0200-000003000000}">
      <formula1>"°F,°C"</formula1>
    </dataValidation>
    <dataValidation type="list" showInputMessage="1" showErrorMessage="1" errorTitle="Units" error="Select a unit of measure" promptTitle="Units" prompt="Select unit of measure" sqref="C15:C16" xr:uid="{00000000-0002-0000-0200-000004000000}">
      <formula1>"qt/lb,L/kg"</formula1>
    </dataValidation>
    <dataValidation showInputMessage="1" showErrorMessage="1" errorTitle="Units" error="Select a unit of measure" promptTitle="Units" prompt="Select unit of measure" sqref="C22" xr:uid="{910D14BF-C17C-4154-BF0B-6CB995420526}"/>
    <dataValidation type="list" showInputMessage="1" showErrorMessage="1" sqref="B28" xr:uid="{8CCCB4C1-1144-4B35-81F6-5363537B69D5}">
      <formula1>"Batch,Fly,BIAB,Extract"</formula1>
    </dataValidation>
    <dataValidation type="list" operator="lessThan" showInputMessage="1" showErrorMessage="1" sqref="B28" xr:uid="{69992A6F-6BD1-4921-A937-45C52ACB1D55}">
      <formula1>"Batch,Fly"</formula1>
    </dataValidation>
    <dataValidation allowBlank="1" showInputMessage="1" showErrorMessage="1" promptTitle="Suggested Values" prompt="Spike 20G gas kettle: 5 qt pumped, 8 qt gravity drained. Grainfather: 2.25 qt. Spike 20G elec kettle: 5 qt pumped." sqref="B33" xr:uid="{255B9D34-9845-4101-A28B-823854FFEC83}"/>
    <dataValidation allowBlank="1" showInputMessage="1" showErrorMessage="1" promptTitle="Suggested Values" prompt="Coleman 70qt: 1.5 when pumped, 3.5 when gravity drained. Grainfather: 0" sqref="B32" xr:uid="{54049D58-E5DE-422F-87B4-CEC8F0470D16}"/>
    <dataValidation allowBlank="1" showInputMessage="1" showErrorMessage="1" promptTitle="Suggested Values" prompt="2 qt per 6.5 gal carboy" sqref="B34" xr:uid="{4175EB4F-7749-4312-9739-05C71108A121}"/>
    <dataValidation allowBlank="1" showInputMessage="1" showErrorMessage="1" promptTitle="Suggested Values" prompt="Spike 20G: 80 qt_x000a_Grainfather: 32 qt" sqref="B30" xr:uid="{72D02445-CAF9-473C-AF85-C442FEE289FE}"/>
    <dataValidation allowBlank="1" showInputMessage="1" showErrorMessage="1" promptTitle="Suggested Values" prompt="Grainfather: 2 qt/hr. Spike 20 gal gas kettle: 4 qt/hr. Spike 20 gal elec kettle: 5 qt/hr" sqref="B20" xr:uid="{4DE4E253-C9BE-4BBD-BA9F-318F28CFCF32}"/>
    <dataValidation type="decimal" operator="lessThan" showInputMessage="1" showErrorMessage="1" promptTitle="Suggested Values" prompt="Grain bill &gt;80% 2-row pale malt: .5 qt/lb (1.043 Metric)_x000a_Large ratios of kilned/roasted malts (such as Vienna) require a larger value approaching .7 qt/lb" sqref="B16" xr:uid="{FF1DA645-20AF-4D83-9833-F4B159BF4AF2}">
      <formula1>100</formula1>
    </dataValidation>
    <dataValidation type="decimal" operator="lessThan" showInputMessage="1" showErrorMessage="1" promptTitle="Suggested Values" prompt="Typical range: 1.25-1.5 qt/lb (2.6-3.1 L/kg)" sqref="B15" xr:uid="{FA0A5DC3-7014-4E39-A49F-4FB1159C0600}">
      <formula1>100</formula1>
    </dataValidation>
    <dataValidation allowBlank="1" showInputMessage="1" showErrorMessage="1" promptTitle="Mash Temperature" prompt="Typical range: 148-156°F (64-69°C)._x000a_Higher temp promotes a fuller bodied beer. Lower temp promotes a lighter bodied beer." sqref="B14" xr:uid="{92D4475F-C9A4-433A-B92D-596C2DEB4063}"/>
    <dataValidation type="decimal" operator="lessThan" showInputMessage="1" showErrorMessage="1" promptTitle="Extract Efficiency" prompt="65-80% for batch sparging &amp; BIAB._x000a_75-90% for fly sparging." sqref="B18" xr:uid="{E3DBD657-59E3-4410-8557-5E632ED7E919}">
      <formula1>100</formula1>
    </dataValidation>
    <dataValidation allowBlank="1" showInputMessage="1" showErrorMessage="1" promptTitle="Hop Absorption Rate" prompt="May vary. If not known, try .1 qt/oz." sqref="B22" xr:uid="{2E091B22-6DC8-4421-A10C-35C16940C7C9}"/>
    <dataValidation allowBlank="1" showInputMessage="1" showErrorMessage="1" promptTitle="Hydrometer Calibration Temp" prompt="Typical US Value: 60 deg F_x000a_Check your hydrometer." sqref="B35" xr:uid="{3EAEFCF7-DE5F-4133-81D0-A74F50E36DA3}"/>
    <dataValidation type="decimal" operator="lessThanOrEqual" showInputMessage="1" showErrorMessage="1" promptTitle="Suggested Values" prompt="Grain bill &gt;80% 2-row pale malt: .5 qt/lb (1.043 Metric)_x000a_Large ratios of kilned/roasted malts (such as Vienna) require a larger value approaching .7 qt/lb" sqref="B17" xr:uid="{D2BEA3AF-1FF1-4995-822C-CAD0A3EFE820}">
      <formula1>120</formula1>
    </dataValidation>
  </dataValidations>
  <hyperlinks>
    <hyperlink ref="F3" r:id="rId1" display="Brewing Recipe Calculator Template Update: Overview, Deep Dive, &amp; Walkthrough Example" xr:uid="{00000000-0004-0000-0200-000000000000}"/>
    <hyperlink ref="F3:H3" r:id="rId2" display="Brewing Recipe Template Playlist" xr:uid="{00000000-0004-0000-0200-000001000000}"/>
  </hyperlinks>
  <pageMargins left="0.7" right="0.7" top="0.75" bottom="0.75" header="0.3" footer="0.3"/>
  <pageSetup scale="66"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Q25"/>
  <sheetViews>
    <sheetView topLeftCell="B1" zoomScale="90" zoomScaleNormal="90" workbookViewId="0">
      <selection activeCell="D11" sqref="D11"/>
    </sheetView>
  </sheetViews>
  <sheetFormatPr defaultRowHeight="13.2" x14ac:dyDescent="0.25"/>
  <cols>
    <col min="1" max="1" width="5.77734375" customWidth="1"/>
    <col min="2" max="2" width="51.88671875" customWidth="1"/>
    <col min="3" max="3" width="7.77734375" bestFit="1" customWidth="1"/>
    <col min="4" max="4" width="7.77734375" customWidth="1"/>
    <col min="5" max="5" width="8.5546875" customWidth="1"/>
    <col min="6" max="6" width="8.6640625" bestFit="1" customWidth="1"/>
    <col min="7" max="7" width="9.5546875" customWidth="1"/>
    <col min="8" max="8" width="6.44140625" customWidth="1"/>
    <col min="9" max="9" width="8.6640625" customWidth="1"/>
    <col min="10" max="10" width="7.88671875" customWidth="1"/>
    <col min="11" max="11" width="9" customWidth="1"/>
    <col min="12" max="13" width="9.44140625" customWidth="1"/>
    <col min="14" max="14" width="2.77734375" customWidth="1"/>
    <col min="15" max="15" width="11.77734375" customWidth="1"/>
    <col min="16" max="16" width="2.109375" customWidth="1"/>
    <col min="17" max="17" width="11.77734375" customWidth="1"/>
    <col min="18" max="19" width="5.77734375" customWidth="1"/>
    <col min="20" max="20" width="1.6640625" bestFit="1" customWidth="1"/>
    <col min="21" max="22" width="5.77734375" customWidth="1"/>
    <col min="23" max="23" width="1.6640625" bestFit="1" customWidth="1"/>
    <col min="24" max="25" width="5.77734375" customWidth="1"/>
    <col min="26" max="26" width="1.6640625" bestFit="1" customWidth="1"/>
    <col min="27" max="28" width="5.77734375" customWidth="1"/>
    <col min="29" max="29" width="1.6640625" bestFit="1" customWidth="1"/>
    <col min="30" max="30" width="5.77734375" customWidth="1"/>
  </cols>
  <sheetData>
    <row r="1" spans="2:17" x14ac:dyDescent="0.25">
      <c r="B1" s="27"/>
      <c r="C1" s="27"/>
      <c r="D1" s="27"/>
      <c r="G1" s="28"/>
      <c r="H1" s="28"/>
      <c r="I1" s="27"/>
      <c r="J1" s="27"/>
      <c r="K1" s="27"/>
      <c r="L1" s="27"/>
      <c r="M1" s="27"/>
    </row>
    <row r="2" spans="2:17" x14ac:dyDescent="0.25">
      <c r="B2" s="767" t="s">
        <v>134</v>
      </c>
      <c r="C2" s="768"/>
      <c r="D2" s="768"/>
      <c r="E2" s="768"/>
      <c r="F2" s="768"/>
      <c r="G2" s="768"/>
      <c r="H2" s="768"/>
      <c r="I2" s="768"/>
      <c r="J2" s="768"/>
      <c r="K2" s="768"/>
      <c r="L2" s="768"/>
      <c r="M2" s="768"/>
      <c r="N2" s="768"/>
    </row>
    <row r="3" spans="2:17" s="24" customFormat="1" ht="26.4" customHeight="1" x14ac:dyDescent="0.25">
      <c r="B3" s="765" t="s">
        <v>724</v>
      </c>
      <c r="C3" s="49" t="s">
        <v>142</v>
      </c>
      <c r="D3" s="769" t="s">
        <v>95</v>
      </c>
      <c r="E3" s="765" t="s">
        <v>66</v>
      </c>
      <c r="F3" s="546" t="s">
        <v>2128</v>
      </c>
      <c r="G3" s="765" t="s">
        <v>726</v>
      </c>
      <c r="H3" s="49" t="s">
        <v>1160</v>
      </c>
      <c r="I3" s="765" t="s">
        <v>1140</v>
      </c>
      <c r="J3" s="765" t="s">
        <v>97</v>
      </c>
      <c r="K3" s="765" t="s">
        <v>1158</v>
      </c>
      <c r="L3" s="765" t="s">
        <v>1159</v>
      </c>
      <c r="M3" s="49" t="s">
        <v>1972</v>
      </c>
      <c r="N3"/>
      <c r="O3"/>
    </row>
    <row r="4" spans="2:17" s="24" customFormat="1" x14ac:dyDescent="0.25">
      <c r="B4" s="766"/>
      <c r="C4" s="51" t="str">
        <f>'Brewhouse Setup &amp; Calcs'!$B$6</f>
        <v>lb</v>
      </c>
      <c r="D4" s="770"/>
      <c r="E4" s="766"/>
      <c r="F4" s="547" t="s">
        <v>2137</v>
      </c>
      <c r="G4" s="766"/>
      <c r="H4" s="50" t="s">
        <v>1139</v>
      </c>
      <c r="I4" s="766"/>
      <c r="J4" s="766"/>
      <c r="K4" s="766"/>
      <c r="L4" s="766"/>
      <c r="M4" s="99"/>
      <c r="N4"/>
      <c r="O4"/>
    </row>
    <row r="5" spans="2:17" x14ac:dyDescent="0.25">
      <c r="B5" s="52" t="s">
        <v>1439</v>
      </c>
      <c r="C5" s="37">
        <v>12</v>
      </c>
      <c r="D5" s="66">
        <f t="shared" ref="D5:D14" si="0">IF(ISBLANK(C5),"",C5/$C$17)</f>
        <v>0.63157894736842102</v>
      </c>
      <c r="E5" s="67" t="str">
        <f>IF(ISBLANK(B5),"",VLOOKUP(B5,grains_table[[Ingredient Name]:[Color (° L)]],3))</f>
        <v>Grain</v>
      </c>
      <c r="F5" s="550">
        <f>IF(ISBLANK(B5),"",VLOOKUP(B5,grains_table[[Ingredient Name]:[Diastatic Power
(° Lintner)]],8,FALSE)*IF('Brewhouse Setup &amp; Calcs'!B2="US Customary",C5,C5*2.204623))</f>
        <v>1680</v>
      </c>
      <c r="G5" s="30">
        <f>IF(ISBLANK(B5),"",VLOOKUP(B5,grains_table[[Ingredient Name]:[Color (° L)]],6,FALSE))</f>
        <v>1.03743334</v>
      </c>
      <c r="H5" s="23">
        <f t="shared" ref="H5:H14" si="1">IF(ISBLANK(B5),"",(G5-1)*1000)</f>
        <v>37.43333999999998</v>
      </c>
      <c r="I5" s="68">
        <f>IF(ISBLANK(B5),"",IF('Brewhouse Setup &amp; Calcs'!$B$2="Metric",2.20462262185*H5*C5,H5*C5))</f>
        <v>449.20007999999973</v>
      </c>
      <c r="J5" s="69">
        <f>IF(ISBLANK(B5),"",IF(E5="Grain",'Brewhouse Setup &amp; Calcs'!$B$18,IF(E5="Sugar",1,)))</f>
        <v>0.74</v>
      </c>
      <c r="K5" s="68">
        <f>IF(ISBLANK(B5),"",IF('Brewhouse Setup &amp; Calcs'!$B$2="Metric",I5*J5/(0.264172*'Brewhouse Setup &amp; Calcs'!$B$61),I5*J5/'Brewhouse Setup &amp; Calcs'!$B$61*4))</f>
        <v>23.672415553339963</v>
      </c>
      <c r="L5" s="68">
        <f>IF(ISBLANK(B5),"",IF('Brewhouse Setup &amp; Calcs'!$B$2="Metric",I5*J5/(0.264172*'Brewhouse Setup &amp; Calcs'!$B$64),I5*J5/'Brewhouse Setup &amp; Calcs'!$B$64*4))</f>
        <v>27.025045463414617</v>
      </c>
      <c r="M5" s="25">
        <f>IF(ISBLANK(C5),"",(IF('Brewhouse Setup &amp; Calcs'!$B$2="US Customary",((VLOOKUP(B5,grains_table[[Ingredient Name]:[Color (° L)]],7,FALSE)*C5)/('Brewhouse Setup &amp; Calcs'!$B$64/4)),((VLOOKUP(B5,grains_table[[Ingredient Name]:[Color (° L)]],7,FALSE)*C5*2.204623)/('Brewhouse Setup &amp; Calcs'!$B$64*1.056688/4)))))</f>
        <v>1.7560975609756098</v>
      </c>
    </row>
    <row r="6" spans="2:17" x14ac:dyDescent="0.25">
      <c r="B6" s="52" t="s">
        <v>2248</v>
      </c>
      <c r="C6" s="37">
        <v>4</v>
      </c>
      <c r="D6" s="66">
        <f t="shared" si="0"/>
        <v>0.21052631578947367</v>
      </c>
      <c r="E6" s="67" t="str">
        <f>IF(ISBLANK(B6),"",VLOOKUP(B6,grains_table[[Ingredient Name]:[Color (° L)]],3))</f>
        <v>Grain</v>
      </c>
      <c r="F6" s="550">
        <f>IF(ISBLANK(B6),"",VLOOKUP(B6,grains_table[[Ingredient Name]:[Diastatic Power
(° Lintner)]],8,FALSE)*IF('Brewhouse Setup &amp; Calcs'!B3="US Customary",C6,C6*2.204623))</f>
        <v>1234.58888</v>
      </c>
      <c r="G6" s="30">
        <f>IF(ISBLANK(B6),"",VLOOKUP(B6,grains_table[[Ingredient Name]:[Color (° L)]],6,FALSE))</f>
        <v>1.0369712</v>
      </c>
      <c r="H6" s="23">
        <f t="shared" si="1"/>
        <v>36.971199999999982</v>
      </c>
      <c r="I6" s="68">
        <f>IF(ISBLANK(B6),"",IF('Brewhouse Setup &amp; Calcs'!$B$2="Metric",2.20462262185*H6*C6,H6*C6))</f>
        <v>147.88479999999993</v>
      </c>
      <c r="J6" s="69">
        <f>IF(ISBLANK(B6),"",IF(E6="Grain",'Brewhouse Setup &amp; Calcs'!$B$18,IF(E6="Sugar",1,)))</f>
        <v>0.74</v>
      </c>
      <c r="K6" s="68">
        <f>IF(ISBLANK(B6),"",IF('Brewhouse Setup &amp; Calcs'!$B$2="Metric",I6*J6/(0.264172*'Brewhouse Setup &amp; Calcs'!$B$61),I6*J6/'Brewhouse Setup &amp; Calcs'!$B$61*4))</f>
        <v>7.793387836490524</v>
      </c>
      <c r="L6" s="68">
        <f>IF(ISBLANK(B6),"",IF('Brewhouse Setup &amp; Calcs'!$B$2="Metric",I6*J6/(0.264172*'Brewhouse Setup &amp; Calcs'!$B$64),I6*J6/'Brewhouse Setup &amp; Calcs'!$B$64*4))</f>
        <v>8.8971343089430839</v>
      </c>
      <c r="M6" s="25">
        <f>IF(ISBLANK(C6),"",(IF('Brewhouse Setup &amp; Calcs'!$B$2="US Customary",((VLOOKUP(B6,grains_table[[Ingredient Name]:[Color (° L)]],7,FALSE)*C6)/('Brewhouse Setup &amp; Calcs'!$B$64/4)),((VLOOKUP(B6,grains_table[[Ingredient Name]:[Color (° L)]],7,FALSE)*C6*2.204623)/('Brewhouse Setup &amp; Calcs'!$B$64*1.056688/4)))))</f>
        <v>0.56910569105691056</v>
      </c>
    </row>
    <row r="7" spans="2:17" x14ac:dyDescent="0.25">
      <c r="B7" s="52" t="s">
        <v>1486</v>
      </c>
      <c r="C7" s="37">
        <v>2</v>
      </c>
      <c r="D7" s="66">
        <f t="shared" si="0"/>
        <v>0.10526315789473684</v>
      </c>
      <c r="E7" s="67" t="str">
        <f>IF(ISBLANK(B7),"",VLOOKUP(B7,grains_table[[Ingredient Name]:[Color (° L)]],3))</f>
        <v>Grain</v>
      </c>
      <c r="F7" s="550">
        <f>IF(ISBLANK(B7),"",VLOOKUP(B7,grains_table[[Ingredient Name]:[Diastatic Power
(° Lintner)]],8,FALSE)*IF('Brewhouse Setup &amp; Calcs'!B4="US Customary",C7,C7*2.204623))</f>
        <v>793.66428000000008</v>
      </c>
      <c r="G7" s="30">
        <f>IF(ISBLANK(B7),"",VLOOKUP(B7,grains_table[[Ingredient Name]:[Color (° L)]],6,FALSE))</f>
        <v>1.03743334</v>
      </c>
      <c r="H7" s="23">
        <f t="shared" si="1"/>
        <v>37.43333999999998</v>
      </c>
      <c r="I7" s="68">
        <f>IF(ISBLANK(B7),"",IF('Brewhouse Setup &amp; Calcs'!$B$2="Metric",2.20462262185*H7*C7,H7*C7))</f>
        <v>74.86667999999996</v>
      </c>
      <c r="J7" s="69">
        <f>IF(ISBLANK(B7),"",IF(E7="Grain",'Brewhouse Setup &amp; Calcs'!$B$18,IF(E7="Sugar",1,)))</f>
        <v>0.74</v>
      </c>
      <c r="K7" s="68">
        <f>IF(ISBLANK(B7),"",IF('Brewhouse Setup &amp; Calcs'!$B$2="Metric",I7*J7/(0.264172*'Brewhouse Setup &amp; Calcs'!$B$61),I7*J7/'Brewhouse Setup &amp; Calcs'!$B$61*4))</f>
        <v>3.9454025922233273</v>
      </c>
      <c r="L7" s="68">
        <f>IF(ISBLANK(B7),"",IF('Brewhouse Setup &amp; Calcs'!$B$2="Metric",I7*J7/(0.264172*'Brewhouse Setup &amp; Calcs'!$B$64),I7*J7/'Brewhouse Setup &amp; Calcs'!$B$64*4))</f>
        <v>4.5041742439024368</v>
      </c>
      <c r="M7" s="25">
        <f>IF(ISBLANK(C7),"",(IF('Brewhouse Setup &amp; Calcs'!$B$2="US Customary",((VLOOKUP(B7,grains_table[[Ingredient Name]:[Color (° L)]],7,FALSE)*C7)/('Brewhouse Setup &amp; Calcs'!$B$64/4)),((VLOOKUP(B7,grains_table[[Ingredient Name]:[Color (° L)]],7,FALSE)*C7*2.204623)/('Brewhouse Setup &amp; Calcs'!$B$64*1.056688/4)))))</f>
        <v>0.3739837398373983</v>
      </c>
    </row>
    <row r="8" spans="2:17" x14ac:dyDescent="0.25">
      <c r="B8" s="52" t="s">
        <v>1468</v>
      </c>
      <c r="C8" s="37">
        <v>1</v>
      </c>
      <c r="D8" s="66">
        <f t="shared" si="0"/>
        <v>5.2631578947368418E-2</v>
      </c>
      <c r="E8" s="67" t="str">
        <f>IF(ISBLANK(B8),"",VLOOKUP(B8,grains_table[[Ingredient Name]:[Color (° L)]],3))</f>
        <v>Grain</v>
      </c>
      <c r="F8" s="550">
        <f>IF(ISBLANK(B8),"",VLOOKUP(B8,grains_table[[Ingredient Name]:[Diastatic Power
(° Lintner)]],8,FALSE)*IF('Brewhouse Setup &amp; Calcs'!B5="US Customary",C8,C8*2.204623))</f>
        <v>176.36984000000001</v>
      </c>
      <c r="G8" s="30">
        <f>IF(ISBLANK(B8),"",VLOOKUP(B8,grains_table[[Ingredient Name]:[Color (° L)]],6,FALSE))</f>
        <v>1.0369712</v>
      </c>
      <c r="H8" s="23">
        <f t="shared" si="1"/>
        <v>36.971199999999982</v>
      </c>
      <c r="I8" s="68">
        <f>IF(ISBLANK(B8),"",IF('Brewhouse Setup &amp; Calcs'!$B$2="Metric",2.20462262185*H8*C8,H8*C8))</f>
        <v>36.971199999999982</v>
      </c>
      <c r="J8" s="69">
        <f>IF(ISBLANK(B8),"",IF(E8="Grain",'Brewhouse Setup &amp; Calcs'!$B$18,IF(E8="Sugar",1,)))</f>
        <v>0.74</v>
      </c>
      <c r="K8" s="68">
        <f>IF(ISBLANK(B8),"",IF('Brewhouse Setup &amp; Calcs'!$B$2="Metric",I8*J8/(0.264172*'Brewhouse Setup &amp; Calcs'!$B$61),I8*J8/'Brewhouse Setup &amp; Calcs'!$B$61*4))</f>
        <v>1.948346959122631</v>
      </c>
      <c r="L8" s="68">
        <f>IF(ISBLANK(B8),"",IF('Brewhouse Setup &amp; Calcs'!$B$2="Metric",I8*J8/(0.264172*'Brewhouse Setup &amp; Calcs'!$B$64),I8*J8/'Brewhouse Setup &amp; Calcs'!$B$64*4))</f>
        <v>2.224283577235771</v>
      </c>
      <c r="M8" s="25">
        <f>IF(ISBLANK(C8),"",(IF('Brewhouse Setup &amp; Calcs'!$B$2="US Customary",((VLOOKUP(B8,grains_table[[Ingredient Name]:[Color (° L)]],7,FALSE)*C8)/('Brewhouse Setup &amp; Calcs'!$B$64/4)),((VLOOKUP(B8,grains_table[[Ingredient Name]:[Color (° L)]],7,FALSE)*C8*2.204623)/('Brewhouse Setup &amp; Calcs'!$B$64*1.056688/4)))))</f>
        <v>0.28455284552845528</v>
      </c>
    </row>
    <row r="9" spans="2:17" x14ac:dyDescent="0.25">
      <c r="B9" s="52"/>
      <c r="C9" s="37"/>
      <c r="D9" s="66" t="str">
        <f t="shared" si="0"/>
        <v/>
      </c>
      <c r="E9" s="67" t="str">
        <f>IF(ISBLANK(B9),"",VLOOKUP(B9,grains_table[[Ingredient Name]:[Color (° L)]],3))</f>
        <v/>
      </c>
      <c r="F9" s="550" t="str">
        <f>IF(ISBLANK(B9),"",VLOOKUP(B9,grains_table[[Ingredient Name]:[Diastatic Power
(° Lintner)]],8,FALSE)*IF('Brewhouse Setup &amp; Calcs'!B6="US Customary",C9,C9*2.204623))</f>
        <v/>
      </c>
      <c r="G9" s="30" t="str">
        <f>IF(ISBLANK(B9),"",VLOOKUP(B9,grains_table[[Ingredient Name]:[Color (° L)]],6,FALSE))</f>
        <v/>
      </c>
      <c r="H9" s="23" t="str">
        <f t="shared" si="1"/>
        <v/>
      </c>
      <c r="I9" s="68" t="str">
        <f>IF(ISBLANK(B9),"",IF('Brewhouse Setup &amp; Calcs'!$B$2="Metric",2.20462262185*H9*C9,H9*C9))</f>
        <v/>
      </c>
      <c r="J9" s="69" t="str">
        <f>IF(ISBLANK(B9),"",IF(E9="Grain",'Brewhouse Setup &amp; Calcs'!$B$18,IF(E9="Sugar",1,)))</f>
        <v/>
      </c>
      <c r="K9" s="68" t="str">
        <f>IF(ISBLANK(B9),"",IF('Brewhouse Setup &amp; Calcs'!$B$2="Metric",I9*J9/(0.264172*'Brewhouse Setup &amp; Calcs'!$B$61),I9*J9/'Brewhouse Setup &amp; Calcs'!$B$61*4))</f>
        <v/>
      </c>
      <c r="L9" s="68" t="str">
        <f>IF(ISBLANK(B9),"",IF('Brewhouse Setup &amp; Calcs'!$B$2="Metric",I9*J9/(0.264172*'Brewhouse Setup &amp; Calcs'!$B$64),I9*J9/'Brewhouse Setup &amp; Calcs'!$B$64*4))</f>
        <v/>
      </c>
      <c r="M9" s="25" t="str">
        <f>IF(ISBLANK(C9),"",(IF('Brewhouse Setup &amp; Calcs'!$B$2="US Customary",((VLOOKUP(B9,grains_table[[Ingredient Name]:[Color (° L)]],7,FALSE)*C9)/('Brewhouse Setup &amp; Calcs'!$B$64/4)),((VLOOKUP(B9,grains_table[[Ingredient Name]:[Color (° L)]],7,FALSE)*C9*2.204623)/('Brewhouse Setup &amp; Calcs'!$B$64*1.056688/4)))))</f>
        <v/>
      </c>
    </row>
    <row r="10" spans="2:17" x14ac:dyDescent="0.25">
      <c r="B10" s="52"/>
      <c r="C10" s="37"/>
      <c r="D10" s="66" t="str">
        <f t="shared" si="0"/>
        <v/>
      </c>
      <c r="E10" s="67" t="str">
        <f>IF(ISBLANK(B10),"",VLOOKUP(B10,grains_table[[Ingredient Name]:[Color (° L)]],3))</f>
        <v/>
      </c>
      <c r="F10" s="550" t="str">
        <f>IF(ISBLANK(B10),"",VLOOKUP(B10,grains_table[[Ingredient Name]:[Diastatic Power
(° Lintner)]],8,FALSE)*IF('Brewhouse Setup &amp; Calcs'!B7="US Customary",C10,C10*2.204623))</f>
        <v/>
      </c>
      <c r="G10" s="30" t="str">
        <f>IF(ISBLANK(B10),"",VLOOKUP(B10,grains_table[[Ingredient Name]:[Color (° L)]],6,FALSE))</f>
        <v/>
      </c>
      <c r="H10" s="23" t="str">
        <f t="shared" si="1"/>
        <v/>
      </c>
      <c r="I10" s="68" t="str">
        <f>IF(ISBLANK(B10),"",IF('Brewhouse Setup &amp; Calcs'!$B$2="Metric",2.20462262185*H10*C10,H10*C10))</f>
        <v/>
      </c>
      <c r="J10" s="69" t="str">
        <f>IF(ISBLANK(B10),"",IF(E10="Grain",'Brewhouse Setup &amp; Calcs'!$B$18,IF(E10="Sugar",1,)))</f>
        <v/>
      </c>
      <c r="K10" s="68" t="str">
        <f>IF(ISBLANK(B10),"",IF('Brewhouse Setup &amp; Calcs'!$B$2="Metric",I10*J10/(0.264172*'Brewhouse Setup &amp; Calcs'!$B$61),I10*J10/'Brewhouse Setup &amp; Calcs'!$B$61*4))</f>
        <v/>
      </c>
      <c r="L10" s="68" t="str">
        <f>IF(ISBLANK(B10),"",IF('Brewhouse Setup &amp; Calcs'!$B$2="Metric",I10*J10/(0.264172*'Brewhouse Setup &amp; Calcs'!$B$64),I10*J10/'Brewhouse Setup &amp; Calcs'!$B$64*4))</f>
        <v/>
      </c>
      <c r="M10" s="25" t="str">
        <f>IF(ISBLANK(C10),"",(IF('Brewhouse Setup &amp; Calcs'!$B$2="US Customary",((VLOOKUP(B10,grains_table[[Ingredient Name]:[Color (° L)]],7,FALSE)*C10)/('Brewhouse Setup &amp; Calcs'!$B$64/4)),((VLOOKUP(B10,grains_table[[Ingredient Name]:[Color (° L)]],7,FALSE)*C10*2.204623)/('Brewhouse Setup &amp; Calcs'!$B$64*1.056688/4)))))</f>
        <v/>
      </c>
    </row>
    <row r="11" spans="2:17" x14ac:dyDescent="0.25">
      <c r="B11" s="52"/>
      <c r="C11" s="37"/>
      <c r="D11" s="66" t="str">
        <f t="shared" si="0"/>
        <v/>
      </c>
      <c r="E11" s="67" t="str">
        <f>IF(ISBLANK(B11),"",VLOOKUP(B11,grains_table[[Ingredient Name]:[Color (° L)]],3))</f>
        <v/>
      </c>
      <c r="F11" s="550" t="str">
        <f>IF(ISBLANK(B11),"",VLOOKUP(B11,grains_table[[Ingredient Name]:[Diastatic Power
(° Lintner)]],8,FALSE)*IF('Brewhouse Setup &amp; Calcs'!B8="US Customary",C11,C11*2.204623))</f>
        <v/>
      </c>
      <c r="G11" s="30" t="str">
        <f>IF(ISBLANK(B11),"",VLOOKUP(B11,grains_table[[Ingredient Name]:[Color (° L)]],6,FALSE))</f>
        <v/>
      </c>
      <c r="H11" s="23" t="str">
        <f t="shared" si="1"/>
        <v/>
      </c>
      <c r="I11" s="68" t="str">
        <f>IF(ISBLANK(B11),"",IF('Brewhouse Setup &amp; Calcs'!$B$2="Metric",2.20462262185*H11*C11,H11*C11))</f>
        <v/>
      </c>
      <c r="J11" s="69" t="str">
        <f>IF(ISBLANK(B11),"",IF(E11="Grain",'Brewhouse Setup &amp; Calcs'!$B$18,IF(E11="Sugar",1,)))</f>
        <v/>
      </c>
      <c r="K11" s="68" t="str">
        <f>IF(ISBLANK(B11),"",IF('Brewhouse Setup &amp; Calcs'!$B$2="Metric",I11*J11/(0.264172*'Brewhouse Setup &amp; Calcs'!$B$61),I11*J11/'Brewhouse Setup &amp; Calcs'!$B$61*4))</f>
        <v/>
      </c>
      <c r="L11" s="68" t="str">
        <f>IF(ISBLANK(B11),"",IF('Brewhouse Setup &amp; Calcs'!$B$2="Metric",I11*J11/(0.264172*'Brewhouse Setup &amp; Calcs'!$B$64),I11*J11/'Brewhouse Setup &amp; Calcs'!$B$64*4))</f>
        <v/>
      </c>
      <c r="M11" s="25" t="str">
        <f>IF(ISBLANK(C11),"",(IF('Brewhouse Setup &amp; Calcs'!$B$2="US Customary",((VLOOKUP(B11,grains_table[[Ingredient Name]:[Color (° L)]],7,FALSE)*C11)/('Brewhouse Setup &amp; Calcs'!$B$64/4)),((VLOOKUP(B11,grains_table[[Ingredient Name]:[Color (° L)]],7,FALSE)*C11*2.204623)/('Brewhouse Setup &amp; Calcs'!$B$64*1.056688/4)))))</f>
        <v/>
      </c>
    </row>
    <row r="12" spans="2:17" x14ac:dyDescent="0.25">
      <c r="B12" s="52"/>
      <c r="C12" s="37"/>
      <c r="D12" s="66" t="str">
        <f t="shared" ref="D12" si="2">IF(ISBLANK(C12),"",C12/$C$17)</f>
        <v/>
      </c>
      <c r="E12" s="67" t="str">
        <f>IF(ISBLANK(B12),"",VLOOKUP(B12,grains_table[[Ingredient Name]:[Color (° L)]],3))</f>
        <v/>
      </c>
      <c r="F12" s="550" t="str">
        <f>IF(ISBLANK(B12),"",VLOOKUP(B12,grains_table[[Ingredient Name]:[Diastatic Power
(° Lintner)]],8,FALSE)*IF('Brewhouse Setup &amp; Calcs'!B8="US Customary",C12,C12*2.204623))</f>
        <v/>
      </c>
      <c r="G12" s="30" t="str">
        <f>IF(ISBLANK(B12),"",VLOOKUP(B12,grains_table[[Ingredient Name]:[Color (° L)]],6,FALSE))</f>
        <v/>
      </c>
      <c r="H12" s="23" t="str">
        <f t="shared" ref="H12" si="3">IF(ISBLANK(B12),"",(G12-1)*1000)</f>
        <v/>
      </c>
      <c r="I12" s="68" t="str">
        <f>IF(ISBLANK(B12),"",IF('Brewhouse Setup &amp; Calcs'!$B$2="Metric",2.20462262185*H12*C12,H12*C12))</f>
        <v/>
      </c>
      <c r="J12" s="69" t="str">
        <f>IF(ISBLANK(B12),"",IF(E12="Grain",'Brewhouse Setup &amp; Calcs'!$B$18,IF(E12="Sugar",1,)))</f>
        <v/>
      </c>
      <c r="K12" s="68" t="str">
        <f>IF(ISBLANK(B12),"",IF('Brewhouse Setup &amp; Calcs'!$B$2="Metric",I12*J12/(0.264172*'Brewhouse Setup &amp; Calcs'!$B$61),I12*J12/'Brewhouse Setup &amp; Calcs'!$B$61*4))</f>
        <v/>
      </c>
      <c r="L12" s="68" t="str">
        <f>IF(ISBLANK(B12),"",IF('Brewhouse Setup &amp; Calcs'!$B$2="Metric",I12*J12/(0.264172*'Brewhouse Setup &amp; Calcs'!$B$64),I12*J12/'Brewhouse Setup &amp; Calcs'!$B$64*4))</f>
        <v/>
      </c>
      <c r="M12" s="25" t="str">
        <f>IF(ISBLANK(C12),"",(IF('Brewhouse Setup &amp; Calcs'!$B$2="US Customary",((VLOOKUP(B12,grains_table[[Ingredient Name]:[Color (° L)]],7,FALSE)*C12)/('Brewhouse Setup &amp; Calcs'!$B$64/4)),((VLOOKUP(B12,grains_table[[Ingredient Name]:[Color (° L)]],7,FALSE)*C12*2.204623)/('Brewhouse Setup &amp; Calcs'!$B$64*1.056688/4)))))</f>
        <v/>
      </c>
    </row>
    <row r="13" spans="2:17" x14ac:dyDescent="0.25">
      <c r="B13" s="52"/>
      <c r="C13" s="37"/>
      <c r="D13" s="66" t="str">
        <f t="shared" si="0"/>
        <v/>
      </c>
      <c r="E13" s="67" t="str">
        <f>IF(ISBLANK(B13),"",VLOOKUP(B13,grains_table[[Ingredient Name]:[Color (° L)]],3))</f>
        <v/>
      </c>
      <c r="F13" s="550" t="str">
        <f>IF(ISBLANK(B13),"",VLOOKUP(B13,grains_table[[Ingredient Name]:[Diastatic Power
(° Lintner)]],8,FALSE)*IF('Brewhouse Setup &amp; Calcs'!B9="US Customary",C13,C13*2.204623))</f>
        <v/>
      </c>
      <c r="G13" s="30" t="str">
        <f>IF(ISBLANK(B13),"",VLOOKUP(B13,grains_table[[Ingredient Name]:[Color (° L)]],6,FALSE))</f>
        <v/>
      </c>
      <c r="H13" s="23" t="str">
        <f t="shared" si="1"/>
        <v/>
      </c>
      <c r="I13" s="68" t="str">
        <f>IF(ISBLANK(B13),"",IF('Brewhouse Setup &amp; Calcs'!$B$2="Metric",2.20462262185*H13*C13,H13*C13))</f>
        <v/>
      </c>
      <c r="J13" s="69" t="str">
        <f>IF(ISBLANK(B13),"",IF(E13="Grain",'Brewhouse Setup &amp; Calcs'!$B$18,IF(E13="Sugar",1,)))</f>
        <v/>
      </c>
      <c r="K13" s="68" t="str">
        <f>IF(ISBLANK(B13),"",IF('Brewhouse Setup &amp; Calcs'!$B$2="Metric",I13*J13/(0.264172*'Brewhouse Setup &amp; Calcs'!$B$61),I13*J13/'Brewhouse Setup &amp; Calcs'!$B$61*4))</f>
        <v/>
      </c>
      <c r="L13" s="68" t="str">
        <f>IF(ISBLANK(B13),"",IF('Brewhouse Setup &amp; Calcs'!$B$2="Metric",I13*J13/(0.264172*'Brewhouse Setup &amp; Calcs'!$B$64),I13*J13/'Brewhouse Setup &amp; Calcs'!$B$64*4))</f>
        <v/>
      </c>
      <c r="M13" s="25" t="str">
        <f>IF(ISBLANK(C13),"",(IF('Brewhouse Setup &amp; Calcs'!$B$2="US Customary",((VLOOKUP(B13,grains_table[[Ingredient Name]:[Color (° L)]],7,FALSE)*C13)/('Brewhouse Setup &amp; Calcs'!$B$64/4)),((VLOOKUP(B13,grains_table[[Ingredient Name]:[Color (° L)]],7,FALSE)*C13*2.204623)/('Brewhouse Setup &amp; Calcs'!$B$64*1.056688/4)))))</f>
        <v/>
      </c>
    </row>
    <row r="14" spans="2:17" x14ac:dyDescent="0.25">
      <c r="B14" s="52"/>
      <c r="C14" s="37"/>
      <c r="D14" s="66" t="str">
        <f t="shared" si="0"/>
        <v/>
      </c>
      <c r="E14" s="67" t="str">
        <f>IF(ISBLANK(B14),"",VLOOKUP(B14,grains_table[[Ingredient Name]:[Color (° L)]],3))</f>
        <v/>
      </c>
      <c r="F14" s="550" t="str">
        <f>IF(ISBLANK(B14),"",VLOOKUP(B14,grains_table[[Ingredient Name]:[Diastatic Power
(° Lintner)]],8,FALSE)*IF('Brewhouse Setup &amp; Calcs'!B10="US Customary",C14,C14*2.204623))</f>
        <v/>
      </c>
      <c r="G14" s="30" t="str">
        <f>IF(ISBLANK(B14),"",VLOOKUP(B14,grains_table[[Ingredient Name]:[Color (° L)]],6,FALSE))</f>
        <v/>
      </c>
      <c r="H14" s="23" t="str">
        <f t="shared" si="1"/>
        <v/>
      </c>
      <c r="I14" s="68" t="str">
        <f>IF(ISBLANK(B14),"",IF('Brewhouse Setup &amp; Calcs'!$B$2="Metric",2.20462262185*H14*C14,H14*C14))</f>
        <v/>
      </c>
      <c r="J14" s="69" t="str">
        <f>IF(ISBLANK(B14),"",IF(E14="Grain",'Brewhouse Setup &amp; Calcs'!$B$18,IF(E14="Sugar",1,)))</f>
        <v/>
      </c>
      <c r="K14" s="68" t="str">
        <f>IF(ISBLANK(B14),"",IF('Brewhouse Setup &amp; Calcs'!$B$2="Metric",I14*J14/(0.264172*'Brewhouse Setup &amp; Calcs'!$B$61),I14*J14/'Brewhouse Setup &amp; Calcs'!$B$61*4))</f>
        <v/>
      </c>
      <c r="L14" s="68" t="str">
        <f>IF(ISBLANK(B14),"",IF('Brewhouse Setup &amp; Calcs'!$B$2="Metric",I14*J14/(0.264172*'Brewhouse Setup &amp; Calcs'!$B$64),I14*J14/'Brewhouse Setup &amp; Calcs'!$B$64*4))</f>
        <v/>
      </c>
      <c r="M14" s="25" t="str">
        <f>IF(ISBLANK(C14),"",(IF('Brewhouse Setup &amp; Calcs'!$B$2="US Customary",((VLOOKUP(B14,grains_table[[Ingredient Name]:[Color (° L)]],7,FALSE)*C14)/('Brewhouse Setup &amp; Calcs'!$B$64/4)),((VLOOKUP(B14,grains_table[[Ingredient Name]:[Color (° L)]],7,FALSE)*C14*2.204623)/('Brewhouse Setup &amp; Calcs'!$B$64*1.056688/4)))))</f>
        <v/>
      </c>
    </row>
    <row r="15" spans="2:17" x14ac:dyDescent="0.25">
      <c r="B15" s="21" t="s">
        <v>99</v>
      </c>
      <c r="C15" s="46">
        <f>SUMIF($E$5:$E$14,"Grain",$C$5:$C$14)</f>
        <v>19</v>
      </c>
      <c r="D15" s="58">
        <f>SUMIF($E$5:$E$14,"Grain",$D$5:$D$14)</f>
        <v>1</v>
      </c>
      <c r="F15" s="550">
        <f>ROUND(SUM(F5:F14)/($C$15*IF('Brewhouse Setup &amp; Calcs'!B2="US Customary",1,2.204623)),0)</f>
        <v>204</v>
      </c>
      <c r="H15" s="21" t="s">
        <v>1134</v>
      </c>
      <c r="I15" s="56">
        <f>SUMIF($E$5:$E$14,"Grain",$I$5:$I$14)</f>
        <v>708.92275999999958</v>
      </c>
      <c r="J15" s="21"/>
      <c r="K15" s="56">
        <f>SUMIF($E$5:$E$14,"Grain",$K$5:$K$14)</f>
        <v>37.359552941176446</v>
      </c>
      <c r="L15" s="56">
        <f>SUMIF($E$5:$E$14,"Grain",$L$5:$L$14)</f>
        <v>42.650637593495908</v>
      </c>
      <c r="M15" s="514"/>
    </row>
    <row r="16" spans="2:17" x14ac:dyDescent="0.25">
      <c r="B16" s="21" t="s">
        <v>880</v>
      </c>
      <c r="C16" s="46">
        <f>SUMIF($E$5:$E$14,"Sugar",$C$5:$C$14)</f>
        <v>0</v>
      </c>
      <c r="D16" s="58">
        <f>SUMIF($E$5:$E$14,"Sugar",$D$5:$D$14)</f>
        <v>0</v>
      </c>
      <c r="F16" s="544" t="s">
        <v>2132</v>
      </c>
      <c r="H16" s="21" t="s">
        <v>1135</v>
      </c>
      <c r="I16" s="56">
        <f>SUMIF($E$5:$E$14,"Sugar",$I$5:$I$14)</f>
        <v>0</v>
      </c>
      <c r="J16" s="21"/>
      <c r="K16" s="56">
        <f>SUMIF($E$5:$E$14,"Sugar",$K$5:$K$14)</f>
        <v>0</v>
      </c>
      <c r="L16" s="56">
        <f>SUMIF($E$5:$E$14,"Sugar",$L$5:$L$14)</f>
        <v>0</v>
      </c>
      <c r="M16" s="515" t="s">
        <v>1973</v>
      </c>
      <c r="O16" s="756" t="s">
        <v>21</v>
      </c>
      <c r="P16" s="756"/>
      <c r="Q16" s="756"/>
    </row>
    <row r="17" spans="2:17" x14ac:dyDescent="0.25">
      <c r="B17" s="21" t="s">
        <v>135</v>
      </c>
      <c r="C17" s="46">
        <f>C15+C16</f>
        <v>19</v>
      </c>
      <c r="D17" s="58">
        <f>D15+D16</f>
        <v>1</v>
      </c>
      <c r="F17" s="551" t="s">
        <v>2133</v>
      </c>
      <c r="H17" s="21" t="s">
        <v>135</v>
      </c>
      <c r="I17" s="56">
        <f>SUM(I5:I14)</f>
        <v>708.92275999999958</v>
      </c>
      <c r="K17" s="56">
        <f>SUM(K5:K14)</f>
        <v>37.359552941176446</v>
      </c>
      <c r="L17" s="56">
        <f>SUM(L5:L14)</f>
        <v>42.650637593495908</v>
      </c>
      <c r="M17" s="513">
        <f>SUM(M5:M14)</f>
        <v>2.9837398373983741</v>
      </c>
      <c r="O17" s="757" t="str">
        <f>'Recipe Sheet'!$B$1</f>
        <v>29A. Fruit Beer</v>
      </c>
      <c r="P17" s="757"/>
      <c r="Q17" s="757"/>
    </row>
    <row r="18" spans="2:17" x14ac:dyDescent="0.25">
      <c r="F18" s="545" t="s">
        <v>2134</v>
      </c>
      <c r="M18" s="516" t="s">
        <v>1293</v>
      </c>
      <c r="O18" s="761" t="s">
        <v>2258</v>
      </c>
      <c r="P18" s="761"/>
      <c r="Q18" s="761"/>
    </row>
    <row r="19" spans="2:17" x14ac:dyDescent="0.25">
      <c r="F19" s="544" t="s">
        <v>2138</v>
      </c>
      <c r="J19" s="21" t="s">
        <v>136</v>
      </c>
      <c r="K19" s="30">
        <f>SUMIF($E$5:$E$14,"Grain",$K$5:$K$14)*(IF(I4="PKL",2.205,1))/1000+1</f>
        <v>1.0373595529411765</v>
      </c>
      <c r="M19" s="575">
        <f>1.4922*M17^0.6859</f>
        <v>3.1583886709309232</v>
      </c>
      <c r="O19" s="571" t="str">
        <f>VLOOKUP('Recipe Sheet'!$B$1,'BJCP Guidelines'!$A$2:$K$120,10,FALSE)</f>
        <v>NA</v>
      </c>
      <c r="P19" s="568" t="s">
        <v>2269</v>
      </c>
      <c r="Q19" s="572" t="str">
        <f>VLOOKUP('Recipe Sheet'!$B$1,'BJCP Guidelines'!$A$2:$K$120,11,FALSE)</f>
        <v>NA</v>
      </c>
    </row>
    <row r="20" spans="2:17" x14ac:dyDescent="0.25">
      <c r="J20" s="21" t="s">
        <v>1136</v>
      </c>
      <c r="K20" s="57">
        <f>SUMIF($E$5:$E$14,"Sugar",$K$5:$K$14)/1000+1</f>
        <v>1</v>
      </c>
      <c r="O20" s="758" t="s">
        <v>2257</v>
      </c>
      <c r="P20" s="759"/>
      <c r="Q20" s="760"/>
    </row>
    <row r="21" spans="2:17" x14ac:dyDescent="0.25">
      <c r="J21" s="21" t="s">
        <v>138</v>
      </c>
      <c r="K21" s="57">
        <f>SUM(K5:K14)/1000+1</f>
        <v>1.0373595529411765</v>
      </c>
      <c r="L21" s="573">
        <f>L17/1000+1</f>
        <v>1.0426506375934959</v>
      </c>
      <c r="O21" s="565" t="str">
        <f>VLOOKUP('Recipe Sheet'!$B$1,'BJCP Guidelines'!$A$2:$K$120,2,FALSE)</f>
        <v>NA</v>
      </c>
      <c r="P21" s="566" t="s">
        <v>2269</v>
      </c>
      <c r="Q21" s="567" t="str">
        <f>VLOOKUP('Recipe Sheet'!$B$1,'BJCP Guidelines'!$A$2:$K$120,3,FALSE)</f>
        <v>NA</v>
      </c>
    </row>
    <row r="23" spans="2:17" ht="13.2" customHeight="1" x14ac:dyDescent="0.25">
      <c r="E23" s="762" t="s">
        <v>2145</v>
      </c>
      <c r="F23" s="554" t="s">
        <v>2142</v>
      </c>
      <c r="G23" s="558" t="s">
        <v>2144</v>
      </c>
      <c r="H23" s="559"/>
      <c r="I23" s="560"/>
      <c r="K23" s="762" t="s">
        <v>2272</v>
      </c>
      <c r="L23" s="573"/>
      <c r="M23" s="20" t="s">
        <v>2270</v>
      </c>
    </row>
    <row r="24" spans="2:17" x14ac:dyDescent="0.25">
      <c r="E24" s="763"/>
      <c r="F24" s="552" t="s">
        <v>2143</v>
      </c>
      <c r="G24" s="558" t="s">
        <v>2139</v>
      </c>
      <c r="H24" s="559"/>
      <c r="I24" s="560"/>
      <c r="K24" s="764"/>
      <c r="L24" s="553"/>
      <c r="M24" s="20" t="s">
        <v>2271</v>
      </c>
    </row>
    <row r="25" spans="2:17" x14ac:dyDescent="0.25">
      <c r="E25" s="764"/>
      <c r="F25" s="553" t="s">
        <v>2140</v>
      </c>
      <c r="G25" s="555" t="s">
        <v>2141</v>
      </c>
      <c r="H25" s="556"/>
      <c r="I25" s="557"/>
      <c r="K25" s="574"/>
    </row>
  </sheetData>
  <sheetProtection sheet="1" objects="1" scenarios="1"/>
  <mergeCells count="15">
    <mergeCell ref="L3:L4"/>
    <mergeCell ref="I3:I4"/>
    <mergeCell ref="G3:G4"/>
    <mergeCell ref="B2:N2"/>
    <mergeCell ref="B3:B4"/>
    <mergeCell ref="D3:D4"/>
    <mergeCell ref="E3:E4"/>
    <mergeCell ref="J3:J4"/>
    <mergeCell ref="K3:K4"/>
    <mergeCell ref="O16:Q16"/>
    <mergeCell ref="O17:Q17"/>
    <mergeCell ref="O20:Q20"/>
    <mergeCell ref="O18:Q18"/>
    <mergeCell ref="E23:E25"/>
    <mergeCell ref="K23:K24"/>
  </mergeCells>
  <conditionalFormatting sqref="F15">
    <cfRule type="cellIs" dxfId="43" priority="7" operator="lessThan">
      <formula>30</formula>
    </cfRule>
    <cfRule type="cellIs" dxfId="42" priority="8" operator="between">
      <formula>30</formula>
      <formula>69</formula>
    </cfRule>
    <cfRule type="cellIs" dxfId="41" priority="9" operator="greaterThanOrEqual">
      <formula>70</formula>
    </cfRule>
  </conditionalFormatting>
  <dataValidations count="1">
    <dataValidation type="list" showInputMessage="1" showErrorMessage="1" sqref="E5:E14" xr:uid="{00000000-0002-0000-0300-000000000000}">
      <formula1>"Grain,Sugar"</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1D44A27A-E814-4B13-A8C4-76ED6F1D6690}">
            <xm:f>IF(VLOOKUP('Recipe Sheet'!$B$1,'BJCP Guidelines'!$A$2:$K$120,2,FALSE)="NA",TRUE,FALSE)</xm:f>
            <x14:dxf>
              <fill>
                <patternFill>
                  <bgColor rgb="FF92D050"/>
                </patternFill>
              </fill>
            </x14:dxf>
          </x14:cfRule>
          <x14:cfRule type="expression" priority="44" id="{86053526-DA70-4CAF-BED7-8A79EB57149D}">
            <xm:f>OR($L$21&lt;VLOOKUP('Recipe Sheet'!$B$1,'BJCP Guidelines'!$A$2:$K$120,2,FALSE),$L$21&gt;VLOOKUP('Recipe Sheet'!$B$1,'BJCP Guidelines'!$A$2:$K$120,3,FALSE))</xm:f>
            <x14:dxf>
              <fill>
                <patternFill>
                  <bgColor rgb="FFFF0000"/>
                </patternFill>
              </fill>
            </x14:dxf>
          </x14:cfRule>
          <xm:sqref>L21</xm:sqref>
        </x14:conditionalFormatting>
        <x14:conditionalFormatting xmlns:xm="http://schemas.microsoft.com/office/excel/2006/main">
          <x14:cfRule type="expression" priority="3" id="{EFFAB0CF-6220-4503-BC30-60FE2C61FBA9}">
            <xm:f>IF(VLOOKUP('Recipe Sheet'!$B$1,'BJCP Guidelines'!$A$2:$K$120,10,FALSE)="NA",TRUE,FALSE)</xm:f>
            <x14:dxf>
              <fill>
                <patternFill>
                  <bgColor rgb="FF92D050"/>
                </patternFill>
              </fill>
            </x14:dxf>
          </x14:cfRule>
          <x14:cfRule type="expression" priority="45" id="{87A2F7F8-4094-4CB9-B853-A1DB8AA253DD}">
            <xm:f>OR($M$19&lt;VLOOKUP('Recipe Sheet'!$B$1,'BJCP Guidelines'!$A$2:$K$120,10,FALSE),$M$19&gt;VLOOKUP('Recipe Sheet'!$B$1,'BJCP Guidelines'!$A$2:$K$120,11,FALSE))</xm:f>
            <x14:dxf>
              <fill>
                <patternFill>
                  <bgColor rgb="FFFF0000"/>
                </patternFill>
              </fill>
            </x14:dxf>
          </x14:cfRule>
          <xm:sqref>M19</xm:sqref>
        </x14:conditionalFormatting>
        <x14:conditionalFormatting xmlns:xm="http://schemas.microsoft.com/office/excel/2006/main">
          <x14:cfRule type="expression" priority="1" id="{A8D41688-8D82-43AA-B554-27C3E0B75ED5}">
            <xm:f>IF(VLOOKUP('Recipe Sheet'!B4,'BJCP Guidelines'!$A$2:$K$120,2,FALSE)="NA",TRUE,FALSE)</xm:f>
            <x14:dxf>
              <fill>
                <patternFill>
                  <bgColor rgb="FF92D050"/>
                </patternFill>
              </fill>
            </x14:dxf>
          </x14:cfRule>
          <x14:cfRule type="expression" priority="2" id="{5D30D944-3216-40F0-8627-7082691389DC}">
            <xm:f>OR($L$21&lt;VLOOKUP('Recipe Sheet'!B4,'BJCP Guidelines'!$A$2:$K$120,2,FALSE),$L$21&gt;VLOOKUP('Recipe Sheet'!B4,'BJCP Guidelines'!$A$2:$K$120,3,FALSE))</xm:f>
            <x14:dxf>
              <fill>
                <patternFill>
                  <bgColor rgb="FFFF0000"/>
                </patternFill>
              </fill>
            </x14:dxf>
          </x14:cfRule>
          <xm:sqref>L23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F2FB99-9269-4B3B-8C8A-DBB29B40D0B6}">
          <x14:formula1>
            <xm:f>'Grain &amp; Sugar List'!$A$2:$A$240</xm:f>
          </x14:formula1>
          <xm:sqref>B5:B14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1"/>
  <sheetViews>
    <sheetView workbookViewId="0">
      <selection activeCell="H9" sqref="H9"/>
    </sheetView>
  </sheetViews>
  <sheetFormatPr defaultRowHeight="13.2" x14ac:dyDescent="0.25"/>
  <cols>
    <col min="1" max="1" width="10.21875" bestFit="1" customWidth="1"/>
    <col min="2" max="2" width="7.5546875" customWidth="1"/>
    <col min="3" max="3" width="10.6640625" customWidth="1"/>
    <col min="4" max="4" width="7.21875" customWidth="1"/>
    <col min="5" max="5" width="36.33203125" customWidth="1"/>
    <col min="6" max="6" width="6.5546875" style="26" customWidth="1"/>
    <col min="7" max="7" width="8.33203125" customWidth="1"/>
    <col min="8" max="8" width="7.21875" customWidth="1"/>
    <col min="9" max="9" width="7.88671875" customWidth="1"/>
    <col min="10" max="10" width="8" customWidth="1"/>
    <col min="11" max="11" width="8.77734375" customWidth="1"/>
    <col min="13" max="13" width="11.77734375" customWidth="1"/>
    <col min="14" max="14" width="1.6640625" bestFit="1" customWidth="1"/>
    <col min="15" max="15" width="11.77734375" customWidth="1"/>
    <col min="16" max="16" width="6.109375" customWidth="1"/>
  </cols>
  <sheetData>
    <row r="1" spans="1:15" x14ac:dyDescent="0.25">
      <c r="C1" s="733" t="s">
        <v>117</v>
      </c>
      <c r="D1" s="733"/>
      <c r="E1" s="733"/>
      <c r="F1" s="733"/>
      <c r="G1" s="733"/>
      <c r="H1" s="733"/>
      <c r="I1" s="733"/>
      <c r="J1" s="733"/>
      <c r="K1" s="733"/>
    </row>
    <row r="2" spans="1:15" x14ac:dyDescent="0.25">
      <c r="C2" s="29" t="s">
        <v>130</v>
      </c>
      <c r="D2" s="489">
        <v>0.1</v>
      </c>
      <c r="E2" s="21" t="s">
        <v>120</v>
      </c>
      <c r="F2" s="38">
        <v>0</v>
      </c>
      <c r="H2" s="488" t="s">
        <v>118</v>
      </c>
      <c r="I2" s="489">
        <v>0.1</v>
      </c>
      <c r="J2" s="488" t="s">
        <v>119</v>
      </c>
      <c r="K2" s="489">
        <v>0.05</v>
      </c>
    </row>
    <row r="3" spans="1:15" x14ac:dyDescent="0.25">
      <c r="C3" s="490" t="s">
        <v>1964</v>
      </c>
      <c r="D3" s="503">
        <v>0.5</v>
      </c>
    </row>
    <row r="4" spans="1:15" x14ac:dyDescent="0.25">
      <c r="C4" s="733" t="s">
        <v>94</v>
      </c>
      <c r="D4" s="733"/>
      <c r="E4" s="733"/>
      <c r="F4" s="733"/>
      <c r="G4" s="774"/>
      <c r="H4" s="733"/>
      <c r="I4" s="733"/>
      <c r="J4" s="733"/>
      <c r="K4" s="733"/>
    </row>
    <row r="5" spans="1:15" ht="30.6" customHeight="1" x14ac:dyDescent="0.25">
      <c r="C5" s="765" t="s">
        <v>93</v>
      </c>
      <c r="D5" s="765" t="s">
        <v>66</v>
      </c>
      <c r="E5" s="765" t="s">
        <v>91</v>
      </c>
      <c r="F5" s="769" t="s">
        <v>92</v>
      </c>
      <c r="G5" s="49" t="s">
        <v>143</v>
      </c>
      <c r="H5" s="765" t="s">
        <v>1141</v>
      </c>
      <c r="I5" s="765" t="s">
        <v>98</v>
      </c>
      <c r="J5" s="765" t="s">
        <v>88</v>
      </c>
      <c r="K5" s="765" t="s">
        <v>87</v>
      </c>
    </row>
    <row r="6" spans="1:15" x14ac:dyDescent="0.25">
      <c r="C6" s="766"/>
      <c r="D6" s="766"/>
      <c r="E6" s="766"/>
      <c r="F6" s="770"/>
      <c r="G6" s="51" t="str">
        <f>'Brewhouse Setup &amp; Calcs'!$B$7</f>
        <v>oz</v>
      </c>
      <c r="H6" s="766"/>
      <c r="I6" s="766"/>
      <c r="J6" s="766"/>
      <c r="K6" s="766"/>
    </row>
    <row r="7" spans="1:15" x14ac:dyDescent="0.25">
      <c r="A7" s="487" t="str">
        <f t="shared" ref="A7:A8" si="0">IF(C7="Hop Stand","Time (min):","")</f>
        <v/>
      </c>
      <c r="B7" s="495"/>
      <c r="C7" s="52">
        <v>60</v>
      </c>
      <c r="D7" s="52" t="s">
        <v>2105</v>
      </c>
      <c r="E7" s="52" t="s">
        <v>206</v>
      </c>
      <c r="F7" s="39">
        <v>7.2</v>
      </c>
      <c r="G7" s="37">
        <v>1</v>
      </c>
      <c r="H7" s="64">
        <f>IF(ISBLANK(G7),"",IF($G$6="grams",F7*G7/28.346,F7*G7))</f>
        <v>7.2</v>
      </c>
      <c r="I7" s="65">
        <f>1+IF(D7="Leaf",0,IF(D7="Pellet",$I$2,IF(D7="Plug",$K$2,)))+IF(C7="FWH",$D$2,)</f>
        <v>1.1000000000000001</v>
      </c>
      <c r="J7" s="30">
        <f>(1.65*0.000125^(('Grain &amp; Sugar Calcs'!$K$21+'Grain &amp; Sugar Calcs'!$L$21)/2-1))*((1-EXP(-0.04*IF(C7="Hop Stand",$D$3*B7,IF(C7="Dry Hop",0,IF(C7="FWH",'Brewhouse Setup &amp; Calcs'!$B$19,C7)))))/4.15)*I7</f>
        <v>0.27757711790442213</v>
      </c>
      <c r="K7" s="25">
        <f>(F7*IF('Brewhouse Setup &amp; Calcs'!$B$7="grams",G7/28.349523,G7)*J7*74.89/IF($G$6="grams",'Brewhouse Setup &amp; Calcs'!$B$64*1.056688/4,'Brewhouse Setup &amp; Calcs'!$B$64/4))</f>
        <v>12.168439235041273</v>
      </c>
    </row>
    <row r="8" spans="1:15" x14ac:dyDescent="0.25">
      <c r="A8" s="487" t="str">
        <f t="shared" si="0"/>
        <v/>
      </c>
      <c r="B8" s="495"/>
      <c r="C8" s="52">
        <v>5</v>
      </c>
      <c r="D8" s="52" t="s">
        <v>2105</v>
      </c>
      <c r="E8" s="52" t="s">
        <v>253</v>
      </c>
      <c r="F8" s="39">
        <v>3.2</v>
      </c>
      <c r="G8" s="37">
        <v>1</v>
      </c>
      <c r="H8" s="64">
        <f t="shared" ref="H8:H15" si="1">IF(ISBLANK(G8),"",IF($G$6="grams",F8*G8/28.346,F8*G8))</f>
        <v>3.2</v>
      </c>
      <c r="I8" s="65">
        <f t="shared" ref="I8:I15" si="2">1+IF(D8="Leaf",0,IF(D8="Pellet",$I$2,IF(D8="Plug",$K$2,)))+IF(C8="FWH",$D$2,)</f>
        <v>1.1000000000000001</v>
      </c>
      <c r="J8" s="30">
        <f>(1.65*0.000125^(('Grain &amp; Sugar Calcs'!$K$21+'Grain &amp; Sugar Calcs'!$L$21)/2-1))*((1-EXP(-0.04*IF(C8="Hop Stand",$D$3*B8,IF(C8="Dry Hop",0,IF(C8="FWH",'Brewhouse Setup &amp; Calcs'!$B$19,C8)))))/4.15)*I8</f>
        <v>5.5336180129523467E-2</v>
      </c>
      <c r="K8" s="25">
        <f>(F8*IF('Brewhouse Setup &amp; Calcs'!$B$7="grams",G8/28.349523,G8)*J8*74.89/IF($G$6="grams",'Brewhouse Setup &amp; Calcs'!$B$64*1.056688/4,'Brewhouse Setup &amp; Calcs'!$B$64/4))</f>
        <v>1.0781467394861821</v>
      </c>
    </row>
    <row r="9" spans="1:15" x14ac:dyDescent="0.25">
      <c r="A9" s="487" t="str">
        <f>IF(C9="Hop Stand","Time (min):","")</f>
        <v/>
      </c>
      <c r="B9" s="495"/>
      <c r="C9" s="52"/>
      <c r="D9" s="52"/>
      <c r="E9" s="52"/>
      <c r="F9" s="39"/>
      <c r="G9" s="37"/>
      <c r="H9" s="64" t="str">
        <f t="shared" si="1"/>
        <v/>
      </c>
      <c r="I9" s="65">
        <f t="shared" si="2"/>
        <v>1</v>
      </c>
      <c r="J9" s="30">
        <f>(1.65*0.000125^(('Grain &amp; Sugar Calcs'!$K$21+'Grain &amp; Sugar Calcs'!$L$21)/2-1))*((1-EXP(-0.04*IF(C9="Hop Stand",$D$3*B9,IF(C9="Dry Hop",0,IF(C9="FWH",'Brewhouse Setup &amp; Calcs'!$B$19,C9)))))/4.15)*I9</f>
        <v>0</v>
      </c>
      <c r="K9" s="25">
        <f>(F9*IF('Brewhouse Setup &amp; Calcs'!$B$7="grams",G9/28.349523,G9)*J9*74.89/IF($G$6="grams",'Brewhouse Setup &amp; Calcs'!$B$64*1.056688/4,'Brewhouse Setup &amp; Calcs'!$B$64/4))</f>
        <v>0</v>
      </c>
    </row>
    <row r="10" spans="1:15" x14ac:dyDescent="0.25">
      <c r="A10" s="487" t="str">
        <f t="shared" ref="A10:A15" si="3">IF(C10="Hop Stand","Time (min):","")</f>
        <v/>
      </c>
      <c r="B10" s="495"/>
      <c r="C10" s="52"/>
      <c r="D10" s="52"/>
      <c r="E10" s="52"/>
      <c r="F10" s="39"/>
      <c r="G10" s="37"/>
      <c r="H10" s="64" t="str">
        <f t="shared" si="1"/>
        <v/>
      </c>
      <c r="I10" s="65">
        <f t="shared" ref="I10:I11" si="4">1+IF(D10="Leaf",0,IF(D10="Pellet",$I$2,IF(D10="Plug",$K$2,)))+IF(C10="FWH",$D$2,)</f>
        <v>1</v>
      </c>
      <c r="J10" s="30">
        <f>(1.65*0.000125^(('Grain &amp; Sugar Calcs'!$K$21+'Grain &amp; Sugar Calcs'!$L$21)/2-1))*((1-EXP(-0.04*IF(C10="Hop Stand",$D$3*B10,IF(C10="Dry Hop",0,IF(C10="FWH",'Brewhouse Setup &amp; Calcs'!$B$19,C10)))))/4.15)*I10</f>
        <v>0</v>
      </c>
      <c r="K10" s="25">
        <f>(F10*IF('Brewhouse Setup &amp; Calcs'!$B$7="grams",G10/28.349523,G10)*J10*74.89/IF($G$6="grams",'Brewhouse Setup &amp; Calcs'!$B$64*1.056688/4,'Brewhouse Setup &amp; Calcs'!$B$64/4))</f>
        <v>0</v>
      </c>
    </row>
    <row r="11" spans="1:15" x14ac:dyDescent="0.25">
      <c r="A11" s="487" t="str">
        <f t="shared" si="3"/>
        <v/>
      </c>
      <c r="B11" s="495"/>
      <c r="C11" s="52"/>
      <c r="D11" s="52"/>
      <c r="E11" s="52"/>
      <c r="F11" s="39"/>
      <c r="G11" s="37"/>
      <c r="H11" s="64" t="str">
        <f t="shared" si="1"/>
        <v/>
      </c>
      <c r="I11" s="65">
        <f t="shared" si="4"/>
        <v>1</v>
      </c>
      <c r="J11" s="30">
        <f>(1.65*0.000125^(('Grain &amp; Sugar Calcs'!$K$21+'Grain &amp; Sugar Calcs'!$L$21)/2-1))*((1-EXP(-0.04*IF(C11="Hop Stand",$D$3*B11,IF(C11="Dry Hop",0,IF(C11="FWH",'Brewhouse Setup &amp; Calcs'!$B$19,C11)))))/4.15)*I11</f>
        <v>0</v>
      </c>
      <c r="K11" s="25">
        <f>(F11*IF('Brewhouse Setup &amp; Calcs'!$B$7="grams",G11/28.349523,G11)*J11*74.89/IF($G$6="grams",'Brewhouse Setup &amp; Calcs'!$B$64*1.056688/4,'Brewhouse Setup &amp; Calcs'!$B$64/4))</f>
        <v>0</v>
      </c>
    </row>
    <row r="12" spans="1:15" x14ac:dyDescent="0.25">
      <c r="A12" s="487" t="str">
        <f t="shared" si="3"/>
        <v/>
      </c>
      <c r="B12" s="495"/>
      <c r="C12" s="52"/>
      <c r="D12" s="52"/>
      <c r="E12" s="52"/>
      <c r="F12" s="39"/>
      <c r="G12" s="37"/>
      <c r="H12" s="64" t="str">
        <f t="shared" si="1"/>
        <v/>
      </c>
      <c r="I12" s="65">
        <f t="shared" si="2"/>
        <v>1</v>
      </c>
      <c r="J12" s="30">
        <f>(1.65*0.000125^(('Grain &amp; Sugar Calcs'!$K$21+'Grain &amp; Sugar Calcs'!$L$21)/2-1))*((1-EXP(-0.04*IF(C12="Hop Stand",$D$3*B12,IF(C12="Dry Hop",0,IF(C12="FWH",'Brewhouse Setup &amp; Calcs'!$B$19,C12)))))/4.15)*I12</f>
        <v>0</v>
      </c>
      <c r="K12" s="25">
        <f>(F12*IF('Brewhouse Setup &amp; Calcs'!$B$7="grams",G12/28.349523,G12)*J12*74.89/IF($G$6="grams",'Brewhouse Setup &amp; Calcs'!$B$64*1.056688/4,'Brewhouse Setup &amp; Calcs'!$B$64/4))</f>
        <v>0</v>
      </c>
    </row>
    <row r="13" spans="1:15" x14ac:dyDescent="0.25">
      <c r="A13" s="487" t="str">
        <f t="shared" si="3"/>
        <v/>
      </c>
      <c r="B13" s="495"/>
      <c r="C13" s="52"/>
      <c r="D13" s="52"/>
      <c r="E13" s="52"/>
      <c r="F13" s="39"/>
      <c r="G13" s="37"/>
      <c r="H13" s="64" t="str">
        <f t="shared" si="1"/>
        <v/>
      </c>
      <c r="I13" s="65">
        <f t="shared" si="2"/>
        <v>1</v>
      </c>
      <c r="J13" s="30">
        <f>(1.65*0.000125^(('Grain &amp; Sugar Calcs'!$K$21+'Grain &amp; Sugar Calcs'!$L$21)/2-1))*((1-EXP(-0.04*IF(C13="Hop Stand",$D$3*B13,IF(C13="Dry Hop",0,IF(C13="FWH",'Brewhouse Setup &amp; Calcs'!$B$19,C13)))))/4.15)*I13</f>
        <v>0</v>
      </c>
      <c r="K13" s="25">
        <f>(F13*IF('Brewhouse Setup &amp; Calcs'!$B$7="grams",G13/28.349523,G13)*J13*74.89/IF($G$6="grams",'Brewhouse Setup &amp; Calcs'!$B$64*1.056688/4,'Brewhouse Setup &amp; Calcs'!$B$64/4))</f>
        <v>0</v>
      </c>
      <c r="M13" s="756" t="s">
        <v>21</v>
      </c>
      <c r="N13" s="756"/>
      <c r="O13" s="756"/>
    </row>
    <row r="14" spans="1:15" x14ac:dyDescent="0.25">
      <c r="A14" s="487" t="str">
        <f t="shared" si="3"/>
        <v/>
      </c>
      <c r="B14" s="495"/>
      <c r="C14" s="52"/>
      <c r="D14" s="52"/>
      <c r="E14" s="52"/>
      <c r="F14" s="39"/>
      <c r="G14" s="37"/>
      <c r="H14" s="64" t="str">
        <f t="shared" si="1"/>
        <v/>
      </c>
      <c r="I14" s="65">
        <f t="shared" si="2"/>
        <v>1</v>
      </c>
      <c r="J14" s="30">
        <f>(1.65*0.000125^(('Grain &amp; Sugar Calcs'!$K$21+'Grain &amp; Sugar Calcs'!$L$21)/2-1))*((1-EXP(-0.04*IF(C14="Hop Stand",$D$3*B14,IF(C14="Dry Hop",0,IF(C14="FWH",'Brewhouse Setup &amp; Calcs'!$B$19,C14)))))/4.15)*I14</f>
        <v>0</v>
      </c>
      <c r="K14" s="25">
        <f>(F14*IF('Brewhouse Setup &amp; Calcs'!$B$7="grams",G14/28.349523,G14)*J14*74.89/IF($G$6="grams",'Brewhouse Setup &amp; Calcs'!$B$64*1.056688/4,'Brewhouse Setup &amp; Calcs'!$B$64/4))</f>
        <v>0</v>
      </c>
      <c r="M14" s="757" t="str">
        <f>'Recipe Sheet'!$B$1</f>
        <v>29A. Fruit Beer</v>
      </c>
      <c r="N14" s="757"/>
      <c r="O14" s="757"/>
    </row>
    <row r="15" spans="1:15" x14ac:dyDescent="0.25">
      <c r="A15" s="487" t="str">
        <f t="shared" si="3"/>
        <v/>
      </c>
      <c r="B15" s="495"/>
      <c r="C15" s="52"/>
      <c r="D15" s="52"/>
      <c r="E15" s="52"/>
      <c r="F15" s="39"/>
      <c r="G15" s="37"/>
      <c r="H15" s="64" t="str">
        <f t="shared" si="1"/>
        <v/>
      </c>
      <c r="I15" s="65">
        <f t="shared" si="2"/>
        <v>1</v>
      </c>
      <c r="J15" s="30">
        <f>(1.65*0.000125^(('Grain &amp; Sugar Calcs'!$K$21+'Grain &amp; Sugar Calcs'!$L$21)/2-1))*((1-EXP(-0.04*IF(C15="Hop Stand",$D$3*B15,IF(C15="Dry Hop",0,IF(C15="FWH",'Brewhouse Setup &amp; Calcs'!$B$19,C15)))))/4.15)*I15</f>
        <v>0</v>
      </c>
      <c r="K15" s="25">
        <f>(F15*IF('Brewhouse Setup &amp; Calcs'!$B$7="grams",G15/28.349523,G15)*J15*74.89/IF($G$6="grams",'Brewhouse Setup &amp; Calcs'!$B$64*1.056688/4,'Brewhouse Setup &amp; Calcs'!$B$64/4))</f>
        <v>0</v>
      </c>
      <c r="M15" s="771" t="s">
        <v>87</v>
      </c>
      <c r="N15" s="772"/>
      <c r="O15" s="773"/>
    </row>
    <row r="16" spans="1:15" x14ac:dyDescent="0.25">
      <c r="D16" s="4"/>
      <c r="K16" s="594">
        <f>SUM(K7:K15)</f>
        <v>13.246585974527456</v>
      </c>
      <c r="L16" s="22" t="s">
        <v>90</v>
      </c>
      <c r="M16" s="569" t="str">
        <f>VLOOKUP('Recipe Sheet'!$B$1,'BJCP Guidelines'!$A$2:$K$120,6,FALSE)</f>
        <v>NA</v>
      </c>
      <c r="N16" s="568" t="s">
        <v>2269</v>
      </c>
      <c r="O16" s="570" t="str">
        <f>VLOOKUP('Recipe Sheet'!$B$1,'BJCP Guidelines'!$A$2:$K$120,7,FALSE)</f>
        <v>NA</v>
      </c>
    </row>
    <row r="17" spans="4:12" x14ac:dyDescent="0.25">
      <c r="D17" s="4"/>
      <c r="F17" s="128" t="s">
        <v>1735</v>
      </c>
      <c r="G17" s="64">
        <f>SUM(G7:G16)</f>
        <v>2</v>
      </c>
    </row>
    <row r="18" spans="4:12" x14ac:dyDescent="0.25">
      <c r="D18" s="4"/>
      <c r="J18" s="762" t="s">
        <v>2272</v>
      </c>
      <c r="K18" s="595"/>
      <c r="L18" s="20" t="s">
        <v>2270</v>
      </c>
    </row>
    <row r="19" spans="4:12" x14ac:dyDescent="0.25">
      <c r="D19" s="4"/>
      <c r="J19" s="764"/>
      <c r="K19" s="553"/>
      <c r="L19" s="20" t="s">
        <v>2271</v>
      </c>
    </row>
    <row r="20" spans="4:12" x14ac:dyDescent="0.25">
      <c r="D20" s="4"/>
    </row>
    <row r="21" spans="4:12" x14ac:dyDescent="0.25">
      <c r="D21" s="4"/>
    </row>
  </sheetData>
  <sheetProtection sheet="1" objects="1" scenarios="1"/>
  <dataConsolidate/>
  <mergeCells count="14">
    <mergeCell ref="J18:J19"/>
    <mergeCell ref="M15:O15"/>
    <mergeCell ref="C4:K4"/>
    <mergeCell ref="C1:K1"/>
    <mergeCell ref="C5:C6"/>
    <mergeCell ref="D5:D6"/>
    <mergeCell ref="E5:E6"/>
    <mergeCell ref="F5:F6"/>
    <mergeCell ref="H5:H6"/>
    <mergeCell ref="I5:I6"/>
    <mergeCell ref="J5:J6"/>
    <mergeCell ref="K5:K6"/>
    <mergeCell ref="M13:O13"/>
    <mergeCell ref="M14:O14"/>
  </mergeCells>
  <conditionalFormatting sqref="B7:B15">
    <cfRule type="expression" dxfId="34" priority="8">
      <formula>IF(C7="Hop Stand",TRUE,FALSE)</formula>
    </cfRule>
  </conditionalFormatting>
  <dataValidations count="7">
    <dataValidation type="list" allowBlank="1" showInputMessage="1" showErrorMessage="1" sqref="D7:D15" xr:uid="{00000000-0002-0000-0400-000000000000}">
      <formula1>"Leaf,Pellet,Plug"</formula1>
    </dataValidation>
    <dataValidation type="list" allowBlank="1" showInputMessage="1" showErrorMessage="1" sqref="C7:C15" xr:uid="{00000000-0002-0000-0400-000001000000}">
      <formula1>"FWH,60,45,30,20,15,10,5,2,1,0,Hop Stand,Dry Hop"</formula1>
    </dataValidation>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DD6E053A-0ADF-4E57-91A0-EEF90BF56775}">
            <xm:f>IF(VLOOKUP('Recipe Sheet'!$B$1,'BJCP Guidelines'!$A$2:$K$120,10,FALSE)="NA",TRUE,FALSE)</xm:f>
            <x14:dxf>
              <fill>
                <patternFill>
                  <bgColor rgb="FF92D050"/>
                </patternFill>
              </fill>
            </x14:dxf>
          </x14:cfRule>
          <x14:cfRule type="expression" priority="4" id="{3C65DCB2-003C-4013-BE32-39BCFFB73FD6}">
            <xm:f>OR($K$16&lt;VLOOKUP('Recipe Sheet'!$B$1,'BJCP Guidelines'!$A$2:$K$120,6,FALSE),$K$16&gt;VLOOKUP('Recipe Sheet'!$B$1,'BJCP Guidelines'!$A$2:$K$120,7,FALSE))</xm:f>
            <x14:dxf>
              <fill>
                <patternFill>
                  <bgColor rgb="FFFF0000"/>
                </patternFill>
              </fill>
            </x14:dxf>
          </x14:cfRule>
          <xm:sqref>K16</xm:sqref>
        </x14:conditionalFormatting>
        <x14:conditionalFormatting xmlns:xm="http://schemas.microsoft.com/office/excel/2006/main">
          <x14:cfRule type="expression" priority="48" id="{1ACAAA16-9E3D-4ED4-A3F6-95570B77178C}">
            <xm:f>IF(VLOOKUP('Recipe Sheet'!#REF!,'BJCP Guidelines'!$A$2:$K$120,10,FALSE)="NA",TRUE,FALSE)</xm:f>
            <x14:dxf>
              <fill>
                <patternFill>
                  <bgColor rgb="FF92D050"/>
                </patternFill>
              </fill>
            </x14:dxf>
          </x14:cfRule>
          <x14:cfRule type="expression" priority="49" id="{CFD567C1-6C40-40C6-AF89-30D4389AA670}">
            <xm:f>OR($M$18&lt;VLOOKUP('Recipe Sheet'!#REF!,'BJCP Guidelines'!$A$2:$K$120,10,FALSE),$M$18&gt;VLOOKUP('Recipe Sheet'!#REF!,'BJCP Guidelines'!$A$2:$K$120,11,FALSE))</xm:f>
            <x14:dxf>
              <fill>
                <patternFill>
                  <bgColor rgb="FFFF0000"/>
                </patternFill>
              </fill>
            </x14:dxf>
          </x14:cfRule>
          <xm:sqref>K18</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List'!$A$2:$A$148</xm:f>
          </x14:formula1>
          <xm:sqref>E7:E15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7"/>
  <sheetViews>
    <sheetView showGridLines="0" topLeftCell="A12" zoomScale="85" workbookViewId="0">
      <selection activeCell="J36" sqref="J36"/>
    </sheetView>
  </sheetViews>
  <sheetFormatPr defaultRowHeight="13.2" x14ac:dyDescent="0.25"/>
  <cols>
    <col min="1" max="2" width="1.6640625" customWidth="1"/>
    <col min="3" max="3" width="29.6640625" style="4"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820" t="s">
        <v>1892</v>
      </c>
      <c r="D1" s="820"/>
      <c r="E1" s="820"/>
      <c r="F1" s="820"/>
      <c r="G1" s="820"/>
      <c r="H1" s="820"/>
      <c r="I1" s="820"/>
      <c r="J1" s="820"/>
      <c r="K1" s="820"/>
      <c r="L1" s="4"/>
    </row>
    <row r="2" spans="2:12" ht="15" customHeight="1" x14ac:dyDescent="0.25">
      <c r="B2" s="165"/>
      <c r="C2" s="166" t="s">
        <v>1774</v>
      </c>
      <c r="D2" s="167"/>
      <c r="E2" s="167"/>
      <c r="F2" s="167"/>
      <c r="G2" s="167"/>
      <c r="H2" s="167"/>
      <c r="I2" s="167"/>
      <c r="J2" s="167"/>
      <c r="K2" s="168"/>
      <c r="L2" s="4"/>
    </row>
    <row r="3" spans="2:12" ht="15" customHeight="1" x14ac:dyDescent="0.35">
      <c r="B3" s="169"/>
      <c r="C3" s="170"/>
      <c r="D3" s="171" t="s">
        <v>1775</v>
      </c>
      <c r="E3" s="171" t="s">
        <v>1776</v>
      </c>
      <c r="F3" s="171" t="s">
        <v>1777</v>
      </c>
      <c r="G3" s="171" t="s">
        <v>1778</v>
      </c>
      <c r="H3" s="171" t="s">
        <v>1779</v>
      </c>
      <c r="I3" s="821" t="s">
        <v>1780</v>
      </c>
      <c r="J3" s="821"/>
      <c r="K3" s="822">
        <v>2</v>
      </c>
      <c r="L3" s="4"/>
    </row>
    <row r="4" spans="2:12" ht="15" customHeight="1" x14ac:dyDescent="0.35">
      <c r="B4" s="169"/>
      <c r="C4" s="172" t="s">
        <v>1781</v>
      </c>
      <c r="D4" s="173" t="s">
        <v>1782</v>
      </c>
      <c r="E4" s="173" t="s">
        <v>1783</v>
      </c>
      <c r="F4" s="173" t="s">
        <v>1784</v>
      </c>
      <c r="G4" s="173" t="s">
        <v>1785</v>
      </c>
      <c r="H4" s="173" t="s">
        <v>1786</v>
      </c>
      <c r="I4" s="823" t="s">
        <v>1787</v>
      </c>
      <c r="J4" s="823"/>
      <c r="K4" s="822"/>
      <c r="L4" s="4"/>
    </row>
    <row r="5" spans="2:12" s="178" customFormat="1" ht="18" customHeight="1" x14ac:dyDescent="0.25">
      <c r="B5" s="174"/>
      <c r="C5" s="175" t="s">
        <v>1788</v>
      </c>
      <c r="D5" s="479">
        <f>'Recipe Sheet'!P8</f>
        <v>37</v>
      </c>
      <c r="E5" s="479">
        <f>'Recipe Sheet'!P9</f>
        <v>12</v>
      </c>
      <c r="F5" s="479">
        <f>'Recipe Sheet'!P10</f>
        <v>9</v>
      </c>
      <c r="G5" s="479">
        <f>'Recipe Sheet'!P11</f>
        <v>16</v>
      </c>
      <c r="H5" s="479">
        <f>'Recipe Sheet'!P12</f>
        <v>25</v>
      </c>
      <c r="I5" s="479">
        <f>'Recipe Sheet'!P13</f>
        <v>102</v>
      </c>
      <c r="J5" s="176"/>
      <c r="K5" s="177"/>
    </row>
    <row r="6" spans="2:12" ht="15" customHeight="1" x14ac:dyDescent="0.25">
      <c r="B6" s="169"/>
      <c r="C6" s="179" t="s">
        <v>1789</v>
      </c>
      <c r="D6" s="171"/>
      <c r="E6" s="180"/>
      <c r="F6" s="181"/>
      <c r="G6" s="181"/>
      <c r="H6" s="182"/>
      <c r="I6" s="182"/>
      <c r="J6" s="183"/>
      <c r="K6" s="184"/>
      <c r="L6" s="4"/>
    </row>
    <row r="7" spans="2:12" ht="15" customHeight="1" x14ac:dyDescent="0.25">
      <c r="B7" s="169"/>
      <c r="C7" s="172" t="s">
        <v>1790</v>
      </c>
      <c r="D7" s="171" t="s">
        <v>1791</v>
      </c>
      <c r="E7" s="171" t="s">
        <v>1792</v>
      </c>
      <c r="F7" s="171"/>
      <c r="G7" s="185"/>
      <c r="H7" s="183"/>
      <c r="I7" s="824" t="s">
        <v>1793</v>
      </c>
      <c r="J7" s="824"/>
      <c r="K7" s="825"/>
      <c r="L7" s="4"/>
    </row>
    <row r="8" spans="2:12" s="178" customFormat="1" ht="18" customHeight="1" x14ac:dyDescent="0.25">
      <c r="B8" s="174"/>
      <c r="C8" s="186" t="s">
        <v>1794</v>
      </c>
      <c r="D8" s="449">
        <f>IF('Brewhouse Setup &amp; Calcs'!$B$2="US Customary",'Brewhouse Setup &amp; Calcs'!B44/4,"NA")</f>
        <v>16.417000000000002</v>
      </c>
      <c r="E8" s="449">
        <f>IF('Brewhouse Setup &amp; Calcs'!$B$2="US Customary",'Brewhouse Setup &amp; Calcs'!B49/4,"NA")</f>
        <v>0</v>
      </c>
      <c r="F8" s="185"/>
      <c r="G8" s="185"/>
      <c r="H8" s="183"/>
      <c r="I8" s="824"/>
      <c r="J8" s="824"/>
      <c r="K8" s="825"/>
    </row>
    <row r="9" spans="2:12" s="178" customFormat="1" ht="18" customHeight="1" x14ac:dyDescent="0.25">
      <c r="B9" s="174"/>
      <c r="C9" s="186" t="s">
        <v>1795</v>
      </c>
      <c r="D9" s="517">
        <v>0</v>
      </c>
      <c r="E9" s="517">
        <v>0</v>
      </c>
      <c r="F9" s="185"/>
      <c r="G9" s="185"/>
      <c r="H9" s="183"/>
      <c r="I9" s="824"/>
      <c r="J9" s="824"/>
      <c r="K9" s="825"/>
    </row>
    <row r="10" spans="2:12" s="178" customFormat="1" ht="15" customHeight="1" thickBot="1" x14ac:dyDescent="0.3">
      <c r="B10" s="187"/>
      <c r="C10" s="188"/>
      <c r="D10" s="189"/>
      <c r="E10" s="189"/>
      <c r="F10" s="189"/>
      <c r="G10" s="189"/>
      <c r="H10" s="190"/>
      <c r="I10" s="826"/>
      <c r="J10" s="826"/>
      <c r="K10" s="827"/>
    </row>
    <row r="11" spans="2:12" s="178" customFormat="1" ht="15" customHeight="1" x14ac:dyDescent="0.25">
      <c r="B11" s="191"/>
      <c r="C11" s="192" t="s">
        <v>1796</v>
      </c>
      <c r="D11" s="193"/>
      <c r="E11" s="193"/>
      <c r="F11" s="193"/>
      <c r="G11" s="194" t="s">
        <v>1797</v>
      </c>
      <c r="H11" s="195"/>
      <c r="I11" s="195" t="s">
        <v>1798</v>
      </c>
      <c r="J11" s="195" t="s">
        <v>1799</v>
      </c>
      <c r="K11" s="196"/>
    </row>
    <row r="12" spans="2:12" s="178" customFormat="1" ht="15" customHeight="1" x14ac:dyDescent="0.25">
      <c r="B12" s="197"/>
      <c r="C12" s="198"/>
      <c r="D12" s="199" t="s">
        <v>1800</v>
      </c>
      <c r="E12" s="199" t="s">
        <v>1801</v>
      </c>
      <c r="F12" s="199" t="s">
        <v>1802</v>
      </c>
      <c r="G12" s="195" t="s">
        <v>1729</v>
      </c>
      <c r="H12" s="200">
        <v>1</v>
      </c>
      <c r="I12" s="201" t="s">
        <v>1803</v>
      </c>
      <c r="J12" s="202"/>
      <c r="K12" s="203"/>
    </row>
    <row r="13" spans="2:12" s="178" customFormat="1" ht="15" customHeight="1" x14ac:dyDescent="0.25">
      <c r="B13" s="197"/>
      <c r="C13" s="204"/>
      <c r="D13" s="484" t="s">
        <v>66</v>
      </c>
      <c r="E13" s="199" t="s">
        <v>1804</v>
      </c>
      <c r="F13" s="205" t="s">
        <v>1805</v>
      </c>
      <c r="G13" s="195" t="s">
        <v>1806</v>
      </c>
      <c r="H13" s="200">
        <v>2</v>
      </c>
      <c r="I13" s="206" t="s">
        <v>1807</v>
      </c>
      <c r="J13" s="207">
        <v>5.7</v>
      </c>
      <c r="K13" s="208"/>
    </row>
    <row r="14" spans="2:12" s="178" customFormat="1" ht="18" customHeight="1" x14ac:dyDescent="0.25">
      <c r="B14" s="197"/>
      <c r="C14" s="819" t="s">
        <v>1808</v>
      </c>
      <c r="D14" s="483">
        <v>2</v>
      </c>
      <c r="E14" s="449">
        <f>IF('Brewhouse Setup &amp; Calcs'!$B$2="US Customary",'Grain &amp; Sugar Calcs'!C5,"NA")</f>
        <v>12</v>
      </c>
      <c r="F14" s="482">
        <v>0</v>
      </c>
      <c r="G14" s="209">
        <f t="shared" ref="G14:G22" si="0">IF(D14=10,5.22-0.00504*F14,VLOOKUP(D14,H$12:J$22,3,FALSE))</f>
        <v>5.7</v>
      </c>
      <c r="H14" s="200">
        <v>3</v>
      </c>
      <c r="I14" s="206" t="s">
        <v>1809</v>
      </c>
      <c r="J14" s="207">
        <v>5.79</v>
      </c>
      <c r="K14" s="208"/>
    </row>
    <row r="15" spans="2:12" s="178" customFormat="1" ht="18" customHeight="1" x14ac:dyDescent="0.25">
      <c r="B15" s="197"/>
      <c r="C15" s="819"/>
      <c r="D15" s="483">
        <v>6</v>
      </c>
      <c r="E15" s="449">
        <f>IF('Brewhouse Setup &amp; Calcs'!$B$2="US Customary",'Grain &amp; Sugar Calcs'!C6,"NA")</f>
        <v>4</v>
      </c>
      <c r="F15" s="482">
        <v>10</v>
      </c>
      <c r="G15" s="209">
        <f t="shared" si="0"/>
        <v>5.75</v>
      </c>
      <c r="H15" s="200">
        <v>4</v>
      </c>
      <c r="I15" s="206" t="s">
        <v>1810</v>
      </c>
      <c r="J15" s="207">
        <v>5.77</v>
      </c>
      <c r="K15" s="208"/>
    </row>
    <row r="16" spans="2:12" s="178" customFormat="1" ht="18" customHeight="1" x14ac:dyDescent="0.25">
      <c r="B16" s="197"/>
      <c r="C16" s="819"/>
      <c r="D16" s="483">
        <v>7</v>
      </c>
      <c r="E16" s="449">
        <f>IF('Brewhouse Setup &amp; Calcs'!$B$2="US Customary",'Grain &amp; Sugar Calcs'!C7,"NA")</f>
        <v>2</v>
      </c>
      <c r="F16" s="482">
        <v>60</v>
      </c>
      <c r="G16" s="209">
        <f t="shared" si="0"/>
        <v>6.04</v>
      </c>
      <c r="H16" s="200">
        <v>5</v>
      </c>
      <c r="I16" s="206" t="s">
        <v>1811</v>
      </c>
      <c r="J16" s="207">
        <v>5.43</v>
      </c>
      <c r="K16" s="208"/>
    </row>
    <row r="17" spans="2:12" s="178" customFormat="1" ht="18" customHeight="1" x14ac:dyDescent="0.25">
      <c r="B17" s="197"/>
      <c r="C17" s="819"/>
      <c r="D17" s="483">
        <v>8</v>
      </c>
      <c r="E17" s="449">
        <f>IF('Brewhouse Setup &amp; Calcs'!$B$2="US Customary",'Grain &amp; Sugar Calcs'!C8,"NA")</f>
        <v>1</v>
      </c>
      <c r="F17" s="482">
        <v>60</v>
      </c>
      <c r="G17" s="209">
        <f t="shared" si="0"/>
        <v>5.56</v>
      </c>
      <c r="H17" s="200">
        <v>6</v>
      </c>
      <c r="I17" s="206" t="s">
        <v>1812</v>
      </c>
      <c r="J17" s="207">
        <v>5.75</v>
      </c>
      <c r="K17" s="208"/>
    </row>
    <row r="18" spans="2:12" s="178" customFormat="1" ht="18" customHeight="1" x14ac:dyDescent="0.25">
      <c r="B18" s="197"/>
      <c r="C18" s="819"/>
      <c r="D18" s="483">
        <v>1</v>
      </c>
      <c r="E18" s="449">
        <f>IF('Brewhouse Setup &amp; Calcs'!$B$2="US Customary",'Grain &amp; Sugar Calcs'!C9,"NA")</f>
        <v>0</v>
      </c>
      <c r="F18" s="482">
        <v>0</v>
      </c>
      <c r="G18" s="209">
        <f t="shared" si="0"/>
        <v>0</v>
      </c>
      <c r="H18" s="200">
        <v>7</v>
      </c>
      <c r="I18" s="206" t="s">
        <v>1813</v>
      </c>
      <c r="J18" s="207">
        <v>6.04</v>
      </c>
      <c r="K18" s="208"/>
    </row>
    <row r="19" spans="2:12" s="178" customFormat="1" ht="18" customHeight="1" x14ac:dyDescent="0.25">
      <c r="B19" s="197"/>
      <c r="C19" s="819"/>
      <c r="D19" s="483">
        <v>1</v>
      </c>
      <c r="E19" s="449">
        <f>IF('Brewhouse Setup &amp; Calcs'!$B$2="US Customary",'Grain &amp; Sugar Calcs'!C10,"NA")</f>
        <v>0</v>
      </c>
      <c r="F19" s="482">
        <v>0</v>
      </c>
      <c r="G19" s="209">
        <f t="shared" si="0"/>
        <v>0</v>
      </c>
      <c r="H19" s="200">
        <v>8</v>
      </c>
      <c r="I19" s="206" t="s">
        <v>1814</v>
      </c>
      <c r="J19" s="207">
        <v>5.56</v>
      </c>
      <c r="K19" s="208"/>
    </row>
    <row r="20" spans="2:12" s="178" customFormat="1" ht="18" customHeight="1" x14ac:dyDescent="0.25">
      <c r="B20" s="197"/>
      <c r="C20" s="819"/>
      <c r="D20" s="483">
        <v>1</v>
      </c>
      <c r="E20" s="449">
        <f>IF('Brewhouse Setup &amp; Calcs'!$B$2="US Customary",'Grain &amp; Sugar Calcs'!C11,"NA")</f>
        <v>0</v>
      </c>
      <c r="F20" s="482">
        <v>0</v>
      </c>
      <c r="G20" s="209">
        <f t="shared" si="0"/>
        <v>0</v>
      </c>
      <c r="H20" s="200">
        <v>9</v>
      </c>
      <c r="I20" s="206" t="s">
        <v>1815</v>
      </c>
      <c r="J20" s="207">
        <v>5.7</v>
      </c>
      <c r="K20" s="208"/>
    </row>
    <row r="21" spans="2:12" s="178" customFormat="1" ht="18" customHeight="1" x14ac:dyDescent="0.25">
      <c r="B21" s="197"/>
      <c r="C21" s="819"/>
      <c r="D21" s="483">
        <v>1</v>
      </c>
      <c r="E21" s="449">
        <f>IF('Brewhouse Setup &amp; Calcs'!$B$2="US Customary",'Grain &amp; Sugar Calcs'!C13,"NA")</f>
        <v>0</v>
      </c>
      <c r="F21" s="482">
        <v>0</v>
      </c>
      <c r="G21" s="209">
        <f t="shared" si="0"/>
        <v>0</v>
      </c>
      <c r="H21" s="200">
        <v>10</v>
      </c>
      <c r="I21" s="206" t="s">
        <v>1816</v>
      </c>
      <c r="J21" s="207" t="s">
        <v>1817</v>
      </c>
      <c r="K21" s="208"/>
    </row>
    <row r="22" spans="2:12" s="178" customFormat="1" ht="18" customHeight="1" x14ac:dyDescent="0.25">
      <c r="B22" s="197"/>
      <c r="C22" s="819"/>
      <c r="D22" s="483">
        <v>1</v>
      </c>
      <c r="E22" s="449">
        <f>IF('Brewhouse Setup &amp; Calcs'!$B$2="US Customary",'Grain &amp; Sugar Calcs'!C14,"NA")</f>
        <v>0</v>
      </c>
      <c r="F22" s="482">
        <v>0</v>
      </c>
      <c r="G22" s="209">
        <f t="shared" si="0"/>
        <v>0</v>
      </c>
      <c r="H22" s="200">
        <v>11</v>
      </c>
      <c r="I22" s="210" t="s">
        <v>1818</v>
      </c>
      <c r="J22" s="211">
        <v>4.71</v>
      </c>
      <c r="K22" s="208"/>
    </row>
    <row r="23" spans="2:12" s="178" customFormat="1" ht="15" customHeight="1" x14ac:dyDescent="0.25">
      <c r="B23" s="197"/>
      <c r="C23" s="212"/>
      <c r="D23" s="213" t="s">
        <v>1819</v>
      </c>
      <c r="E23" s="214">
        <f>SUM(E14:E22)</f>
        <v>19</v>
      </c>
      <c r="F23" s="215"/>
      <c r="G23" s="216"/>
      <c r="H23" s="789" t="s">
        <v>1820</v>
      </c>
      <c r="I23" s="790"/>
      <c r="J23" s="790"/>
      <c r="K23" s="791"/>
    </row>
    <row r="24" spans="2:12" s="178" customFormat="1" ht="15" customHeight="1" x14ac:dyDescent="0.25">
      <c r="B24" s="197"/>
      <c r="C24" s="212"/>
      <c r="D24" s="213" t="s">
        <v>1821</v>
      </c>
      <c r="E24" s="214" t="str">
        <f>ROUND(D8*4/E23,2)&amp;" qt/lb"</f>
        <v>3.46 qt/lb</v>
      </c>
      <c r="F24" s="217"/>
      <c r="G24" s="216"/>
      <c r="H24" s="790"/>
      <c r="I24" s="790"/>
      <c r="J24" s="790"/>
      <c r="K24" s="791"/>
    </row>
    <row r="25" spans="2:12" s="178" customFormat="1" ht="15" customHeight="1" x14ac:dyDescent="0.25">
      <c r="B25" s="197"/>
      <c r="C25" s="212"/>
      <c r="D25" s="213"/>
      <c r="E25" s="214"/>
      <c r="F25" s="217"/>
      <c r="G25" s="216"/>
      <c r="H25" s="790"/>
      <c r="I25" s="790"/>
      <c r="J25" s="790"/>
      <c r="K25" s="791"/>
    </row>
    <row r="26" spans="2:12" ht="15" customHeight="1" thickBot="1" x14ac:dyDescent="0.3">
      <c r="B26" s="218"/>
      <c r="C26" s="219"/>
      <c r="D26" s="219"/>
      <c r="E26" s="219"/>
      <c r="F26" s="220"/>
      <c r="G26" s="220"/>
      <c r="H26" s="792"/>
      <c r="I26" s="792"/>
      <c r="J26" s="792"/>
      <c r="K26" s="793"/>
      <c r="L26" s="4"/>
    </row>
    <row r="27" spans="2:12" ht="14.25" customHeight="1" x14ac:dyDescent="0.25">
      <c r="B27" s="221"/>
      <c r="C27" s="222" t="s">
        <v>1822</v>
      </c>
      <c r="D27" s="223"/>
      <c r="E27" s="224"/>
      <c r="F27" s="225"/>
      <c r="G27" s="225"/>
      <c r="H27" s="794" t="s">
        <v>1823</v>
      </c>
      <c r="I27" s="794"/>
      <c r="J27" s="794"/>
      <c r="K27" s="795"/>
      <c r="L27" s="4"/>
    </row>
    <row r="28" spans="2:12" ht="15" customHeight="1" x14ac:dyDescent="0.25">
      <c r="B28" s="226"/>
      <c r="C28" s="227"/>
      <c r="D28" s="798" t="s">
        <v>1824</v>
      </c>
      <c r="E28" s="800" t="s">
        <v>1825</v>
      </c>
      <c r="F28" s="803" t="s">
        <v>1826</v>
      </c>
      <c r="G28" s="805" t="s">
        <v>1827</v>
      </c>
      <c r="H28" s="796"/>
      <c r="I28" s="796"/>
      <c r="J28" s="796"/>
      <c r="K28" s="797"/>
      <c r="L28" s="4"/>
    </row>
    <row r="29" spans="2:12" ht="15" customHeight="1" x14ac:dyDescent="0.25">
      <c r="B29" s="226"/>
      <c r="C29" s="228"/>
      <c r="D29" s="798"/>
      <c r="E29" s="801"/>
      <c r="F29" s="803"/>
      <c r="G29" s="805"/>
      <c r="H29" s="796"/>
      <c r="I29" s="796"/>
      <c r="J29" s="796"/>
      <c r="K29" s="797"/>
      <c r="L29" s="4"/>
    </row>
    <row r="30" spans="2:12" ht="15" customHeight="1" thickBot="1" x14ac:dyDescent="0.3">
      <c r="B30" s="226"/>
      <c r="C30" s="229"/>
      <c r="D30" s="799"/>
      <c r="E30" s="802"/>
      <c r="F30" s="804"/>
      <c r="G30" s="806"/>
      <c r="H30" s="230"/>
      <c r="I30" s="230"/>
      <c r="J30" s="230"/>
      <c r="K30" s="231"/>
      <c r="L30" s="4"/>
    </row>
    <row r="31" spans="2:12" ht="27.75" customHeight="1" thickTop="1" thickBot="1" x14ac:dyDescent="0.3">
      <c r="B31" s="226"/>
      <c r="C31" s="232"/>
      <c r="D31" s="233">
        <f>(1-D$9)*I$5*IF(K$3=1,50/61,IF(OR(K$3=0,K$3=2),1,"ERROR"))+(F$43*130+E$43*157-176.1*J36*J35*2-4160.4*H35*H36*2.5+D$43*357)/D$8</f>
        <v>-49.031735396235575</v>
      </c>
      <c r="E31" s="234">
        <f>D31-((D50/1.4)+(E50/1.7))</f>
        <v>-102.58953288326353</v>
      </c>
      <c r="F31" s="235">
        <f>(E14*G14+E15*G15+E16*G16+E17*G17+E18*G18+E19*G19+E20*G20+E21*G21+E22*G22)/E23+(0.1085*D8/E23+0.013)*E31/50</f>
        <v>5.5199193096546866</v>
      </c>
      <c r="G31" s="236" t="s">
        <v>1828</v>
      </c>
      <c r="H31" s="796" t="s">
        <v>1829</v>
      </c>
      <c r="I31" s="807"/>
      <c r="J31" s="807"/>
      <c r="K31" s="808"/>
      <c r="L31" s="4"/>
    </row>
    <row r="32" spans="2:12" ht="15" customHeight="1" thickTop="1" thickBot="1" x14ac:dyDescent="0.3">
      <c r="B32" s="237"/>
      <c r="C32" s="238"/>
      <c r="D32" s="238"/>
      <c r="E32" s="238"/>
      <c r="F32" s="238"/>
      <c r="G32" s="239"/>
      <c r="H32" s="809"/>
      <c r="I32" s="809"/>
      <c r="J32" s="809"/>
      <c r="K32" s="810"/>
      <c r="L32" s="4"/>
    </row>
    <row r="33" spans="2:12" ht="15" customHeight="1" x14ac:dyDescent="0.25">
      <c r="B33" s="240"/>
      <c r="C33" s="241" t="s">
        <v>1830</v>
      </c>
      <c r="D33" s="242"/>
      <c r="E33" s="242"/>
      <c r="F33" s="242"/>
      <c r="G33" s="242"/>
      <c r="H33" s="242"/>
      <c r="I33" s="243"/>
      <c r="J33" s="244"/>
      <c r="K33" s="245"/>
      <c r="L33" s="4"/>
    </row>
    <row r="34" spans="2:12" ht="15" customHeight="1" x14ac:dyDescent="0.25">
      <c r="B34" s="246"/>
      <c r="C34" s="247"/>
      <c r="D34" s="248" t="s">
        <v>1831</v>
      </c>
      <c r="E34" s="248" t="s">
        <v>1832</v>
      </c>
      <c r="F34" s="248" t="s">
        <v>1833</v>
      </c>
      <c r="G34" s="249"/>
      <c r="H34" s="249" t="s">
        <v>1834</v>
      </c>
      <c r="I34" s="250"/>
      <c r="J34" s="249" t="s">
        <v>1835</v>
      </c>
      <c r="K34" s="251"/>
      <c r="L34" s="4"/>
    </row>
    <row r="35" spans="2:12" ht="15" customHeight="1" x14ac:dyDescent="0.25">
      <c r="B35" s="246"/>
      <c r="C35" s="252" t="s">
        <v>1836</v>
      </c>
      <c r="D35" s="249" t="s">
        <v>1837</v>
      </c>
      <c r="E35" s="249" t="s">
        <v>1838</v>
      </c>
      <c r="F35" s="249" t="s">
        <v>1839</v>
      </c>
      <c r="G35" s="253" t="s">
        <v>1840</v>
      </c>
      <c r="H35" s="254">
        <v>0.02</v>
      </c>
      <c r="I35" s="255" t="s">
        <v>1840</v>
      </c>
      <c r="J35" s="256">
        <v>0.88</v>
      </c>
      <c r="K35" s="251"/>
      <c r="L35" s="4"/>
    </row>
    <row r="36" spans="2:12" s="178" customFormat="1" ht="18" customHeight="1" x14ac:dyDescent="0.25">
      <c r="B36" s="257"/>
      <c r="C36" s="253" t="s">
        <v>1841</v>
      </c>
      <c r="D36" s="485"/>
      <c r="E36" s="485">
        <v>5</v>
      </c>
      <c r="F36" s="485">
        <v>5</v>
      </c>
      <c r="G36" s="255" t="s">
        <v>1842</v>
      </c>
      <c r="H36" s="486"/>
      <c r="I36" s="255" t="s">
        <v>1843</v>
      </c>
      <c r="J36" s="485">
        <v>8</v>
      </c>
      <c r="K36" s="258"/>
    </row>
    <row r="37" spans="2:12" ht="18" customHeight="1" x14ac:dyDescent="0.25">
      <c r="B37" s="246"/>
      <c r="C37" s="253" t="s">
        <v>1844</v>
      </c>
      <c r="D37" s="499" t="b">
        <v>0</v>
      </c>
      <c r="E37" s="499" t="b">
        <v>0</v>
      </c>
      <c r="F37" s="499" t="b">
        <v>0</v>
      </c>
      <c r="G37" s="259"/>
      <c r="H37" s="260" t="str">
        <f>"("&amp;ROUND(100*H36/E23/16,1)&amp;"% of total wt)"</f>
        <v>(0% of total wt)</v>
      </c>
      <c r="I37" s="261" t="s">
        <v>1845</v>
      </c>
      <c r="J37" s="250"/>
      <c r="K37" s="251"/>
      <c r="L37" s="4"/>
    </row>
    <row r="38" spans="2:12" s="178" customFormat="1" ht="18" customHeight="1" x14ac:dyDescent="0.25">
      <c r="B38" s="257"/>
      <c r="C38" s="253" t="s">
        <v>1846</v>
      </c>
      <c r="D38" s="262">
        <f>IF(D37,D36/$D8*$E8,0)</f>
        <v>0</v>
      </c>
      <c r="E38" s="262">
        <f>IF(E37,E36/$D8*$E8,0)</f>
        <v>0</v>
      </c>
      <c r="F38" s="262">
        <f>IF(F37,F36/$D8*$E8,0)</f>
        <v>0</v>
      </c>
      <c r="G38" s="259"/>
      <c r="H38" s="263" t="s">
        <v>1847</v>
      </c>
      <c r="I38" s="264"/>
      <c r="J38" s="265"/>
      <c r="K38" s="266"/>
    </row>
    <row r="39" spans="2:12" s="178" customFormat="1" ht="15" customHeight="1" thickBot="1" x14ac:dyDescent="0.3">
      <c r="B39" s="257"/>
      <c r="C39" s="267" t="s">
        <v>1848</v>
      </c>
      <c r="D39" s="259"/>
      <c r="E39" s="259"/>
      <c r="F39" s="259"/>
      <c r="G39" s="259"/>
      <c r="H39" s="268"/>
      <c r="I39" s="264"/>
      <c r="J39" s="269"/>
      <c r="K39" s="270"/>
    </row>
    <row r="40" spans="2:12" s="178" customFormat="1" ht="15" customHeight="1" x14ac:dyDescent="0.25">
      <c r="B40" s="271"/>
      <c r="C40" s="241" t="s">
        <v>1849</v>
      </c>
      <c r="D40" s="272"/>
      <c r="E40" s="272"/>
      <c r="F40" s="272"/>
      <c r="G40" s="811" t="s">
        <v>1850</v>
      </c>
      <c r="H40" s="811"/>
      <c r="I40" s="811"/>
      <c r="J40" s="811"/>
      <c r="K40" s="812"/>
    </row>
    <row r="41" spans="2:12" s="178" customFormat="1" ht="15" customHeight="1" x14ac:dyDescent="0.25">
      <c r="B41" s="257"/>
      <c r="C41" s="253"/>
      <c r="D41" s="248" t="s">
        <v>1851</v>
      </c>
      <c r="E41" s="248" t="s">
        <v>1852</v>
      </c>
      <c r="F41" s="273" t="s">
        <v>1853</v>
      </c>
      <c r="G41" s="813"/>
      <c r="H41" s="813"/>
      <c r="I41" s="813"/>
      <c r="J41" s="813"/>
      <c r="K41" s="814"/>
    </row>
    <row r="42" spans="2:12" s="178" customFormat="1" ht="15" customHeight="1" x14ac:dyDescent="0.25">
      <c r="B42" s="246"/>
      <c r="C42" s="252" t="s">
        <v>1836</v>
      </c>
      <c r="D42" s="249" t="s">
        <v>1854</v>
      </c>
      <c r="E42" s="249" t="s">
        <v>1855</v>
      </c>
      <c r="F42" s="274" t="s">
        <v>1856</v>
      </c>
      <c r="G42" s="813"/>
      <c r="H42" s="813"/>
      <c r="I42" s="813"/>
      <c r="J42" s="813"/>
      <c r="K42" s="814"/>
    </row>
    <row r="43" spans="2:12" s="178" customFormat="1" ht="18" customHeight="1" x14ac:dyDescent="0.25">
      <c r="B43" s="257"/>
      <c r="C43" s="253" t="s">
        <v>1841</v>
      </c>
      <c r="D43" s="485"/>
      <c r="E43" s="485"/>
      <c r="F43" s="485"/>
      <c r="G43" s="275"/>
      <c r="H43" s="275"/>
      <c r="I43" s="275"/>
      <c r="J43" s="259"/>
      <c r="K43" s="258"/>
    </row>
    <row r="44" spans="2:12" s="178" customFormat="1" ht="18" customHeight="1" x14ac:dyDescent="0.25">
      <c r="B44" s="246"/>
      <c r="C44" s="253" t="s">
        <v>1844</v>
      </c>
      <c r="D44" s="499" t="b">
        <v>0</v>
      </c>
      <c r="E44" s="499" t="b">
        <v>0</v>
      </c>
      <c r="F44" s="499" t="b">
        <v>0</v>
      </c>
      <c r="G44" s="275"/>
      <c r="H44" s="275"/>
      <c r="I44" s="275"/>
      <c r="J44" s="259"/>
      <c r="K44" s="258"/>
    </row>
    <row r="45" spans="2:12" s="178" customFormat="1" ht="18" customHeight="1" x14ac:dyDescent="0.25">
      <c r="B45" s="257"/>
      <c r="C45" s="253" t="s">
        <v>1846</v>
      </c>
      <c r="D45" s="262">
        <f>IF(D44,D43/$D8*$E8,0)</f>
        <v>0</v>
      </c>
      <c r="E45" s="262">
        <f>IF(E44,E43/$D8*$E8,0)</f>
        <v>0</v>
      </c>
      <c r="F45" s="262">
        <f>IF(F44,F43/$D8*$E8,0)</f>
        <v>0</v>
      </c>
      <c r="G45" s="259"/>
      <c r="H45" s="249"/>
      <c r="I45" s="249"/>
      <c r="J45" s="259"/>
      <c r="K45" s="258"/>
    </row>
    <row r="46" spans="2:12" ht="15" customHeight="1" thickBot="1" x14ac:dyDescent="0.3">
      <c r="B46" s="257"/>
      <c r="C46" s="267" t="s">
        <v>1848</v>
      </c>
      <c r="D46" s="276"/>
      <c r="E46" s="276"/>
      <c r="F46" s="277"/>
      <c r="G46" s="278"/>
      <c r="H46" s="276"/>
      <c r="I46" s="277"/>
      <c r="J46" s="277"/>
      <c r="K46" s="279"/>
      <c r="L46" s="4"/>
    </row>
    <row r="47" spans="2:12" ht="15" customHeight="1" x14ac:dyDescent="0.25">
      <c r="B47" s="165"/>
      <c r="C47" s="166" t="s">
        <v>1857</v>
      </c>
      <c r="D47" s="167"/>
      <c r="E47" s="167"/>
      <c r="F47" s="167"/>
      <c r="G47" s="167"/>
      <c r="H47" s="167"/>
      <c r="I47" s="167"/>
      <c r="J47" s="167"/>
      <c r="K47" s="280"/>
      <c r="L47" s="4"/>
    </row>
    <row r="48" spans="2:12" ht="15" customHeight="1" x14ac:dyDescent="0.25">
      <c r="B48" s="169"/>
      <c r="C48" s="170"/>
      <c r="D48" s="171" t="s">
        <v>1775</v>
      </c>
      <c r="E48" s="171" t="s">
        <v>1776</v>
      </c>
      <c r="F48" s="171" t="s">
        <v>1777</v>
      </c>
      <c r="G48" s="171" t="s">
        <v>1778</v>
      </c>
      <c r="H48" s="171" t="s">
        <v>1779</v>
      </c>
      <c r="I48" s="815" t="s">
        <v>1858</v>
      </c>
      <c r="J48" s="815"/>
      <c r="K48" s="281"/>
      <c r="L48" s="4"/>
    </row>
    <row r="49" spans="2:14" s="282" customFormat="1" ht="15" customHeight="1" x14ac:dyDescent="0.35">
      <c r="B49" s="283"/>
      <c r="C49" s="284"/>
      <c r="D49" s="173" t="s">
        <v>1782</v>
      </c>
      <c r="E49" s="173" t="s">
        <v>1783</v>
      </c>
      <c r="F49" s="173" t="s">
        <v>1784</v>
      </c>
      <c r="G49" s="173" t="s">
        <v>1785</v>
      </c>
      <c r="H49" s="173" t="s">
        <v>1786</v>
      </c>
      <c r="I49" s="816" t="s">
        <v>1859</v>
      </c>
      <c r="J49" s="816"/>
      <c r="K49" s="285"/>
      <c r="L49" s="286"/>
      <c r="M49" s="178"/>
    </row>
    <row r="50" spans="2:14" s="178" customFormat="1" ht="18" customHeight="1" thickBot="1" x14ac:dyDescent="0.3">
      <c r="B50" s="174"/>
      <c r="C50" s="186" t="s">
        <v>1860</v>
      </c>
      <c r="D50" s="287">
        <f>(1-D$9)*D$5+(F$43*105.89+D$36*60+E$36*72+D$43*143)/D$8</f>
        <v>58.928488761649504</v>
      </c>
      <c r="E50" s="287">
        <f>(1-D$9)*E$5+F$36*24.6/D$8</f>
        <v>19.492233660230248</v>
      </c>
      <c r="F50" s="287">
        <f>(1-D$9)*F$5+E$43*72.3/D$8</f>
        <v>9</v>
      </c>
      <c r="G50" s="287">
        <f>(1-D$9)*G$5+E$36*127.47/D$8</f>
        <v>54.822561978436987</v>
      </c>
      <c r="H50" s="287">
        <f>(1-D$9)*H$5+(D$36*147.4+F$36*103)/D$8</f>
        <v>56.369921422915269</v>
      </c>
      <c r="I50" s="817">
        <f>G50/H50</f>
        <v>0.97254990950104014</v>
      </c>
      <c r="J50" s="818"/>
      <c r="K50" s="177"/>
    </row>
    <row r="51" spans="2:14" s="178" customFormat="1" ht="18" customHeight="1" thickBot="1" x14ac:dyDescent="0.3">
      <c r="B51" s="174"/>
      <c r="C51" s="186" t="s">
        <v>1861</v>
      </c>
      <c r="D51" s="288">
        <f>IF(E8=0,D50,(1-(((D$9*D$8)+(E$9*E$8))/(D$8+E$8)))*D$5+((F$43+F$45)*105.89+(D$36+D$38)*60+(E$36+E$38)*72+(D$43+D$45)*143)/(D$8+E$8))</f>
        <v>58.928488761649504</v>
      </c>
      <c r="E51" s="288">
        <f>IF(E8=0,E50,(1-(((D$9*D$8)+(E$9*E$8))/(D$8+E$8)))*E$5+(F$36+F$38)*24.6/(D$8+E$8))</f>
        <v>19.492233660230248</v>
      </c>
      <c r="F51" s="288">
        <f>IF(E8=0,F50,(1-(((D$9*D$8)+(E$9*E$8))/(D$8+E$8)))*F$5+(E$43+E$45)*72.3/(D$8+E$8))</f>
        <v>9</v>
      </c>
      <c r="G51" s="288">
        <f>IF(E8=0,G50,(1-(((D$9*D$8)+(E$9*E$8))/(D$8+E$8)))*G$5+(E$36+E$38)*127.47/(D$8+E$8))</f>
        <v>54.822561978436987</v>
      </c>
      <c r="H51" s="288">
        <f>IF(E8=0,H50,(1-(((D$9*D$8)+(E$9*E$8))/(D$8+E$8)))*H$5+((D$36+D$38)*147.4+(F$36+F$38)*103)/(D$8+E$8))</f>
        <v>56.369921422915269</v>
      </c>
      <c r="I51" s="787">
        <f>G51/H51</f>
        <v>0.97254990950104014</v>
      </c>
      <c r="J51" s="788"/>
      <c r="K51" s="177"/>
      <c r="M51" s="4"/>
    </row>
    <row r="52" spans="2:14" ht="18" customHeight="1" x14ac:dyDescent="0.25">
      <c r="B52" s="169"/>
      <c r="C52" s="289" t="s">
        <v>1862</v>
      </c>
      <c r="D52" s="290" t="s">
        <v>1863</v>
      </c>
      <c r="E52" s="291" t="s">
        <v>1864</v>
      </c>
      <c r="F52" s="290" t="s">
        <v>1865</v>
      </c>
      <c r="G52" s="290" t="s">
        <v>1866</v>
      </c>
      <c r="H52" s="292" t="s">
        <v>1867</v>
      </c>
      <c r="I52" s="777" t="str">
        <f>IF(I51&lt;0.77,"Below .77, May enhance bitterness", IF(I51&lt;1.3,".77 to 1.3 = Balanced","Above 1.3 may enhance maltiness"))</f>
        <v>.77 to 1.3 = Balanced</v>
      </c>
      <c r="J52" s="778"/>
      <c r="K52" s="281"/>
      <c r="L52" s="4"/>
    </row>
    <row r="53" spans="2:14" ht="15" customHeight="1" x14ac:dyDescent="0.25">
      <c r="B53" s="169"/>
      <c r="C53" s="779" t="s">
        <v>1868</v>
      </c>
      <c r="D53" s="779"/>
      <c r="E53" s="779"/>
      <c r="F53" s="779"/>
      <c r="G53" s="779"/>
      <c r="H53" s="779"/>
      <c r="I53" s="779"/>
      <c r="J53" s="779"/>
      <c r="K53" s="780"/>
      <c r="L53" s="4"/>
      <c r="M53" s="178"/>
      <c r="N53" s="286"/>
    </row>
    <row r="54" spans="2:14" ht="15" customHeight="1" thickBot="1" x14ac:dyDescent="0.3">
      <c r="B54" s="293"/>
      <c r="C54" s="781"/>
      <c r="D54" s="781"/>
      <c r="E54" s="781"/>
      <c r="F54" s="781"/>
      <c r="G54" s="781"/>
      <c r="H54" s="781"/>
      <c r="I54" s="782"/>
      <c r="J54" s="782"/>
      <c r="K54" s="783"/>
    </row>
    <row r="55" spans="2:14" ht="15" customHeight="1" x14ac:dyDescent="0.25">
      <c r="B55" s="294"/>
      <c r="C55" s="295"/>
      <c r="D55" s="295"/>
      <c r="E55" s="295"/>
      <c r="F55" s="295"/>
      <c r="G55" s="295"/>
      <c r="H55" s="295"/>
      <c r="I55" s="296"/>
      <c r="J55" s="296"/>
      <c r="K55" s="296"/>
    </row>
    <row r="56" spans="2:14" s="20" customFormat="1" ht="23.25" customHeight="1" x14ac:dyDescent="0.25">
      <c r="B56" s="297"/>
      <c r="C56" s="784" t="s">
        <v>1869</v>
      </c>
      <c r="D56" s="784"/>
      <c r="E56" s="784"/>
      <c r="F56" s="784"/>
      <c r="G56" s="784"/>
      <c r="H56" s="784"/>
      <c r="I56" s="784"/>
      <c r="J56" s="784"/>
      <c r="K56" s="784"/>
    </row>
    <row r="57" spans="2:14" ht="15" customHeight="1" x14ac:dyDescent="0.25">
      <c r="C57" s="298"/>
      <c r="D57" s="298"/>
      <c r="E57" s="298"/>
      <c r="F57" s="298"/>
      <c r="G57" s="298"/>
      <c r="H57" s="298"/>
      <c r="I57" s="4"/>
      <c r="J57" s="4"/>
      <c r="K57" s="4"/>
    </row>
    <row r="58" spans="2:14" ht="15" customHeight="1" x14ac:dyDescent="0.25">
      <c r="C58" s="298"/>
      <c r="D58" s="299" t="s">
        <v>1870</v>
      </c>
      <c r="E58" s="300"/>
      <c r="F58" s="300"/>
      <c r="G58" s="300"/>
      <c r="H58" s="300"/>
      <c r="I58" s="300"/>
      <c r="J58" s="300"/>
      <c r="K58" s="4"/>
    </row>
    <row r="59" spans="2:14" ht="15" customHeight="1" x14ac:dyDescent="0.25">
      <c r="C59" s="298"/>
      <c r="D59" s="300"/>
      <c r="E59" s="300"/>
      <c r="F59" s="300"/>
      <c r="G59" s="300"/>
      <c r="H59" s="300"/>
      <c r="I59" s="300"/>
      <c r="J59" s="300"/>
      <c r="K59" s="4"/>
    </row>
    <row r="60" spans="2:14" ht="15" customHeight="1" x14ac:dyDescent="0.25">
      <c r="C60" s="298"/>
      <c r="D60" s="300"/>
      <c r="E60" s="300"/>
      <c r="F60" s="300"/>
      <c r="G60" s="300"/>
      <c r="H60" s="300"/>
      <c r="I60" s="300"/>
      <c r="J60" s="300"/>
      <c r="K60" s="4"/>
    </row>
    <row r="61" spans="2:14" ht="15" customHeight="1" x14ac:dyDescent="0.25">
      <c r="C61" s="298"/>
      <c r="D61" s="300"/>
      <c r="E61" s="300"/>
      <c r="F61" s="298"/>
      <c r="G61" s="298"/>
      <c r="H61" s="298"/>
      <c r="I61" s="4"/>
      <c r="J61" s="4"/>
      <c r="K61" s="4"/>
    </row>
    <row r="62" spans="2:14" ht="15" customHeight="1" x14ac:dyDescent="0.25">
      <c r="C62" s="299" t="s">
        <v>1871</v>
      </c>
      <c r="D62" s="300"/>
      <c r="E62" s="300"/>
      <c r="F62" s="298"/>
      <c r="G62" s="298"/>
      <c r="H62" s="298"/>
      <c r="I62" s="4"/>
      <c r="J62" s="4"/>
      <c r="K62" s="4"/>
    </row>
    <row r="63" spans="2:14" ht="41.25" customHeight="1" x14ac:dyDescent="0.25">
      <c r="C63" s="298"/>
      <c r="D63" s="300"/>
      <c r="E63" s="300"/>
      <c r="F63" s="298"/>
      <c r="G63" s="298"/>
      <c r="H63" s="298"/>
      <c r="I63" s="4"/>
      <c r="J63" s="4"/>
      <c r="K63" s="4"/>
    </row>
    <row r="64" spans="2:14" ht="21.75" customHeight="1" x14ac:dyDescent="0.3">
      <c r="C64" s="785" t="s">
        <v>1872</v>
      </c>
      <c r="D64" s="785"/>
      <c r="E64" s="785"/>
      <c r="F64" s="785"/>
      <c r="G64" s="785"/>
      <c r="H64" s="785"/>
      <c r="I64" s="785"/>
      <c r="J64" s="785"/>
    </row>
    <row r="65" spans="3:12" x14ac:dyDescent="0.25">
      <c r="C65" s="786" t="s">
        <v>1873</v>
      </c>
      <c r="D65" s="786"/>
      <c r="E65" s="786"/>
      <c r="F65" s="786"/>
      <c r="G65" s="786"/>
      <c r="H65" s="786"/>
      <c r="I65" s="786"/>
      <c r="J65" s="786"/>
      <c r="K65" s="786"/>
    </row>
    <row r="66" spans="3:12" ht="12.75" customHeight="1" x14ac:dyDescent="0.25">
      <c r="C66" s="775" t="s">
        <v>1874</v>
      </c>
      <c r="D66" s="775"/>
      <c r="E66" s="775"/>
      <c r="F66" s="775"/>
      <c r="G66" s="775"/>
      <c r="H66" s="775"/>
      <c r="I66" s="775"/>
      <c r="J66" s="775"/>
      <c r="K66" s="775"/>
    </row>
    <row r="67" spans="3:12" s="303" customFormat="1" ht="12" customHeight="1" x14ac:dyDescent="0.25">
      <c r="C67" s="28" t="s">
        <v>1875</v>
      </c>
      <c r="D67" s="301"/>
      <c r="E67" s="301"/>
      <c r="F67" s="301"/>
      <c r="G67" s="302"/>
      <c r="H67" s="302"/>
      <c r="I67" s="302"/>
      <c r="J67" s="302"/>
      <c r="K67" s="302"/>
      <c r="L67" s="302"/>
    </row>
    <row r="68" spans="3:12" ht="12" customHeight="1" x14ac:dyDescent="0.25">
      <c r="C68" s="776" t="s">
        <v>1876</v>
      </c>
      <c r="D68" s="776"/>
      <c r="E68" s="776"/>
      <c r="F68" s="776"/>
      <c r="G68" s="776"/>
      <c r="H68" s="776"/>
      <c r="I68" s="776"/>
      <c r="J68" s="776"/>
    </row>
    <row r="69" spans="3:12" ht="12" customHeight="1" x14ac:dyDescent="0.25">
      <c r="C69" s="304" t="s">
        <v>1877</v>
      </c>
      <c r="D69" s="305"/>
      <c r="E69" s="305"/>
      <c r="F69" s="305"/>
      <c r="G69" s="305"/>
      <c r="H69" s="305"/>
      <c r="I69" s="305"/>
      <c r="J69" s="305"/>
    </row>
    <row r="70" spans="3:12" ht="12" customHeight="1" x14ac:dyDescent="0.25">
      <c r="C70" s="776" t="s">
        <v>1878</v>
      </c>
      <c r="D70" s="776"/>
      <c r="E70" s="776"/>
      <c r="F70" s="776"/>
      <c r="G70" s="776"/>
      <c r="H70" s="776"/>
      <c r="I70" s="776"/>
      <c r="J70" s="776"/>
    </row>
    <row r="72" spans="3:12" x14ac:dyDescent="0.25">
      <c r="C72" s="306" t="s">
        <v>1879</v>
      </c>
    </row>
    <row r="73" spans="3:12" x14ac:dyDescent="0.25">
      <c r="C73" s="28" t="s">
        <v>1880</v>
      </c>
    </row>
    <row r="74" spans="3:12" x14ac:dyDescent="0.25">
      <c r="C74" s="306" t="s">
        <v>1881</v>
      </c>
    </row>
    <row r="77" spans="3:12" ht="12.75" customHeight="1" x14ac:dyDescent="0.25"/>
  </sheetData>
  <sheetProtection sheet="1" objects="1" scenarios="1"/>
  <mergeCells count="27">
    <mergeCell ref="C14:C22"/>
    <mergeCell ref="C1:K1"/>
    <mergeCell ref="I3:J3"/>
    <mergeCell ref="K3:K4"/>
    <mergeCell ref="I4:J4"/>
    <mergeCell ref="I7:K10"/>
    <mergeCell ref="I51:J51"/>
    <mergeCell ref="H23:K26"/>
    <mergeCell ref="H27:K29"/>
    <mergeCell ref="D28:D30"/>
    <mergeCell ref="E28:E30"/>
    <mergeCell ref="F28:F30"/>
    <mergeCell ref="G28:G30"/>
    <mergeCell ref="H31:K32"/>
    <mergeCell ref="G40:K42"/>
    <mergeCell ref="I48:J48"/>
    <mergeCell ref="I49:J49"/>
    <mergeCell ref="I50:J50"/>
    <mergeCell ref="C66:K66"/>
    <mergeCell ref="C68:J68"/>
    <mergeCell ref="C70:J70"/>
    <mergeCell ref="I52:J52"/>
    <mergeCell ref="C53:K53"/>
    <mergeCell ref="C54:K54"/>
    <mergeCell ref="C56:K56"/>
    <mergeCell ref="C64:J64"/>
    <mergeCell ref="C65:K65"/>
  </mergeCells>
  <conditionalFormatting sqref="D52">
    <cfRule type="expression" dxfId="29" priority="1" stopIfTrue="1">
      <formula>OR(D$51&lt;49.5,D$51&gt;150.5)</formula>
    </cfRule>
  </conditionalFormatting>
  <conditionalFormatting sqref="E52">
    <cfRule type="expression" dxfId="28" priority="2" stopIfTrue="1">
      <formula>OR(E$51&lt;9.5,E$51&gt;30.5)</formula>
    </cfRule>
  </conditionalFormatting>
  <conditionalFormatting sqref="F52">
    <cfRule type="expression" dxfId="27" priority="3" stopIfTrue="1">
      <formula>OR(F$51&lt;0,F$51&gt;150.5)</formula>
    </cfRule>
  </conditionalFormatting>
  <conditionalFormatting sqref="G52">
    <cfRule type="expression" dxfId="26" priority="4" stopIfTrue="1">
      <formula>OR(G$51&lt;0,G$51&gt;250.5)</formula>
    </cfRule>
  </conditionalFormatting>
  <conditionalFormatting sqref="H52">
    <cfRule type="expression" dxfId="25" priority="5" stopIfTrue="1">
      <formula>OR(H$51&lt;49.5,H$51&gt;350.5)</formula>
    </cfRule>
  </conditionalFormatting>
  <conditionalFormatting sqref="F14:F22">
    <cfRule type="expression" dxfId="24" priority="6" stopIfTrue="1">
      <formula>AND($D14=10)</formula>
    </cfRule>
  </conditionalFormatting>
  <conditionalFormatting sqref="G31">
    <cfRule type="expression" dxfId="23" priority="7" stopIfTrue="1">
      <formula>OR(F$31&lt;5.4,F$31&gt;5.6)</formula>
    </cfRule>
  </conditionalFormatting>
  <hyperlinks>
    <hyperlink ref="C72" r:id="rId1" xr:uid="{D3DFB26E-04CE-4F86-93D6-4CB8E41AA4ED}"/>
    <hyperlink ref="C66:J66" r:id="rId2" display="Calculations for Alkalinity, RA, and pH were based on Kai Troester's paper: &quot;The effect of brewing water and grist composition on the pH of the mash&quot;  2009" xr:uid="{2EEB58DB-3DA7-4C95-A0D7-F557F890517A}"/>
    <hyperlink ref="C68:J68" r:id="rId3" display="Recommended mineral ranges are from John Palmer's &quot;How to Brew&quot;" xr:uid="{468158AC-4F48-4B8C-B98B-3D560172389C}"/>
    <hyperlink ref="C70:J70" r:id="rId4" display="Recommended Cl to SO4 ratio ranges are from John Palmer's RA spreadsheet" xr:uid="{71A96227-8BB7-4C35-8F3F-DC7AA97B0AC9}"/>
    <hyperlink ref="C74"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78</xdr:row>
                <xdr:rowOff>99060</xdr:rowOff>
              </from>
              <to>
                <xdr:col>3</xdr:col>
                <xdr:colOff>518160</xdr:colOff>
                <xdr:row>78</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56</xdr:row>
                <xdr:rowOff>175260</xdr:rowOff>
              </from>
              <to>
                <xdr:col>2</xdr:col>
                <xdr:colOff>1584960</xdr:colOff>
                <xdr:row>60</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43</xdr:row>
                    <xdr:rowOff>0</xdr:rowOff>
                  </from>
                  <to>
                    <xdr:col>5</xdr:col>
                    <xdr:colOff>693420</xdr:colOff>
                    <xdr:row>44</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36</xdr:row>
                    <xdr:rowOff>0</xdr:rowOff>
                  </from>
                  <to>
                    <xdr:col>3</xdr:col>
                    <xdr:colOff>693420</xdr:colOff>
                    <xdr:row>36</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36</xdr:row>
                    <xdr:rowOff>0</xdr:rowOff>
                  </from>
                  <to>
                    <xdr:col>4</xdr:col>
                    <xdr:colOff>693420</xdr:colOff>
                    <xdr:row>36</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36</xdr:row>
                    <xdr:rowOff>0</xdr:rowOff>
                  </from>
                  <to>
                    <xdr:col>5</xdr:col>
                    <xdr:colOff>693420</xdr:colOff>
                    <xdr:row>37</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43</xdr:row>
                    <xdr:rowOff>0</xdr:rowOff>
                  </from>
                  <to>
                    <xdr:col>4</xdr:col>
                    <xdr:colOff>693420</xdr:colOff>
                    <xdr:row>44</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43</xdr:row>
                    <xdr:rowOff>0</xdr:rowOff>
                  </from>
                  <to>
                    <xdr:col>3</xdr:col>
                    <xdr:colOff>693420</xdr:colOff>
                    <xdr:row>44</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5"/>
  <sheetViews>
    <sheetView showGridLines="0" zoomScale="85" workbookViewId="0">
      <selection activeCell="D12" sqref="D12"/>
    </sheetView>
  </sheetViews>
  <sheetFormatPr defaultRowHeight="13.2" x14ac:dyDescent="0.25"/>
  <cols>
    <col min="1" max="2" width="1.6640625" style="307" customWidth="1"/>
    <col min="3" max="3" width="29.6640625" style="308" customWidth="1"/>
    <col min="4" max="9" width="14.6640625" style="307" customWidth="1"/>
    <col min="10" max="10" width="14.88671875" style="307" customWidth="1"/>
    <col min="11" max="11" width="5.44140625" style="307" customWidth="1"/>
    <col min="12" max="12" width="9.5546875" style="307" customWidth="1"/>
    <col min="13" max="13" width="8.88671875" style="307"/>
    <col min="14" max="14" width="13.44140625" style="307" bestFit="1" customWidth="1"/>
    <col min="15" max="16384" width="8.88671875" style="307"/>
  </cols>
  <sheetData>
    <row r="1" spans="2:12" ht="21.6" thickBot="1" x14ac:dyDescent="0.45">
      <c r="C1" s="870" t="s">
        <v>1883</v>
      </c>
      <c r="D1" s="870"/>
      <c r="E1" s="870"/>
      <c r="F1" s="870"/>
      <c r="G1" s="870"/>
      <c r="H1" s="870"/>
      <c r="I1" s="870"/>
      <c r="J1" s="870"/>
      <c r="K1" s="870"/>
      <c r="L1" s="308"/>
    </row>
    <row r="2" spans="2:12" ht="15" customHeight="1" x14ac:dyDescent="0.25">
      <c r="B2" s="309"/>
      <c r="C2" s="310" t="s">
        <v>1774</v>
      </c>
      <c r="D2" s="311"/>
      <c r="E2" s="311"/>
      <c r="F2" s="311"/>
      <c r="G2" s="311"/>
      <c r="H2" s="311"/>
      <c r="I2" s="311"/>
      <c r="J2" s="311"/>
      <c r="K2" s="312"/>
      <c r="L2" s="308"/>
    </row>
    <row r="3" spans="2:12" ht="15" customHeight="1" x14ac:dyDescent="0.35">
      <c r="B3" s="313"/>
      <c r="C3" s="314"/>
      <c r="D3" s="315" t="s">
        <v>1775</v>
      </c>
      <c r="E3" s="315" t="s">
        <v>1776</v>
      </c>
      <c r="F3" s="315" t="s">
        <v>1777</v>
      </c>
      <c r="G3" s="315" t="s">
        <v>1778</v>
      </c>
      <c r="H3" s="315" t="s">
        <v>1779</v>
      </c>
      <c r="I3" s="871" t="s">
        <v>1780</v>
      </c>
      <c r="J3" s="871"/>
      <c r="K3" s="872">
        <v>2</v>
      </c>
      <c r="L3" s="308"/>
    </row>
    <row r="4" spans="2:12" ht="15" customHeight="1" x14ac:dyDescent="0.35">
      <c r="B4" s="313"/>
      <c r="C4" s="316" t="s">
        <v>1781</v>
      </c>
      <c r="D4" s="315" t="s">
        <v>1782</v>
      </c>
      <c r="E4" s="315" t="s">
        <v>1783</v>
      </c>
      <c r="F4" s="315" t="s">
        <v>1784</v>
      </c>
      <c r="G4" s="315" t="s">
        <v>1785</v>
      </c>
      <c r="H4" s="315" t="s">
        <v>1786</v>
      </c>
      <c r="I4" s="871" t="s">
        <v>1787</v>
      </c>
      <c r="J4" s="871"/>
      <c r="K4" s="872"/>
      <c r="L4" s="308"/>
    </row>
    <row r="5" spans="2:12" s="321" customFormat="1" ht="18" customHeight="1" x14ac:dyDescent="0.25">
      <c r="B5" s="317"/>
      <c r="C5" s="318" t="s">
        <v>1788</v>
      </c>
      <c r="D5" s="479">
        <f>'Recipe Sheet'!P8</f>
        <v>37</v>
      </c>
      <c r="E5" s="479">
        <f>'Recipe Sheet'!P9</f>
        <v>12</v>
      </c>
      <c r="F5" s="479">
        <f>'Recipe Sheet'!P10</f>
        <v>9</v>
      </c>
      <c r="G5" s="479">
        <f>'Recipe Sheet'!P11</f>
        <v>16</v>
      </c>
      <c r="H5" s="479">
        <f>'Recipe Sheet'!P12</f>
        <v>25</v>
      </c>
      <c r="I5" s="479">
        <f>'Recipe Sheet'!P13</f>
        <v>102</v>
      </c>
      <c r="J5" s="319"/>
      <c r="K5" s="320"/>
    </row>
    <row r="6" spans="2:12" ht="15" customHeight="1" x14ac:dyDescent="0.25">
      <c r="B6" s="313"/>
      <c r="C6" s="322" t="s">
        <v>1789</v>
      </c>
      <c r="D6" s="315"/>
      <c r="E6" s="323"/>
      <c r="F6" s="324"/>
      <c r="G6" s="324"/>
      <c r="H6" s="325"/>
      <c r="I6" s="325"/>
      <c r="J6" s="326"/>
      <c r="K6" s="327"/>
      <c r="L6" s="308"/>
    </row>
    <row r="7" spans="2:12" ht="15" customHeight="1" x14ac:dyDescent="0.25">
      <c r="B7" s="313"/>
      <c r="C7" s="316" t="s">
        <v>1790</v>
      </c>
      <c r="D7" s="315" t="s">
        <v>1791</v>
      </c>
      <c r="E7" s="315" t="s">
        <v>1792</v>
      </c>
      <c r="F7" s="315"/>
      <c r="G7" s="328"/>
      <c r="H7" s="326"/>
      <c r="I7" s="873" t="s">
        <v>1793</v>
      </c>
      <c r="J7" s="873"/>
      <c r="K7" s="874"/>
      <c r="L7" s="308"/>
    </row>
    <row r="8" spans="2:12" s="321" customFormat="1" ht="18" customHeight="1" x14ac:dyDescent="0.25">
      <c r="B8" s="317"/>
      <c r="C8" s="329" t="s">
        <v>1884</v>
      </c>
      <c r="D8" s="449" t="str">
        <f>IF('Brewhouse Setup &amp; Calcs'!$B$2="Metric",'Brewhouse Setup &amp; Calcs'!B44,"NA")</f>
        <v>NA</v>
      </c>
      <c r="E8" s="449" t="str">
        <f>IF('Brewhouse Setup &amp; Calcs'!$B$2="Metric",'Brewhouse Setup &amp; Calcs'!B49,"NA")</f>
        <v>NA</v>
      </c>
      <c r="F8" s="328"/>
      <c r="G8" s="328"/>
      <c r="H8" s="326"/>
      <c r="I8" s="873"/>
      <c r="J8" s="873"/>
      <c r="K8" s="874"/>
    </row>
    <row r="9" spans="2:12" s="321" customFormat="1" ht="18" customHeight="1" x14ac:dyDescent="0.25">
      <c r="B9" s="317"/>
      <c r="C9" s="330" t="s">
        <v>1885</v>
      </c>
      <c r="D9" s="331" t="e">
        <f>D8/3.785412</f>
        <v>#VALUE!</v>
      </c>
      <c r="E9" s="331" t="e">
        <f>E8/3.785412</f>
        <v>#VALUE!</v>
      </c>
      <c r="F9" s="328"/>
      <c r="G9" s="328"/>
      <c r="H9" s="326"/>
      <c r="I9" s="873"/>
      <c r="J9" s="873"/>
      <c r="K9" s="874"/>
    </row>
    <row r="10" spans="2:12" s="321" customFormat="1" ht="18" customHeight="1" x14ac:dyDescent="0.25">
      <c r="B10" s="317"/>
      <c r="C10" s="329" t="s">
        <v>1795</v>
      </c>
      <c r="D10" s="517">
        <v>0</v>
      </c>
      <c r="E10" s="517">
        <v>0</v>
      </c>
      <c r="F10" s="328"/>
      <c r="G10" s="328"/>
      <c r="H10" s="326"/>
      <c r="I10" s="873"/>
      <c r="J10" s="873"/>
      <c r="K10" s="874"/>
    </row>
    <row r="11" spans="2:12" s="321" customFormat="1" ht="15" customHeight="1" thickBot="1" x14ac:dyDescent="0.3">
      <c r="B11" s="332"/>
      <c r="C11" s="333"/>
      <c r="D11" s="334"/>
      <c r="E11" s="334"/>
      <c r="F11" s="334"/>
      <c r="G11" s="334"/>
      <c r="H11" s="335"/>
      <c r="I11" s="875"/>
      <c r="J11" s="875"/>
      <c r="K11" s="876"/>
    </row>
    <row r="12" spans="2:12" s="321" customFormat="1" ht="15" customHeight="1" x14ac:dyDescent="0.25">
      <c r="B12" s="336"/>
      <c r="C12" s="337" t="s">
        <v>1796</v>
      </c>
      <c r="D12" s="338"/>
      <c r="E12" s="338"/>
      <c r="F12" s="338"/>
      <c r="G12" s="339" t="s">
        <v>1797</v>
      </c>
      <c r="H12" s="340"/>
      <c r="I12" s="340" t="s">
        <v>1798</v>
      </c>
      <c r="J12" s="340" t="s">
        <v>1799</v>
      </c>
      <c r="K12" s="341"/>
    </row>
    <row r="13" spans="2:12" s="321" customFormat="1" ht="15" customHeight="1" x14ac:dyDescent="0.25">
      <c r="B13" s="342"/>
      <c r="C13" s="343"/>
      <c r="D13" s="344" t="s">
        <v>1800</v>
      </c>
      <c r="E13" s="344" t="s">
        <v>1801</v>
      </c>
      <c r="F13" s="344" t="s">
        <v>1802</v>
      </c>
      <c r="G13" s="340" t="s">
        <v>1729</v>
      </c>
      <c r="H13" s="345">
        <v>1</v>
      </c>
      <c r="I13" s="346" t="s">
        <v>1803</v>
      </c>
      <c r="J13" s="347"/>
      <c r="K13" s="348"/>
    </row>
    <row r="14" spans="2:12" s="321" customFormat="1" ht="15" customHeight="1" x14ac:dyDescent="0.25">
      <c r="B14" s="342"/>
      <c r="C14" s="349"/>
      <c r="D14" s="344" t="s">
        <v>66</v>
      </c>
      <c r="E14" s="344" t="s">
        <v>1886</v>
      </c>
      <c r="F14" s="350" t="s">
        <v>1805</v>
      </c>
      <c r="G14" s="340" t="s">
        <v>1806</v>
      </c>
      <c r="H14" s="345">
        <v>2</v>
      </c>
      <c r="I14" s="351" t="s">
        <v>1807</v>
      </c>
      <c r="J14" s="352">
        <v>5.7</v>
      </c>
      <c r="K14" s="353"/>
    </row>
    <row r="15" spans="2:12" s="321" customFormat="1" ht="18" customHeight="1" x14ac:dyDescent="0.25">
      <c r="B15" s="342"/>
      <c r="C15" s="869" t="s">
        <v>1808</v>
      </c>
      <c r="D15" s="501">
        <v>1</v>
      </c>
      <c r="E15" s="449" t="str">
        <f>IF('Brewhouse Setup &amp; Calcs'!$B$2="Metric",'Grain &amp; Sugar Calcs'!C5,"NA")</f>
        <v>NA</v>
      </c>
      <c r="F15" s="354">
        <v>0</v>
      </c>
      <c r="G15" s="355">
        <f>IF(D15=10,5.22-0.00504*F15,VLOOKUP(D15,H$13:J$23,3,FALSE))</f>
        <v>0</v>
      </c>
      <c r="H15" s="345">
        <v>3</v>
      </c>
      <c r="I15" s="351" t="s">
        <v>1809</v>
      </c>
      <c r="J15" s="352">
        <v>5.79</v>
      </c>
      <c r="K15" s="353"/>
    </row>
    <row r="16" spans="2:12" s="321" customFormat="1" ht="18" customHeight="1" x14ac:dyDescent="0.25">
      <c r="B16" s="342"/>
      <c r="C16" s="869"/>
      <c r="D16" s="501">
        <v>1</v>
      </c>
      <c r="E16" s="449" t="str">
        <f>IF('Brewhouse Setup &amp; Calcs'!$B$2="Metric",'Grain &amp; Sugar Calcs'!C6,"NA")</f>
        <v>NA</v>
      </c>
      <c r="F16" s="354">
        <v>0</v>
      </c>
      <c r="G16" s="355">
        <f t="shared" ref="G16:G23" si="0">IF(D16=10,5.22-0.00504*F16,VLOOKUP(D16,H$13:J$23,3,FALSE))</f>
        <v>0</v>
      </c>
      <c r="H16" s="345">
        <v>4</v>
      </c>
      <c r="I16" s="351" t="s">
        <v>1810</v>
      </c>
      <c r="J16" s="352">
        <v>5.77</v>
      </c>
      <c r="K16" s="353"/>
    </row>
    <row r="17" spans="2:12" s="321" customFormat="1" ht="18" customHeight="1" x14ac:dyDescent="0.25">
      <c r="B17" s="342"/>
      <c r="C17" s="869"/>
      <c r="D17" s="501">
        <v>1</v>
      </c>
      <c r="E17" s="449" t="str">
        <f>IF('Brewhouse Setup &amp; Calcs'!$B$2="Metric",'Grain &amp; Sugar Calcs'!C7,"NA")</f>
        <v>NA</v>
      </c>
      <c r="F17" s="354">
        <v>40</v>
      </c>
      <c r="G17" s="355">
        <f t="shared" si="0"/>
        <v>0</v>
      </c>
      <c r="H17" s="345">
        <v>5</v>
      </c>
      <c r="I17" s="351" t="s">
        <v>1811</v>
      </c>
      <c r="J17" s="352">
        <v>5.43</v>
      </c>
      <c r="K17" s="353"/>
    </row>
    <row r="18" spans="2:12" s="321" customFormat="1" ht="18" customHeight="1" x14ac:dyDescent="0.25">
      <c r="B18" s="342"/>
      <c r="C18" s="869"/>
      <c r="D18" s="501">
        <v>1</v>
      </c>
      <c r="E18" s="449" t="str">
        <f>IF('Brewhouse Setup &amp; Calcs'!$B$2="Metric",'Grain &amp; Sugar Calcs'!C8,"NA")</f>
        <v>NA</v>
      </c>
      <c r="F18" s="354">
        <v>0</v>
      </c>
      <c r="G18" s="355">
        <f t="shared" si="0"/>
        <v>0</v>
      </c>
      <c r="H18" s="345">
        <v>6</v>
      </c>
      <c r="I18" s="351" t="s">
        <v>1812</v>
      </c>
      <c r="J18" s="352">
        <v>5.75</v>
      </c>
      <c r="K18" s="353"/>
    </row>
    <row r="19" spans="2:12" s="321" customFormat="1" ht="18" customHeight="1" x14ac:dyDescent="0.25">
      <c r="B19" s="342"/>
      <c r="C19" s="869"/>
      <c r="D19" s="501">
        <v>1</v>
      </c>
      <c r="E19" s="449" t="str">
        <f>IF('Brewhouse Setup &amp; Calcs'!$B$2="Metric",'Grain &amp; Sugar Calcs'!C9,"NA")</f>
        <v>NA</v>
      </c>
      <c r="F19" s="354">
        <v>0</v>
      </c>
      <c r="G19" s="355">
        <f t="shared" si="0"/>
        <v>0</v>
      </c>
      <c r="H19" s="345">
        <v>7</v>
      </c>
      <c r="I19" s="351" t="s">
        <v>1813</v>
      </c>
      <c r="J19" s="352">
        <v>6.04</v>
      </c>
      <c r="K19" s="353"/>
    </row>
    <row r="20" spans="2:12" s="321" customFormat="1" ht="18" customHeight="1" x14ac:dyDescent="0.25">
      <c r="B20" s="342"/>
      <c r="C20" s="869"/>
      <c r="D20" s="501">
        <v>1</v>
      </c>
      <c r="E20" s="449" t="str">
        <f>IF('Brewhouse Setup &amp; Calcs'!$B$2="Metric",'Grain &amp; Sugar Calcs'!C10,"NA")</f>
        <v>NA</v>
      </c>
      <c r="F20" s="354">
        <v>0</v>
      </c>
      <c r="G20" s="355">
        <f t="shared" si="0"/>
        <v>0</v>
      </c>
      <c r="H20" s="345">
        <v>8</v>
      </c>
      <c r="I20" s="351" t="s">
        <v>1814</v>
      </c>
      <c r="J20" s="352">
        <v>5.56</v>
      </c>
      <c r="K20" s="353"/>
    </row>
    <row r="21" spans="2:12" s="321" customFormat="1" ht="18" customHeight="1" x14ac:dyDescent="0.25">
      <c r="B21" s="342"/>
      <c r="C21" s="869"/>
      <c r="D21" s="501">
        <v>1</v>
      </c>
      <c r="E21" s="449" t="str">
        <f>IF('Brewhouse Setup &amp; Calcs'!$B$2="Metric",'Grain &amp; Sugar Calcs'!C11,"NA")</f>
        <v>NA</v>
      </c>
      <c r="F21" s="354">
        <v>0</v>
      </c>
      <c r="G21" s="355">
        <f t="shared" si="0"/>
        <v>0</v>
      </c>
      <c r="H21" s="345">
        <v>9</v>
      </c>
      <c r="I21" s="351" t="s">
        <v>1815</v>
      </c>
      <c r="J21" s="352">
        <v>5.7</v>
      </c>
      <c r="K21" s="353"/>
    </row>
    <row r="22" spans="2:12" s="321" customFormat="1" ht="18" customHeight="1" x14ac:dyDescent="0.25">
      <c r="B22" s="342"/>
      <c r="C22" s="869"/>
      <c r="D22" s="501">
        <v>1</v>
      </c>
      <c r="E22" s="449" t="str">
        <f>IF('Brewhouse Setup &amp; Calcs'!$B$2="Metric",'Grain &amp; Sugar Calcs'!C13,"NA")</f>
        <v>NA</v>
      </c>
      <c r="F22" s="354">
        <v>0</v>
      </c>
      <c r="G22" s="355">
        <f t="shared" si="0"/>
        <v>0</v>
      </c>
      <c r="H22" s="345">
        <v>10</v>
      </c>
      <c r="I22" s="351" t="s">
        <v>1816</v>
      </c>
      <c r="J22" s="352" t="s">
        <v>1817</v>
      </c>
      <c r="K22" s="353"/>
    </row>
    <row r="23" spans="2:12" s="321" customFormat="1" ht="18" customHeight="1" x14ac:dyDescent="0.25">
      <c r="B23" s="342"/>
      <c r="C23" s="869"/>
      <c r="D23" s="501">
        <v>1</v>
      </c>
      <c r="E23" s="449" t="str">
        <f>IF('Brewhouse Setup &amp; Calcs'!$B$2="Metric",'Grain &amp; Sugar Calcs'!C14,"NA")</f>
        <v>NA</v>
      </c>
      <c r="F23" s="354">
        <v>0</v>
      </c>
      <c r="G23" s="355">
        <f t="shared" si="0"/>
        <v>0</v>
      </c>
      <c r="H23" s="345">
        <v>11</v>
      </c>
      <c r="I23" s="356" t="s">
        <v>1818</v>
      </c>
      <c r="J23" s="357">
        <v>4.71</v>
      </c>
      <c r="K23" s="353"/>
    </row>
    <row r="24" spans="2:12" s="321" customFormat="1" ht="15" customHeight="1" x14ac:dyDescent="0.25">
      <c r="B24" s="342"/>
      <c r="C24" s="358"/>
      <c r="D24" s="359" t="s">
        <v>1887</v>
      </c>
      <c r="E24" s="360">
        <f>SUM(E15:E23)</f>
        <v>0</v>
      </c>
      <c r="F24" s="361"/>
      <c r="G24" s="362"/>
      <c r="H24" s="840" t="s">
        <v>1820</v>
      </c>
      <c r="I24" s="841"/>
      <c r="J24" s="841"/>
      <c r="K24" s="842"/>
    </row>
    <row r="25" spans="2:12" s="321" customFormat="1" ht="15" customHeight="1" x14ac:dyDescent="0.25">
      <c r="B25" s="342"/>
      <c r="C25" s="358"/>
      <c r="D25" s="345" t="s">
        <v>1888</v>
      </c>
      <c r="E25" s="363">
        <f>E24*2.20462</f>
        <v>0</v>
      </c>
      <c r="F25" s="364"/>
      <c r="G25" s="362"/>
      <c r="H25" s="841"/>
      <c r="I25" s="841"/>
      <c r="J25" s="841"/>
      <c r="K25" s="842"/>
    </row>
    <row r="26" spans="2:12" s="321" customFormat="1" ht="15" customHeight="1" x14ac:dyDescent="0.25">
      <c r="B26" s="342"/>
      <c r="C26" s="358"/>
      <c r="D26" s="359" t="s">
        <v>1821</v>
      </c>
      <c r="E26" s="360" t="e">
        <f>ROUND(D8/E24,2)&amp;" l/kg"</f>
        <v>#VALUE!</v>
      </c>
      <c r="F26" s="364"/>
      <c r="G26" s="362"/>
      <c r="H26" s="841"/>
      <c r="I26" s="841"/>
      <c r="J26" s="841"/>
      <c r="K26" s="842"/>
    </row>
    <row r="27" spans="2:12" ht="15" customHeight="1" thickBot="1" x14ac:dyDescent="0.3">
      <c r="B27" s="365"/>
      <c r="C27" s="366"/>
      <c r="D27" s="367"/>
      <c r="E27" s="340" t="e">
        <f>ROUND(D9*4/E25,2)&amp;" qt/lb"</f>
        <v>#VALUE!</v>
      </c>
      <c r="F27" s="368"/>
      <c r="G27" s="368"/>
      <c r="H27" s="843"/>
      <c r="I27" s="843"/>
      <c r="J27" s="843"/>
      <c r="K27" s="844"/>
      <c r="L27" s="308"/>
    </row>
    <row r="28" spans="2:12" ht="14.25" customHeight="1" x14ac:dyDescent="0.25">
      <c r="B28" s="369"/>
      <c r="C28" s="370" t="s">
        <v>1822</v>
      </c>
      <c r="D28" s="371"/>
      <c r="E28" s="372"/>
      <c r="F28" s="373"/>
      <c r="G28" s="373"/>
      <c r="H28" s="845" t="s">
        <v>1823</v>
      </c>
      <c r="I28" s="845"/>
      <c r="J28" s="845"/>
      <c r="K28" s="846"/>
      <c r="L28" s="308"/>
    </row>
    <row r="29" spans="2:12" ht="15" customHeight="1" x14ac:dyDescent="0.25">
      <c r="B29" s="374"/>
      <c r="C29" s="375"/>
      <c r="D29" s="849" t="s">
        <v>1824</v>
      </c>
      <c r="E29" s="849" t="s">
        <v>1825</v>
      </c>
      <c r="F29" s="853" t="s">
        <v>1826</v>
      </c>
      <c r="G29" s="855" t="s">
        <v>1827</v>
      </c>
      <c r="H29" s="847"/>
      <c r="I29" s="847"/>
      <c r="J29" s="847"/>
      <c r="K29" s="848"/>
      <c r="L29" s="308"/>
    </row>
    <row r="30" spans="2:12" ht="15" customHeight="1" x14ac:dyDescent="0.25">
      <c r="B30" s="374"/>
      <c r="C30" s="376"/>
      <c r="D30" s="849"/>
      <c r="E30" s="851"/>
      <c r="F30" s="853"/>
      <c r="G30" s="855"/>
      <c r="H30" s="847"/>
      <c r="I30" s="847"/>
      <c r="J30" s="847"/>
      <c r="K30" s="848"/>
      <c r="L30" s="308"/>
    </row>
    <row r="31" spans="2:12" ht="15" customHeight="1" thickBot="1" x14ac:dyDescent="0.3">
      <c r="B31" s="374"/>
      <c r="C31" s="377"/>
      <c r="D31" s="850"/>
      <c r="E31" s="852"/>
      <c r="F31" s="854"/>
      <c r="G31" s="856"/>
      <c r="H31" s="378"/>
      <c r="I31" s="378"/>
      <c r="J31" s="378"/>
      <c r="K31" s="379"/>
      <c r="L31" s="308"/>
    </row>
    <row r="32" spans="2:12" ht="27.75" customHeight="1" thickTop="1" thickBot="1" x14ac:dyDescent="0.3">
      <c r="B32" s="374"/>
      <c r="C32" s="380"/>
      <c r="D32" s="381" t="e">
        <f>(1-D$10)*I$5*IF(K$3=1,50/61,IF(OR(K$3=0,K$3=2),1,"ERROR"))+(F$44*130+E$44*157-176.1*J37*J36*2-4160.4*H36*H38*2.5+D$44*357)/D$9</f>
        <v>#VALUE!</v>
      </c>
      <c r="E32" s="382" t="e">
        <f>D32-((D51/1.4)+(E51/1.7))</f>
        <v>#VALUE!</v>
      </c>
      <c r="F32" s="383" t="e">
        <f>(E15*G15+E16*G16+E17*G17+E18*G18+E19*G19+E20*G20+E21*G21+E22*G22+E23*G23)/E24+(0.1085*D9/E25+0.013)*E32/50</f>
        <v>#VALUE!</v>
      </c>
      <c r="G32" s="384" t="s">
        <v>1828</v>
      </c>
      <c r="H32" s="847" t="s">
        <v>1829</v>
      </c>
      <c r="I32" s="857"/>
      <c r="J32" s="857"/>
      <c r="K32" s="858"/>
      <c r="L32" s="308"/>
    </row>
    <row r="33" spans="2:12" ht="15" customHeight="1" thickTop="1" thickBot="1" x14ac:dyDescent="0.3">
      <c r="B33" s="385"/>
      <c r="C33" s="386"/>
      <c r="D33" s="386"/>
      <c r="E33" s="386"/>
      <c r="F33" s="386"/>
      <c r="G33" s="387"/>
      <c r="H33" s="859"/>
      <c r="I33" s="859"/>
      <c r="J33" s="859"/>
      <c r="K33" s="860"/>
      <c r="L33" s="308"/>
    </row>
    <row r="34" spans="2:12" ht="15" customHeight="1" x14ac:dyDescent="0.25">
      <c r="B34" s="388"/>
      <c r="C34" s="389" t="s">
        <v>1830</v>
      </c>
      <c r="D34" s="390"/>
      <c r="E34" s="390"/>
      <c r="F34" s="390"/>
      <c r="G34" s="390"/>
      <c r="H34" s="390"/>
      <c r="I34" s="391"/>
      <c r="J34" s="392"/>
      <c r="K34" s="393"/>
      <c r="L34" s="308"/>
    </row>
    <row r="35" spans="2:12" ht="15" customHeight="1" x14ac:dyDescent="0.25">
      <c r="B35" s="394"/>
      <c r="C35" s="395"/>
      <c r="D35" s="396" t="s">
        <v>1831</v>
      </c>
      <c r="E35" s="396" t="s">
        <v>1832</v>
      </c>
      <c r="F35" s="396" t="s">
        <v>1833</v>
      </c>
      <c r="G35" s="397"/>
      <c r="H35" s="397" t="s">
        <v>1834</v>
      </c>
      <c r="I35" s="398"/>
      <c r="J35" s="397" t="s">
        <v>1835</v>
      </c>
      <c r="K35" s="399"/>
      <c r="L35" s="308"/>
    </row>
    <row r="36" spans="2:12" ht="15" customHeight="1" x14ac:dyDescent="0.25">
      <c r="B36" s="394"/>
      <c r="C36" s="400" t="s">
        <v>1836</v>
      </c>
      <c r="D36" s="397" t="s">
        <v>1837</v>
      </c>
      <c r="E36" s="397" t="s">
        <v>1838</v>
      </c>
      <c r="F36" s="397" t="s">
        <v>1839</v>
      </c>
      <c r="G36" s="401" t="s">
        <v>1840</v>
      </c>
      <c r="H36" s="254">
        <v>0.02</v>
      </c>
      <c r="I36" s="402" t="s">
        <v>1840</v>
      </c>
      <c r="J36" s="256">
        <v>0.88</v>
      </c>
      <c r="K36" s="399"/>
      <c r="L36" s="308"/>
    </row>
    <row r="37" spans="2:12" s="321" customFormat="1" ht="18" customHeight="1" x14ac:dyDescent="0.25">
      <c r="B37" s="403"/>
      <c r="C37" s="401" t="s">
        <v>1841</v>
      </c>
      <c r="D37" s="519"/>
      <c r="E37" s="519"/>
      <c r="F37" s="519"/>
      <c r="G37" s="402" t="s">
        <v>1889</v>
      </c>
      <c r="H37" s="486">
        <v>0</v>
      </c>
      <c r="I37" s="402" t="s">
        <v>1843</v>
      </c>
      <c r="J37" s="519">
        <v>0</v>
      </c>
      <c r="K37" s="404"/>
    </row>
    <row r="38" spans="2:12" ht="18" customHeight="1" x14ac:dyDescent="0.25">
      <c r="B38" s="394"/>
      <c r="C38" s="401" t="s">
        <v>1844</v>
      </c>
      <c r="D38" s="500" t="b">
        <v>1</v>
      </c>
      <c r="E38" s="500" t="b">
        <v>1</v>
      </c>
      <c r="F38" s="500" t="b">
        <v>1</v>
      </c>
      <c r="G38" s="405" t="s">
        <v>1842</v>
      </c>
      <c r="H38" s="406">
        <f>H37/28.34952</f>
        <v>0</v>
      </c>
      <c r="I38" s="407" t="s">
        <v>1845</v>
      </c>
      <c r="J38" s="398"/>
      <c r="K38" s="399"/>
      <c r="L38" s="308"/>
    </row>
    <row r="39" spans="2:12" s="321" customFormat="1" ht="18" customHeight="1" x14ac:dyDescent="0.25">
      <c r="B39" s="403"/>
      <c r="C39" s="401" t="s">
        <v>1846</v>
      </c>
      <c r="D39" s="408" t="e">
        <f>IF(D38,D37/$D8*$E8,0)</f>
        <v>#VALUE!</v>
      </c>
      <c r="E39" s="408" t="e">
        <f>IF(E38,E37/$D8*$E8,0)</f>
        <v>#VALUE!</v>
      </c>
      <c r="F39" s="408" t="e">
        <f>IF(F38,F37/$D8*$E8,0)</f>
        <v>#VALUE!</v>
      </c>
      <c r="G39" s="409"/>
      <c r="H39" s="410" t="e">
        <f>"("&amp;ROUND(100*H37/E24/1000,1)&amp;"% of total wt)"</f>
        <v>#DIV/0!</v>
      </c>
      <c r="I39" s="411" t="s">
        <v>1890</v>
      </c>
      <c r="J39" s="412"/>
      <c r="K39" s="413"/>
    </row>
    <row r="40" spans="2:12" s="321" customFormat="1" ht="15" customHeight="1" thickBot="1" x14ac:dyDescent="0.3">
      <c r="B40" s="403"/>
      <c r="C40" s="414" t="s">
        <v>1848</v>
      </c>
      <c r="D40" s="409"/>
      <c r="E40" s="409"/>
      <c r="F40" s="409"/>
      <c r="G40" s="409"/>
      <c r="H40" s="415"/>
      <c r="I40" s="412"/>
      <c r="J40" s="416"/>
      <c r="K40" s="417"/>
    </row>
    <row r="41" spans="2:12" s="321" customFormat="1" ht="15" customHeight="1" x14ac:dyDescent="0.25">
      <c r="B41" s="418"/>
      <c r="C41" s="389" t="s">
        <v>1849</v>
      </c>
      <c r="D41" s="419"/>
      <c r="E41" s="419"/>
      <c r="F41" s="419"/>
      <c r="G41" s="861" t="s">
        <v>1850</v>
      </c>
      <c r="H41" s="861"/>
      <c r="I41" s="861"/>
      <c r="J41" s="861"/>
      <c r="K41" s="862"/>
    </row>
    <row r="42" spans="2:12" s="321" customFormat="1" ht="15" customHeight="1" x14ac:dyDescent="0.25">
      <c r="B42" s="403"/>
      <c r="C42" s="401"/>
      <c r="D42" s="396" t="s">
        <v>1851</v>
      </c>
      <c r="E42" s="396" t="s">
        <v>1852</v>
      </c>
      <c r="F42" s="420" t="s">
        <v>1853</v>
      </c>
      <c r="G42" s="863"/>
      <c r="H42" s="863"/>
      <c r="I42" s="863"/>
      <c r="J42" s="863"/>
      <c r="K42" s="864"/>
    </row>
    <row r="43" spans="2:12" s="321" customFormat="1" ht="15" customHeight="1" x14ac:dyDescent="0.25">
      <c r="B43" s="394"/>
      <c r="C43" s="400" t="s">
        <v>1836</v>
      </c>
      <c r="D43" s="397" t="s">
        <v>1854</v>
      </c>
      <c r="E43" s="397" t="s">
        <v>1855</v>
      </c>
      <c r="F43" s="421" t="s">
        <v>1856</v>
      </c>
      <c r="G43" s="863"/>
      <c r="H43" s="863"/>
      <c r="I43" s="863"/>
      <c r="J43" s="863"/>
      <c r="K43" s="864"/>
    </row>
    <row r="44" spans="2:12" s="321" customFormat="1" ht="18" customHeight="1" x14ac:dyDescent="0.25">
      <c r="B44" s="403"/>
      <c r="C44" s="401" t="s">
        <v>1841</v>
      </c>
      <c r="D44" s="519"/>
      <c r="E44" s="519"/>
      <c r="F44" s="519"/>
      <c r="G44" s="422"/>
      <c r="H44" s="422"/>
      <c r="I44" s="422"/>
      <c r="J44" s="409"/>
      <c r="K44" s="404"/>
    </row>
    <row r="45" spans="2:12" s="321" customFormat="1" ht="18" customHeight="1" x14ac:dyDescent="0.25">
      <c r="B45" s="394"/>
      <c r="C45" s="401" t="s">
        <v>1844</v>
      </c>
      <c r="D45" s="500" t="b">
        <v>1</v>
      </c>
      <c r="E45" s="500" t="b">
        <v>1</v>
      </c>
      <c r="F45" s="500" t="b">
        <v>1</v>
      </c>
      <c r="G45" s="422"/>
      <c r="H45" s="422"/>
      <c r="I45" s="422"/>
      <c r="J45" s="409"/>
      <c r="K45" s="404"/>
    </row>
    <row r="46" spans="2:12" s="321" customFormat="1" ht="18" customHeight="1" x14ac:dyDescent="0.25">
      <c r="B46" s="403"/>
      <c r="C46" s="401" t="s">
        <v>1846</v>
      </c>
      <c r="D46" s="408" t="e">
        <f>IF(D45,D44/$D8*$E8,0)</f>
        <v>#VALUE!</v>
      </c>
      <c r="E46" s="408" t="e">
        <f>IF(E45,E44/$D8*$E8,0)</f>
        <v>#VALUE!</v>
      </c>
      <c r="F46" s="408" t="e">
        <f>IF(F45,F44/$D8*$E8,0)</f>
        <v>#VALUE!</v>
      </c>
      <c r="G46" s="409"/>
      <c r="H46" s="397"/>
      <c r="I46" s="397"/>
      <c r="J46" s="409"/>
      <c r="K46" s="404"/>
    </row>
    <row r="47" spans="2:12" ht="15" customHeight="1" thickBot="1" x14ac:dyDescent="0.3">
      <c r="B47" s="403"/>
      <c r="C47" s="414" t="s">
        <v>1848</v>
      </c>
      <c r="D47" s="423"/>
      <c r="E47" s="423"/>
      <c r="F47" s="424"/>
      <c r="G47" s="425"/>
      <c r="H47" s="423"/>
      <c r="I47" s="424"/>
      <c r="J47" s="424"/>
      <c r="K47" s="426"/>
      <c r="L47" s="308"/>
    </row>
    <row r="48" spans="2:12" ht="15" customHeight="1" x14ac:dyDescent="0.25">
      <c r="B48" s="309"/>
      <c r="C48" s="310" t="s">
        <v>1857</v>
      </c>
      <c r="D48" s="311"/>
      <c r="E48" s="311"/>
      <c r="F48" s="311"/>
      <c r="G48" s="311"/>
      <c r="H48" s="311"/>
      <c r="I48" s="311"/>
      <c r="J48" s="311"/>
      <c r="K48" s="427"/>
      <c r="L48" s="308"/>
    </row>
    <row r="49" spans="2:14" ht="15" customHeight="1" x14ac:dyDescent="0.25">
      <c r="B49" s="313"/>
      <c r="C49" s="314"/>
      <c r="D49" s="315" t="s">
        <v>1775</v>
      </c>
      <c r="E49" s="315" t="s">
        <v>1776</v>
      </c>
      <c r="F49" s="315" t="s">
        <v>1777</v>
      </c>
      <c r="G49" s="315" t="s">
        <v>1778</v>
      </c>
      <c r="H49" s="315" t="s">
        <v>1779</v>
      </c>
      <c r="I49" s="865" t="s">
        <v>1858</v>
      </c>
      <c r="J49" s="865"/>
      <c r="K49" s="428"/>
      <c r="L49" s="308"/>
    </row>
    <row r="50" spans="2:14" s="429" customFormat="1" ht="15" customHeight="1" x14ac:dyDescent="0.35">
      <c r="B50" s="430"/>
      <c r="C50" s="431"/>
      <c r="D50" s="315" t="s">
        <v>1782</v>
      </c>
      <c r="E50" s="315" t="s">
        <v>1783</v>
      </c>
      <c r="F50" s="315" t="s">
        <v>1784</v>
      </c>
      <c r="G50" s="315" t="s">
        <v>1785</v>
      </c>
      <c r="H50" s="315" t="s">
        <v>1786</v>
      </c>
      <c r="I50" s="866" t="s">
        <v>1859</v>
      </c>
      <c r="J50" s="866"/>
      <c r="K50" s="320"/>
      <c r="L50" s="321"/>
      <c r="M50" s="321"/>
    </row>
    <row r="51" spans="2:14" s="321" customFormat="1" ht="18" customHeight="1" thickBot="1" x14ac:dyDescent="0.3">
      <c r="B51" s="317"/>
      <c r="C51" s="329" t="s">
        <v>1860</v>
      </c>
      <c r="D51" s="432" t="e">
        <f>(1-D$10)*D$5+(F$44*105.89+D$37*60+E$37*72+D$44*143)/D$9</f>
        <v>#VALUE!</v>
      </c>
      <c r="E51" s="432" t="e">
        <f>(1-D$10)*E$5+F$37*24.6/D$9</f>
        <v>#VALUE!</v>
      </c>
      <c r="F51" s="432" t="e">
        <f>(1-D$10)*F$5+E$44*72.3/D$9</f>
        <v>#VALUE!</v>
      </c>
      <c r="G51" s="432" t="e">
        <f>(1-D$10)*G$5+E$37*127.47/D$9</f>
        <v>#VALUE!</v>
      </c>
      <c r="H51" s="432" t="e">
        <f>(1-D$10)*H$5+(D$37*147.4+F$37*103)/D$9</f>
        <v>#VALUE!</v>
      </c>
      <c r="I51" s="867" t="e">
        <f>G51/H51</f>
        <v>#VALUE!</v>
      </c>
      <c r="J51" s="868"/>
      <c r="K51" s="320"/>
    </row>
    <row r="52" spans="2:14" s="321" customFormat="1" ht="18" customHeight="1" thickBot="1" x14ac:dyDescent="0.3">
      <c r="B52" s="317"/>
      <c r="C52" s="329" t="s">
        <v>1861</v>
      </c>
      <c r="D52" s="433" t="e">
        <f>IF(E8=0,D51,(1-(((D$10*D$9)+(E$10*E$9))/(D$9+E$9)))*D$5+((F$44+F$46)*105.89+(D$37+D$39)*60+(E$37+E$39)*72+(D$44+D$46)*143)/(D$9+E$9))</f>
        <v>#VALUE!</v>
      </c>
      <c r="E52" s="433" t="e">
        <f>IF(E8=0,E51,(1-(((D$10*D$9)+(E$10*E$9))/(D$9+E$9)))*E$5+(F$37+F$39)*24.6/(D$9+E$9))</f>
        <v>#VALUE!</v>
      </c>
      <c r="F52" s="433" t="e">
        <f>IF(E8=0,F51,(1-(((D$10*D$9)+(E$10*E$9))/(D$9+E$9)))*F$5+(E$44+E$46)*72.3/(D$9+E$9))</f>
        <v>#VALUE!</v>
      </c>
      <c r="G52" s="433" t="e">
        <f>IF(E8=0,G51,(1-(((D$10*D$9)+(E$10*E$9))/(D$9+E$9)))*G$5+(E$37+E$39)*127.47/(D$9+E$9))</f>
        <v>#VALUE!</v>
      </c>
      <c r="H52" s="433" t="e">
        <f>IF(E8=0,H51,(1-(((D$10*D$9)+(E$10*E$9))/(D$9+E$9)))*H$5+((D$37+D$39)*147.4+(F$37+F$39)*103)/(D$9+E$9))</f>
        <v>#VALUE!</v>
      </c>
      <c r="I52" s="838" t="e">
        <f>G52/H52</f>
        <v>#VALUE!</v>
      </c>
      <c r="J52" s="839"/>
      <c r="K52" s="320"/>
      <c r="M52" s="308"/>
    </row>
    <row r="53" spans="2:14" ht="18" customHeight="1" x14ac:dyDescent="0.25">
      <c r="B53" s="313"/>
      <c r="C53" s="434" t="s">
        <v>1862</v>
      </c>
      <c r="D53" s="435" t="s">
        <v>1863</v>
      </c>
      <c r="E53" s="436" t="s">
        <v>1864</v>
      </c>
      <c r="F53" s="435" t="s">
        <v>1865</v>
      </c>
      <c r="G53" s="435" t="s">
        <v>1866</v>
      </c>
      <c r="H53" s="437" t="s">
        <v>1867</v>
      </c>
      <c r="I53" s="828" t="e">
        <f>IF(I52&lt;0.77,"Below .77, May enhance bitterness", IF(I52&lt;1.3,".77 to 1.3 = Balanced","Above 1.3 may enhance maltiness"))</f>
        <v>#VALUE!</v>
      </c>
      <c r="J53" s="829"/>
      <c r="K53" s="428"/>
      <c r="L53" s="308"/>
    </row>
    <row r="54" spans="2:14" ht="15" customHeight="1" x14ac:dyDescent="0.25">
      <c r="B54" s="313"/>
      <c r="C54" s="830" t="s">
        <v>1868</v>
      </c>
      <c r="D54" s="830"/>
      <c r="E54" s="830"/>
      <c r="F54" s="830"/>
      <c r="G54" s="830"/>
      <c r="H54" s="830"/>
      <c r="I54" s="830"/>
      <c r="J54" s="830"/>
      <c r="K54" s="831"/>
      <c r="L54" s="308"/>
      <c r="M54" s="321"/>
      <c r="N54" s="321"/>
    </row>
    <row r="55" spans="2:14" ht="15" customHeight="1" thickBot="1" x14ac:dyDescent="0.3">
      <c r="B55" s="438"/>
      <c r="C55" s="832"/>
      <c r="D55" s="832"/>
      <c r="E55" s="832"/>
      <c r="F55" s="832"/>
      <c r="G55" s="832"/>
      <c r="H55" s="832"/>
      <c r="I55" s="833"/>
      <c r="J55" s="833"/>
      <c r="K55" s="834"/>
    </row>
    <row r="56" spans="2:14" s="439" customFormat="1" ht="15" customHeight="1" x14ac:dyDescent="0.25">
      <c r="C56" s="440"/>
      <c r="D56" s="440"/>
      <c r="E56" s="440"/>
      <c r="F56" s="440"/>
      <c r="G56" s="440"/>
      <c r="H56" s="440"/>
      <c r="I56" s="441"/>
      <c r="J56" s="441"/>
      <c r="K56" s="441"/>
    </row>
    <row r="57" spans="2:14" s="439" customFormat="1" ht="23.25" customHeight="1" x14ac:dyDescent="0.25">
      <c r="C57" s="835" t="s">
        <v>1869</v>
      </c>
      <c r="D57" s="835"/>
      <c r="E57" s="835"/>
      <c r="F57" s="835"/>
      <c r="G57" s="835"/>
      <c r="H57" s="835"/>
      <c r="I57" s="835"/>
      <c r="J57" s="835"/>
      <c r="K57" s="835"/>
    </row>
    <row r="58" spans="2:14" ht="15" customHeight="1" x14ac:dyDescent="0.25">
      <c r="C58" s="442"/>
      <c r="D58" s="442"/>
      <c r="E58" s="442"/>
      <c r="F58" s="442"/>
      <c r="G58" s="442"/>
      <c r="H58" s="442"/>
      <c r="I58" s="308"/>
      <c r="J58" s="308"/>
      <c r="K58" s="308"/>
    </row>
    <row r="59" spans="2:14" ht="15" customHeight="1" x14ac:dyDescent="0.25">
      <c r="C59" s="442"/>
      <c r="D59" s="443" t="s">
        <v>1870</v>
      </c>
      <c r="E59" s="444"/>
      <c r="F59" s="444"/>
      <c r="G59" s="442"/>
      <c r="H59" s="442"/>
      <c r="I59" s="308"/>
      <c r="J59" s="308"/>
      <c r="K59" s="308"/>
    </row>
    <row r="60" spans="2:14" ht="15" customHeight="1" x14ac:dyDescent="0.25">
      <c r="C60" s="442"/>
      <c r="D60" s="444"/>
      <c r="E60" s="444"/>
      <c r="F60" s="444"/>
      <c r="G60" s="442"/>
      <c r="H60" s="442"/>
      <c r="I60" s="308"/>
      <c r="J60" s="308"/>
      <c r="K60" s="308"/>
    </row>
    <row r="61" spans="2:14" ht="15" customHeight="1" x14ac:dyDescent="0.25">
      <c r="C61" s="442"/>
      <c r="D61" s="444"/>
      <c r="E61" s="444"/>
      <c r="F61" s="444"/>
      <c r="G61" s="442"/>
      <c r="H61" s="442"/>
      <c r="I61" s="308"/>
      <c r="J61" s="308"/>
      <c r="K61" s="308"/>
    </row>
    <row r="62" spans="2:14" ht="15" customHeight="1" x14ac:dyDescent="0.25">
      <c r="C62" s="442"/>
      <c r="D62" s="444"/>
      <c r="E62" s="444"/>
      <c r="F62" s="442"/>
      <c r="G62" s="442"/>
      <c r="H62" s="442"/>
      <c r="I62" s="308"/>
      <c r="J62" s="308"/>
      <c r="K62" s="308"/>
    </row>
    <row r="63" spans="2:14" ht="15" customHeight="1" x14ac:dyDescent="0.25">
      <c r="C63" s="443" t="s">
        <v>1871</v>
      </c>
      <c r="D63" s="444"/>
      <c r="E63" s="444"/>
      <c r="F63" s="442"/>
      <c r="G63" s="442"/>
      <c r="H63" s="442"/>
      <c r="I63" s="308"/>
      <c r="J63" s="308"/>
      <c r="K63" s="308"/>
    </row>
    <row r="64" spans="2:14" ht="41.25" customHeight="1" x14ac:dyDescent="0.25">
      <c r="C64" s="442"/>
      <c r="D64" s="444"/>
      <c r="E64" s="444"/>
      <c r="F64" s="442"/>
      <c r="G64" s="442"/>
      <c r="H64" s="442"/>
      <c r="I64" s="308"/>
      <c r="J64" s="308"/>
      <c r="K64" s="308"/>
    </row>
    <row r="65" spans="1:11" ht="21.75" customHeight="1" x14ac:dyDescent="0.3">
      <c r="C65" s="836" t="s">
        <v>1872</v>
      </c>
      <c r="D65" s="836"/>
      <c r="E65" s="836"/>
      <c r="F65" s="836"/>
      <c r="G65" s="836"/>
      <c r="H65" s="836"/>
      <c r="I65" s="836"/>
      <c r="J65" s="836"/>
    </row>
    <row r="66" spans="1:11" ht="12" customHeight="1" x14ac:dyDescent="0.25">
      <c r="C66" s="837" t="s">
        <v>1873</v>
      </c>
      <c r="D66" s="837"/>
      <c r="E66" s="837"/>
      <c r="F66" s="837"/>
      <c r="G66" s="837"/>
      <c r="H66" s="837"/>
      <c r="I66" s="837"/>
      <c r="J66" s="837"/>
      <c r="K66" s="837"/>
    </row>
    <row r="67" spans="1:11" ht="12" customHeight="1" x14ac:dyDescent="0.25">
      <c r="C67" s="775" t="s">
        <v>1874</v>
      </c>
      <c r="D67" s="775"/>
      <c r="E67" s="775"/>
      <c r="F67" s="775"/>
      <c r="G67" s="775"/>
      <c r="H67" s="775"/>
      <c r="I67" s="775"/>
      <c r="J67" s="775"/>
      <c r="K67" s="775"/>
    </row>
    <row r="68" spans="1:11" x14ac:dyDescent="0.25">
      <c r="A68" s="445"/>
      <c r="B68" s="445"/>
      <c r="C68" s="446" t="s">
        <v>1875</v>
      </c>
      <c r="D68" s="301"/>
      <c r="E68" s="301"/>
      <c r="F68" s="301"/>
      <c r="G68" s="447"/>
      <c r="H68" s="447"/>
      <c r="I68" s="447"/>
      <c r="J68" s="447"/>
      <c r="K68" s="447"/>
    </row>
    <row r="69" spans="1:11" x14ac:dyDescent="0.25">
      <c r="C69" s="776" t="s">
        <v>1876</v>
      </c>
      <c r="D69" s="776"/>
      <c r="E69" s="776"/>
      <c r="F69" s="776"/>
      <c r="G69" s="776"/>
      <c r="H69" s="776"/>
      <c r="I69" s="776"/>
      <c r="J69" s="776"/>
    </row>
    <row r="70" spans="1:11" x14ac:dyDescent="0.25">
      <c r="C70" s="446" t="s">
        <v>1877</v>
      </c>
      <c r="D70" s="305"/>
      <c r="E70" s="305"/>
      <c r="F70" s="305"/>
      <c r="G70" s="305"/>
      <c r="H70" s="305"/>
      <c r="I70" s="305"/>
      <c r="J70" s="305"/>
    </row>
    <row r="71" spans="1:11" x14ac:dyDescent="0.25">
      <c r="C71" s="776" t="s">
        <v>1878</v>
      </c>
      <c r="D71" s="776"/>
      <c r="E71" s="776"/>
      <c r="F71" s="776"/>
      <c r="G71" s="776"/>
      <c r="H71" s="776"/>
      <c r="I71" s="776"/>
      <c r="J71" s="776"/>
    </row>
    <row r="73" spans="1:11" x14ac:dyDescent="0.25">
      <c r="C73" s="306" t="s">
        <v>1879</v>
      </c>
    </row>
    <row r="74" spans="1:11" ht="12.75" customHeight="1" x14ac:dyDescent="0.25">
      <c r="C74" s="446" t="s">
        <v>1891</v>
      </c>
    </row>
    <row r="75" spans="1:11" x14ac:dyDescent="0.25">
      <c r="C75" s="306" t="s">
        <v>1881</v>
      </c>
    </row>
  </sheetData>
  <sheetProtection sheet="1" objects="1" scenarios="1"/>
  <mergeCells count="27">
    <mergeCell ref="C15:C23"/>
    <mergeCell ref="C1:K1"/>
    <mergeCell ref="I3:J3"/>
    <mergeCell ref="K3:K4"/>
    <mergeCell ref="I4:J4"/>
    <mergeCell ref="I7:K11"/>
    <mergeCell ref="I52:J52"/>
    <mergeCell ref="H24:K27"/>
    <mergeCell ref="H28:K30"/>
    <mergeCell ref="D29:D31"/>
    <mergeCell ref="E29:E31"/>
    <mergeCell ref="F29:F31"/>
    <mergeCell ref="G29:G31"/>
    <mergeCell ref="H32:K33"/>
    <mergeCell ref="G41:K43"/>
    <mergeCell ref="I49:J49"/>
    <mergeCell ref="I50:J50"/>
    <mergeCell ref="I51:J51"/>
    <mergeCell ref="C67:K67"/>
    <mergeCell ref="C69:J69"/>
    <mergeCell ref="C71:J71"/>
    <mergeCell ref="I53:J53"/>
    <mergeCell ref="C54:K54"/>
    <mergeCell ref="C55:K55"/>
    <mergeCell ref="C57:K57"/>
    <mergeCell ref="C65:J65"/>
    <mergeCell ref="C66:K66"/>
  </mergeCells>
  <conditionalFormatting sqref="D53">
    <cfRule type="expression" dxfId="22" priority="1" stopIfTrue="1">
      <formula>OR(D$52&lt;49.5,D$52&gt;150.5)</formula>
    </cfRule>
  </conditionalFormatting>
  <conditionalFormatting sqref="E53">
    <cfRule type="expression" dxfId="21" priority="2" stopIfTrue="1">
      <formula>OR(E$52&lt;9.5,E$52&gt;30.5)</formula>
    </cfRule>
  </conditionalFormatting>
  <conditionalFormatting sqref="F53">
    <cfRule type="expression" dxfId="20" priority="3" stopIfTrue="1">
      <formula>OR(F$52&lt;0,F$52&gt;150.5)</formula>
    </cfRule>
  </conditionalFormatting>
  <conditionalFormatting sqref="G53">
    <cfRule type="expression" dxfId="19" priority="4" stopIfTrue="1">
      <formula>OR(G$52&lt;0,G$52&gt;250.5)</formula>
    </cfRule>
  </conditionalFormatting>
  <conditionalFormatting sqref="H53">
    <cfRule type="expression" dxfId="18" priority="5" stopIfTrue="1">
      <formula>OR(H$52&lt;49.5,H$52&gt;350.5)</formula>
    </cfRule>
  </conditionalFormatting>
  <conditionalFormatting sqref="F15:F23">
    <cfRule type="expression" dxfId="17" priority="6" stopIfTrue="1">
      <formula>AND($D15=10)</formula>
    </cfRule>
  </conditionalFormatting>
  <conditionalFormatting sqref="G32">
    <cfRule type="expression" dxfId="16" priority="7" stopIfTrue="1">
      <formula>OR(F$32&lt;5.4,F$32&gt;5.6)</formula>
    </cfRule>
  </conditionalFormatting>
  <hyperlinks>
    <hyperlink ref="C73" r:id="rId1" xr:uid="{F6E05BDE-2EA2-4FCE-A766-18A7BF1E0AA5}"/>
    <hyperlink ref="C67:J67" r:id="rId2" display="Calculations for Alkalinity, RA, and pH were based on Kai Troester's paper: &quot;The effect of brewing water and grist composition on the pH of the mash&quot;  2009" xr:uid="{04B00ABD-8DE7-4C34-AA4A-A5A5825CC01A}"/>
    <hyperlink ref="C69:J69" r:id="rId3" display="Recommended mineral ranges are from John Palmer's &quot;How to Brew&quot;" xr:uid="{CC56FE8E-3B21-493B-A25A-13992D965E8E}"/>
    <hyperlink ref="C71:J71" r:id="rId4" display="Recommended Cl to SO4 ratio ranges are from John Palmer's RA spreadsheet" xr:uid="{1DD17D5C-B71E-4566-8566-E3A0EE0723F6}"/>
    <hyperlink ref="C75"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57</xdr:row>
                <xdr:rowOff>182880</xdr:rowOff>
              </from>
              <to>
                <xdr:col>2</xdr:col>
                <xdr:colOff>1607820</xdr:colOff>
                <xdr:row>61</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37</xdr:row>
                    <xdr:rowOff>0</xdr:rowOff>
                  </from>
                  <to>
                    <xdr:col>3</xdr:col>
                    <xdr:colOff>693420</xdr:colOff>
                    <xdr:row>38</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37</xdr:row>
                    <xdr:rowOff>0</xdr:rowOff>
                  </from>
                  <to>
                    <xdr:col>4</xdr:col>
                    <xdr:colOff>693420</xdr:colOff>
                    <xdr:row>38</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254"/>
  <sheetViews>
    <sheetView zoomScale="120" zoomScaleNormal="120" workbookViewId="0">
      <pane ySplit="1" topLeftCell="A126" activePane="bottomLeft" state="frozen"/>
      <selection pane="bottomLeft" activeCell="A147" sqref="A147"/>
    </sheetView>
  </sheetViews>
  <sheetFormatPr defaultRowHeight="13.2" x14ac:dyDescent="0.25"/>
  <cols>
    <col min="1" max="1" width="43.77734375" customWidth="1"/>
    <col min="2" max="2" width="15.77734375" customWidth="1"/>
    <col min="3" max="3" width="11.21875" customWidth="1"/>
    <col min="4" max="4" width="7.5546875" customWidth="1"/>
    <col min="5" max="5" width="8.5546875" customWidth="1"/>
    <col min="6" max="6" width="6.77734375" style="4" customWidth="1"/>
    <col min="7" max="7" width="7" style="4" customWidth="1"/>
    <col min="8" max="8" width="10.6640625" style="545" customWidth="1"/>
    <col min="9" max="9" width="52.88671875" customWidth="1"/>
    <col min="10" max="10" width="68.109375" customWidth="1"/>
    <col min="11" max="29" width="4.88671875" customWidth="1"/>
    <col min="34" max="34" width="10.109375" customWidth="1"/>
  </cols>
  <sheetData>
    <row r="1" spans="1:9" s="77" customFormat="1" ht="40.799999999999997" customHeight="1" x14ac:dyDescent="0.25">
      <c r="A1" s="79" t="s">
        <v>1357</v>
      </c>
      <c r="B1" s="79" t="s">
        <v>1306</v>
      </c>
      <c r="C1" s="79" t="s">
        <v>1356</v>
      </c>
      <c r="D1" s="79" t="s">
        <v>1594</v>
      </c>
      <c r="E1" s="79" t="s">
        <v>1589</v>
      </c>
      <c r="F1" s="79" t="s">
        <v>1584</v>
      </c>
      <c r="G1" s="79" t="s">
        <v>2131</v>
      </c>
      <c r="H1" s="79" t="s">
        <v>2135</v>
      </c>
      <c r="I1" s="79" t="s">
        <v>1305</v>
      </c>
    </row>
    <row r="2" spans="1:9" s="77" customFormat="1" x14ac:dyDescent="0.25">
      <c r="A2" s="20" t="s">
        <v>1399</v>
      </c>
      <c r="B2" s="20" t="s">
        <v>1307</v>
      </c>
      <c r="C2" s="41" t="s">
        <v>89</v>
      </c>
      <c r="D2" s="106">
        <v>0.76</v>
      </c>
      <c r="E2" s="106">
        <v>0.1</v>
      </c>
      <c r="F2" s="104">
        <f>(grains_table[[#This Row],[Extract %]]*46.214)/1000+1</f>
        <v>1.03512264</v>
      </c>
      <c r="G2" s="4">
        <v>3.3</v>
      </c>
      <c r="H2" s="451">
        <v>0</v>
      </c>
      <c r="I2" s="97" t="s">
        <v>1348</v>
      </c>
    </row>
    <row r="3" spans="1:9" s="77" customFormat="1" x14ac:dyDescent="0.25">
      <c r="A3" s="20" t="s">
        <v>1400</v>
      </c>
      <c r="B3" s="20" t="s">
        <v>1352</v>
      </c>
      <c r="C3" s="41" t="s">
        <v>89</v>
      </c>
      <c r="D3" s="106">
        <v>0.76</v>
      </c>
      <c r="E3" s="106">
        <v>0.08</v>
      </c>
      <c r="F3" s="104">
        <f>(grains_table[[#This Row],[Extract %]]*46.214)/1000+1</f>
        <v>1.03512264</v>
      </c>
      <c r="G3" s="4">
        <v>4</v>
      </c>
      <c r="H3" s="451">
        <v>0</v>
      </c>
      <c r="I3" s="98" t="s">
        <v>1387</v>
      </c>
    </row>
    <row r="4" spans="1:9" ht="13.2" customHeight="1" x14ac:dyDescent="0.25">
      <c r="A4" s="20" t="s">
        <v>2004</v>
      </c>
      <c r="B4" t="s">
        <v>1974</v>
      </c>
      <c r="C4" s="4" t="s">
        <v>89</v>
      </c>
      <c r="D4" s="103">
        <v>0.26</v>
      </c>
      <c r="E4" s="103">
        <v>6.5000000000000002E-2</v>
      </c>
      <c r="F4" s="104">
        <f>(grains_table[[#This Row],[Extract %]]*46.214)/1000+1</f>
        <v>1.01201564</v>
      </c>
      <c r="G4" s="4">
        <v>2.2000000000000002</v>
      </c>
      <c r="H4" s="451">
        <v>0</v>
      </c>
      <c r="I4" s="97" t="s">
        <v>1975</v>
      </c>
    </row>
    <row r="5" spans="1:9" ht="13.2" customHeight="1" x14ac:dyDescent="0.25">
      <c r="A5" s="20" t="s">
        <v>1595</v>
      </c>
      <c r="B5" s="20" t="s">
        <v>1310</v>
      </c>
      <c r="C5" s="41" t="s">
        <v>89</v>
      </c>
      <c r="D5" s="106">
        <v>0.79</v>
      </c>
      <c r="E5" s="106">
        <v>4.4999999999999998E-2</v>
      </c>
      <c r="F5" s="104">
        <f>(grains_table[[#This Row],[Extract %]]*46.214)/1000+1</f>
        <v>1.03650906</v>
      </c>
      <c r="G5" s="4">
        <v>19</v>
      </c>
      <c r="H5" s="451">
        <v>0</v>
      </c>
      <c r="I5" s="97" t="s">
        <v>1345</v>
      </c>
    </row>
    <row r="6" spans="1:9" ht="13.2" customHeight="1" x14ac:dyDescent="0.25">
      <c r="A6" s="20" t="s">
        <v>1549</v>
      </c>
      <c r="B6" s="20" t="s">
        <v>1308</v>
      </c>
      <c r="C6" s="41" t="s">
        <v>89</v>
      </c>
      <c r="D6" s="106">
        <v>0.7</v>
      </c>
      <c r="E6" s="106">
        <v>0.05</v>
      </c>
      <c r="F6" s="104">
        <f>(grains_table[[#This Row],[Extract %]]*46.214)/1000+1</f>
        <v>1.0323498</v>
      </c>
      <c r="G6" s="4">
        <v>22.8</v>
      </c>
      <c r="H6" s="451"/>
      <c r="I6" s="97" t="s">
        <v>1323</v>
      </c>
    </row>
    <row r="7" spans="1:9" ht="13.2" customHeight="1" x14ac:dyDescent="0.25">
      <c r="A7" s="20" t="s">
        <v>1401</v>
      </c>
      <c r="B7" s="20" t="s">
        <v>1310</v>
      </c>
      <c r="C7" s="41" t="s">
        <v>89</v>
      </c>
      <c r="D7" s="106">
        <v>0.77</v>
      </c>
      <c r="E7" s="106">
        <v>4.4999999999999998E-2</v>
      </c>
      <c r="F7" s="104">
        <f>(grains_table[[#This Row],[Extract %]]*46.214)/1000+1</f>
        <v>1.03558478</v>
      </c>
      <c r="G7" s="4">
        <v>38</v>
      </c>
      <c r="H7" s="451">
        <v>0</v>
      </c>
      <c r="I7" s="97" t="s">
        <v>1345</v>
      </c>
    </row>
    <row r="8" spans="1:9" ht="13.2" customHeight="1" x14ac:dyDescent="0.25">
      <c r="A8" s="20" t="s">
        <v>1571</v>
      </c>
      <c r="B8" s="20" t="s">
        <v>1310</v>
      </c>
      <c r="C8" s="41" t="s">
        <v>89</v>
      </c>
      <c r="D8" s="106">
        <v>0.77</v>
      </c>
      <c r="E8" s="106">
        <v>4.4999999999999998E-2</v>
      </c>
      <c r="F8" s="104">
        <f>(grains_table[[#This Row],[Extract %]]*46.214)/1000+1</f>
        <v>1.03558478</v>
      </c>
      <c r="G8" s="4">
        <v>57</v>
      </c>
      <c r="H8" s="451">
        <v>0</v>
      </c>
      <c r="I8" s="97" t="s">
        <v>1345</v>
      </c>
    </row>
    <row r="9" spans="1:9" ht="13.2" customHeight="1" x14ac:dyDescent="0.25">
      <c r="A9" s="20" t="s">
        <v>1978</v>
      </c>
      <c r="B9" t="s">
        <v>1974</v>
      </c>
      <c r="C9" s="4" t="s">
        <v>89</v>
      </c>
      <c r="D9" s="103">
        <v>0.81</v>
      </c>
      <c r="E9" s="103">
        <v>0.03</v>
      </c>
      <c r="F9" s="104">
        <f>(grains_table[[#This Row],[Extract %]]*46.214)/1000+1</f>
        <v>1.03743334</v>
      </c>
      <c r="G9" s="4">
        <v>17.8</v>
      </c>
      <c r="H9" s="451">
        <f>(150+16)/3.5</f>
        <v>47.428571428571431</v>
      </c>
      <c r="I9" s="97" t="s">
        <v>1975</v>
      </c>
    </row>
    <row r="10" spans="1:9" ht="13.2" customHeight="1" x14ac:dyDescent="0.25">
      <c r="A10" s="20" t="s">
        <v>1572</v>
      </c>
      <c r="B10" s="20" t="s">
        <v>1307</v>
      </c>
      <c r="C10" s="41" t="s">
        <v>89</v>
      </c>
      <c r="D10" s="106">
        <v>0.78</v>
      </c>
      <c r="E10" s="106">
        <v>7.0000000000000007E-2</v>
      </c>
      <c r="F10" s="104">
        <f>(grains_table[[#This Row],[Extract %]]*46.214)/1000+1</f>
        <v>1.03604692</v>
      </c>
      <c r="G10" s="4">
        <v>1.8</v>
      </c>
      <c r="H10" s="451"/>
      <c r="I10" s="97" t="s">
        <v>1348</v>
      </c>
    </row>
    <row r="11" spans="1:9" ht="13.2" customHeight="1" x14ac:dyDescent="0.25">
      <c r="A11" s="20" t="s">
        <v>1596</v>
      </c>
      <c r="B11" s="20" t="s">
        <v>1310</v>
      </c>
      <c r="C11" s="41" t="s">
        <v>89</v>
      </c>
      <c r="D11" s="106">
        <v>0.75</v>
      </c>
      <c r="E11" s="106">
        <v>4.4999999999999998E-2</v>
      </c>
      <c r="F11" s="104">
        <f>(grains_table[[#This Row],[Extract %]]*46.214)/1000+1</f>
        <v>1.0346605</v>
      </c>
      <c r="G11" s="4">
        <v>23</v>
      </c>
      <c r="H11" s="451">
        <v>0</v>
      </c>
      <c r="I11" s="97" t="s">
        <v>1347</v>
      </c>
    </row>
    <row r="12" spans="1:9" ht="13.2" customHeight="1" x14ac:dyDescent="0.25">
      <c r="A12" s="20" t="s">
        <v>1979</v>
      </c>
      <c r="B12" t="s">
        <v>1974</v>
      </c>
      <c r="C12" s="4" t="s">
        <v>89</v>
      </c>
      <c r="D12" s="103">
        <v>0.74</v>
      </c>
      <c r="E12" s="103">
        <v>0.05</v>
      </c>
      <c r="F12" s="104">
        <f>(grains_table[[#This Row],[Extract %]]*46.214)/1000+1</f>
        <v>1.03419836</v>
      </c>
      <c r="G12" s="4">
        <v>24.9</v>
      </c>
      <c r="H12" s="451">
        <v>0</v>
      </c>
      <c r="I12" s="97" t="s">
        <v>1975</v>
      </c>
    </row>
    <row r="13" spans="1:9" ht="13.2" customHeight="1" x14ac:dyDescent="0.25">
      <c r="A13" s="20" t="s">
        <v>1980</v>
      </c>
      <c r="B13" t="s">
        <v>1974</v>
      </c>
      <c r="C13" s="4" t="s">
        <v>89</v>
      </c>
      <c r="D13" s="103">
        <v>0.74</v>
      </c>
      <c r="E13" s="103">
        <v>0.05</v>
      </c>
      <c r="F13" s="104">
        <f>(grains_table[[#This Row],[Extract %]]*46.214)/1000+1</f>
        <v>1.03419836</v>
      </c>
      <c r="G13" s="4">
        <v>64.3</v>
      </c>
      <c r="H13" s="451">
        <v>0</v>
      </c>
      <c r="I13" s="97" t="s">
        <v>1975</v>
      </c>
    </row>
    <row r="14" spans="1:9" ht="13.2" customHeight="1" x14ac:dyDescent="0.25">
      <c r="A14" s="20" t="s">
        <v>1590</v>
      </c>
      <c r="B14" s="20" t="s">
        <v>1309</v>
      </c>
      <c r="C14" s="41" t="s">
        <v>89</v>
      </c>
      <c r="D14" s="106">
        <v>0.72</v>
      </c>
      <c r="E14" s="106">
        <v>2.5000000000000001E-2</v>
      </c>
      <c r="F14" s="104">
        <f>(grains_table[[#This Row],[Extract %]]*46.214)/1000+1</f>
        <v>1.03327408</v>
      </c>
      <c r="G14" s="4">
        <v>40</v>
      </c>
      <c r="H14" s="451">
        <v>0</v>
      </c>
      <c r="I14" s="97" t="s">
        <v>1555</v>
      </c>
    </row>
    <row r="15" spans="1:9" ht="13.2" customHeight="1" x14ac:dyDescent="0.25">
      <c r="A15" s="20" t="s">
        <v>1591</v>
      </c>
      <c r="B15" s="20" t="s">
        <v>1309</v>
      </c>
      <c r="C15" s="41" t="s">
        <v>89</v>
      </c>
      <c r="D15" s="106">
        <v>0.75</v>
      </c>
      <c r="E15" s="106">
        <v>2.5000000000000001E-2</v>
      </c>
      <c r="F15" s="104">
        <f>(grains_table[[#This Row],[Extract %]]*46.214)/1000+1</f>
        <v>1.0346605</v>
      </c>
      <c r="G15" s="4">
        <v>28</v>
      </c>
      <c r="H15" s="451">
        <v>0</v>
      </c>
      <c r="I15" s="97" t="s">
        <v>1362</v>
      </c>
    </row>
    <row r="16" spans="1:9" ht="13.2" customHeight="1" x14ac:dyDescent="0.25">
      <c r="A16" s="20" t="s">
        <v>2009</v>
      </c>
      <c r="B16" t="s">
        <v>1974</v>
      </c>
      <c r="C16" s="4" t="s">
        <v>89</v>
      </c>
      <c r="D16" s="103">
        <v>0.74</v>
      </c>
      <c r="E16" s="103">
        <v>2.5000000000000001E-2</v>
      </c>
      <c r="F16" s="104">
        <f>(grains_table[[#This Row],[Extract %]]*46.214)/1000+1</f>
        <v>1.03419836</v>
      </c>
      <c r="G16" s="4">
        <v>525.6</v>
      </c>
      <c r="H16" s="451">
        <v>0</v>
      </c>
      <c r="I16" s="97" t="s">
        <v>1975</v>
      </c>
    </row>
    <row r="17" spans="1:9" ht="13.2" customHeight="1" x14ac:dyDescent="0.25">
      <c r="A17" s="20" t="s">
        <v>1598</v>
      </c>
      <c r="B17" s="20" t="s">
        <v>1310</v>
      </c>
      <c r="C17" s="41" t="s">
        <v>89</v>
      </c>
      <c r="D17" s="106">
        <v>0.7</v>
      </c>
      <c r="E17" s="106">
        <v>4.4999999999999998E-2</v>
      </c>
      <c r="F17" s="104">
        <f>(grains_table[[#This Row],[Extract %]]*46.214)/1000+1</f>
        <v>1.0323498</v>
      </c>
      <c r="G17" s="4">
        <v>530</v>
      </c>
      <c r="H17" s="451">
        <v>0</v>
      </c>
      <c r="I17" s="98" t="s">
        <v>1347</v>
      </c>
    </row>
    <row r="18" spans="1:9" ht="13.2" customHeight="1" x14ac:dyDescent="0.25">
      <c r="A18" s="20" t="s">
        <v>1570</v>
      </c>
      <c r="B18" s="20" t="s">
        <v>1352</v>
      </c>
      <c r="C18" s="41" t="s">
        <v>89</v>
      </c>
      <c r="D18" s="106">
        <v>0.75</v>
      </c>
      <c r="E18" s="106">
        <v>4.4999999999999998E-2</v>
      </c>
      <c r="F18" s="104">
        <f>(grains_table[[#This Row],[Extract %]]*46.214)/1000+1</f>
        <v>1.0346605</v>
      </c>
      <c r="G18" s="4">
        <v>27</v>
      </c>
      <c r="H18" s="451">
        <v>0</v>
      </c>
      <c r="I18" s="97" t="s">
        <v>1379</v>
      </c>
    </row>
    <row r="19" spans="1:9" ht="13.2" customHeight="1" x14ac:dyDescent="0.25">
      <c r="A19" s="20" t="s">
        <v>1569</v>
      </c>
      <c r="B19" s="20" t="s">
        <v>1352</v>
      </c>
      <c r="C19" s="41" t="s">
        <v>89</v>
      </c>
      <c r="D19" s="106">
        <v>0.75</v>
      </c>
      <c r="E19" s="106">
        <v>4.4999999999999998E-2</v>
      </c>
      <c r="F19" s="104">
        <f>(grains_table[[#This Row],[Extract %]]*46.214)/1000+1</f>
        <v>1.0346605</v>
      </c>
      <c r="G19" s="4">
        <v>19.5</v>
      </c>
      <c r="H19" s="451">
        <v>0</v>
      </c>
      <c r="I19" s="97" t="s">
        <v>1378</v>
      </c>
    </row>
    <row r="20" spans="1:9" ht="13.2" customHeight="1" x14ac:dyDescent="0.25">
      <c r="A20" s="20" t="s">
        <v>1568</v>
      </c>
      <c r="B20" s="20" t="s">
        <v>1352</v>
      </c>
      <c r="C20" s="41" t="s">
        <v>89</v>
      </c>
      <c r="D20" s="106">
        <v>0.75</v>
      </c>
      <c r="E20" s="106">
        <v>4.4999999999999998E-2</v>
      </c>
      <c r="F20" s="104">
        <f>(grains_table[[#This Row],[Extract %]]*46.214)/1000+1</f>
        <v>1.0346605</v>
      </c>
      <c r="G20" s="4">
        <v>12</v>
      </c>
      <c r="H20" s="451">
        <v>0</v>
      </c>
      <c r="I20" s="97" t="s">
        <v>1377</v>
      </c>
    </row>
    <row r="21" spans="1:9" ht="13.2" customHeight="1" x14ac:dyDescent="0.25">
      <c r="A21" s="20" t="s">
        <v>1567</v>
      </c>
      <c r="B21" s="20" t="s">
        <v>1352</v>
      </c>
      <c r="C21" s="41" t="s">
        <v>89</v>
      </c>
      <c r="D21" s="106">
        <v>0.75</v>
      </c>
      <c r="E21" s="106">
        <v>4.4999999999999998E-2</v>
      </c>
      <c r="F21" s="104">
        <f>(grains_table[[#This Row],[Extract %]]*46.214)/1000+1</f>
        <v>1.0346605</v>
      </c>
      <c r="G21" s="4">
        <v>5.4</v>
      </c>
      <c r="H21" s="451">
        <v>0</v>
      </c>
      <c r="I21" s="97" t="s">
        <v>1381</v>
      </c>
    </row>
    <row r="22" spans="1:9" ht="13.2" customHeight="1" x14ac:dyDescent="0.25">
      <c r="A22" s="20" t="s">
        <v>1566</v>
      </c>
      <c r="B22" s="20" t="s">
        <v>1352</v>
      </c>
      <c r="C22" s="41" t="s">
        <v>89</v>
      </c>
      <c r="D22" s="106">
        <v>0.75</v>
      </c>
      <c r="E22" s="106">
        <v>4.4999999999999998E-2</v>
      </c>
      <c r="F22" s="104">
        <f>(grains_table[[#This Row],[Extract %]]*46.214)/1000+1</f>
        <v>1.0346605</v>
      </c>
      <c r="G22" s="4">
        <v>45.5</v>
      </c>
      <c r="H22" s="451">
        <v>0</v>
      </c>
      <c r="I22" s="97" t="s">
        <v>1382</v>
      </c>
    </row>
    <row r="23" spans="1:9" ht="13.2" customHeight="1" x14ac:dyDescent="0.25">
      <c r="A23" s="20" t="s">
        <v>1565</v>
      </c>
      <c r="B23" s="20" t="s">
        <v>1352</v>
      </c>
      <c r="C23" s="41" t="s">
        <v>89</v>
      </c>
      <c r="D23" s="106">
        <v>0.75</v>
      </c>
      <c r="E23" s="106">
        <v>4.4999999999999998E-2</v>
      </c>
      <c r="F23" s="104">
        <f>(grains_table[[#This Row],[Extract %]]*46.214)/1000+1</f>
        <v>1.0346605</v>
      </c>
      <c r="G23" s="4">
        <v>63</v>
      </c>
      <c r="H23" s="451">
        <v>0</v>
      </c>
      <c r="I23" s="97" t="s">
        <v>1383</v>
      </c>
    </row>
    <row r="24" spans="1:9" ht="13.2" customHeight="1" x14ac:dyDescent="0.25">
      <c r="A24" s="20" t="s">
        <v>1564</v>
      </c>
      <c r="B24" s="20" t="s">
        <v>1352</v>
      </c>
      <c r="C24" s="41" t="s">
        <v>89</v>
      </c>
      <c r="D24" s="106">
        <v>0.75</v>
      </c>
      <c r="E24" s="106">
        <v>4.4999999999999998E-2</v>
      </c>
      <c r="F24" s="104">
        <f>(grains_table[[#This Row],[Extract %]]*46.214)/1000+1</f>
        <v>1.0346605</v>
      </c>
      <c r="G24" s="4">
        <v>2.35</v>
      </c>
      <c r="H24" s="451">
        <v>0</v>
      </c>
      <c r="I24" s="97" t="s">
        <v>1380</v>
      </c>
    </row>
    <row r="25" spans="1:9" ht="13.2" customHeight="1" x14ac:dyDescent="0.25">
      <c r="A25" s="20" t="s">
        <v>1402</v>
      </c>
      <c r="B25" s="20" t="s">
        <v>1310</v>
      </c>
      <c r="C25" s="41" t="s">
        <v>89</v>
      </c>
      <c r="D25" s="106">
        <v>0.74</v>
      </c>
      <c r="E25" s="106">
        <v>0.06</v>
      </c>
      <c r="F25" s="104">
        <f>(grains_table[[#This Row],[Extract %]]*46.214)/1000+1</f>
        <v>1.03419836</v>
      </c>
      <c r="G25" s="4">
        <v>45</v>
      </c>
      <c r="H25" s="451">
        <v>0</v>
      </c>
      <c r="I25" s="97" t="s">
        <v>1346</v>
      </c>
    </row>
    <row r="26" spans="1:9" ht="13.2" customHeight="1" x14ac:dyDescent="0.25">
      <c r="A26" s="20" t="s">
        <v>1403</v>
      </c>
      <c r="B26" s="20" t="s">
        <v>1310</v>
      </c>
      <c r="C26" s="41" t="s">
        <v>89</v>
      </c>
      <c r="D26" s="106">
        <v>0.75</v>
      </c>
      <c r="E26" s="106">
        <v>9.5000000000000001E-2</v>
      </c>
      <c r="F26" s="104">
        <f>(grains_table[[#This Row],[Extract %]]*46.214)/1000+1</f>
        <v>1.0346605</v>
      </c>
      <c r="G26" s="4">
        <v>8</v>
      </c>
      <c r="H26" s="451">
        <v>0</v>
      </c>
      <c r="I26" s="97" t="s">
        <v>1346</v>
      </c>
    </row>
    <row r="27" spans="1:9" ht="13.2" customHeight="1" x14ac:dyDescent="0.25">
      <c r="A27" s="20" t="s">
        <v>1404</v>
      </c>
      <c r="B27" s="20" t="s">
        <v>1310</v>
      </c>
      <c r="C27" s="41" t="s">
        <v>89</v>
      </c>
      <c r="D27" s="106">
        <v>0.75</v>
      </c>
      <c r="E27" s="106">
        <v>7.4999999999999997E-2</v>
      </c>
      <c r="F27" s="104">
        <f>(grains_table[[#This Row],[Extract %]]*46.214)/1000+1</f>
        <v>1.0346605</v>
      </c>
      <c r="G27" s="4">
        <v>20</v>
      </c>
      <c r="H27" s="451">
        <v>0</v>
      </c>
      <c r="I27" s="97" t="s">
        <v>1346</v>
      </c>
    </row>
    <row r="28" spans="1:9" ht="13.2" customHeight="1" x14ac:dyDescent="0.25">
      <c r="A28" s="20" t="s">
        <v>1498</v>
      </c>
      <c r="B28" s="20" t="s">
        <v>1307</v>
      </c>
      <c r="C28" s="41" t="s">
        <v>89</v>
      </c>
      <c r="D28" s="106">
        <v>0.74</v>
      </c>
      <c r="E28" s="106">
        <v>7.0000000000000007E-2</v>
      </c>
      <c r="F28" s="104">
        <f>(grains_table[[#This Row],[Extract %]]*46.214)/1000+1</f>
        <v>1.03419836</v>
      </c>
      <c r="G28" s="4">
        <v>150</v>
      </c>
      <c r="H28" s="451">
        <v>0</v>
      </c>
      <c r="I28" s="97" t="s">
        <v>1348</v>
      </c>
    </row>
    <row r="29" spans="1:9" ht="13.2" customHeight="1" x14ac:dyDescent="0.25">
      <c r="A29" s="20" t="s">
        <v>1499</v>
      </c>
      <c r="B29" s="20" t="s">
        <v>1307</v>
      </c>
      <c r="C29" s="41" t="s">
        <v>89</v>
      </c>
      <c r="D29" s="106">
        <v>0.74</v>
      </c>
      <c r="E29" s="106">
        <v>0.09</v>
      </c>
      <c r="F29" s="104">
        <f>(grains_table[[#This Row],[Extract %]]*46.214)/1000+1</f>
        <v>1.03419836</v>
      </c>
      <c r="G29" s="4">
        <v>12.75</v>
      </c>
      <c r="H29" s="451">
        <v>0</v>
      </c>
      <c r="I29" s="97" t="s">
        <v>1348</v>
      </c>
    </row>
    <row r="30" spans="1:9" ht="13.2" customHeight="1" x14ac:dyDescent="0.25">
      <c r="A30" s="20" t="s">
        <v>1405</v>
      </c>
      <c r="B30" s="20" t="s">
        <v>1309</v>
      </c>
      <c r="C30" s="41" t="s">
        <v>89</v>
      </c>
      <c r="D30" s="106">
        <v>0.78</v>
      </c>
      <c r="E30" s="106">
        <v>0.04</v>
      </c>
      <c r="F30" s="104">
        <f>(grains_table[[#This Row],[Extract %]]*46.214)/1000+1</f>
        <v>1.03604692</v>
      </c>
      <c r="G30" s="4">
        <v>55</v>
      </c>
      <c r="H30" s="451">
        <v>0</v>
      </c>
      <c r="I30" s="97" t="s">
        <v>1351</v>
      </c>
    </row>
    <row r="31" spans="1:9" ht="13.2" customHeight="1" x14ac:dyDescent="0.25">
      <c r="A31" s="20" t="s">
        <v>1530</v>
      </c>
      <c r="B31" s="20" t="s">
        <v>1307</v>
      </c>
      <c r="C31" s="41" t="s">
        <v>89</v>
      </c>
      <c r="D31" s="106">
        <v>0.65</v>
      </c>
      <c r="E31" s="106">
        <v>3.7999999999999999E-2</v>
      </c>
      <c r="F31" s="104">
        <f>(grains_table[[#This Row],[Extract %]]*46.214)/1000+1</f>
        <v>1.0300391</v>
      </c>
      <c r="G31" s="4">
        <v>337.5</v>
      </c>
      <c r="H31" s="451">
        <v>0</v>
      </c>
      <c r="I31" s="97" t="s">
        <v>1348</v>
      </c>
    </row>
    <row r="32" spans="1:9" ht="13.2" customHeight="1" x14ac:dyDescent="0.25">
      <c r="A32" s="20" t="s">
        <v>1529</v>
      </c>
      <c r="B32" s="20" t="s">
        <v>1307</v>
      </c>
      <c r="C32" s="41" t="s">
        <v>89</v>
      </c>
      <c r="D32" s="106">
        <v>0.65</v>
      </c>
      <c r="E32" s="106">
        <v>3.7999999999999999E-2</v>
      </c>
      <c r="F32" s="104">
        <f>(grains_table[[#This Row],[Extract %]]*46.214)/1000+1</f>
        <v>1.0300391</v>
      </c>
      <c r="G32" s="4">
        <v>431.5</v>
      </c>
      <c r="H32" s="451">
        <v>0</v>
      </c>
      <c r="I32" s="97" t="s">
        <v>1348</v>
      </c>
    </row>
    <row r="33" spans="1:9" ht="13.2" customHeight="1" x14ac:dyDescent="0.25">
      <c r="A33" s="20" t="s">
        <v>1528</v>
      </c>
      <c r="B33" s="20" t="s">
        <v>1307</v>
      </c>
      <c r="C33" s="41" t="s">
        <v>89</v>
      </c>
      <c r="D33" s="106">
        <v>0.65</v>
      </c>
      <c r="E33" s="106">
        <v>3.7999999999999999E-2</v>
      </c>
      <c r="F33" s="104">
        <f>(grains_table[[#This Row],[Extract %]]*46.214)/1000+1</f>
        <v>1.0300391</v>
      </c>
      <c r="G33" s="4">
        <v>525.5</v>
      </c>
      <c r="H33" s="451">
        <v>0</v>
      </c>
      <c r="I33" s="97" t="s">
        <v>1348</v>
      </c>
    </row>
    <row r="34" spans="1:9" ht="13.2" customHeight="1" x14ac:dyDescent="0.25">
      <c r="A34" s="20" t="s">
        <v>1531</v>
      </c>
      <c r="B34" s="20" t="s">
        <v>1307</v>
      </c>
      <c r="C34" s="41" t="s">
        <v>89</v>
      </c>
      <c r="D34" s="106">
        <v>0.65</v>
      </c>
      <c r="E34" s="106">
        <v>3.7999999999999999E-2</v>
      </c>
      <c r="F34" s="104">
        <f>(grains_table[[#This Row],[Extract %]]*46.214)/1000+1</f>
        <v>1.0300391</v>
      </c>
      <c r="G34" s="4">
        <v>337.5</v>
      </c>
      <c r="H34" s="451">
        <v>0</v>
      </c>
      <c r="I34" s="97" t="s">
        <v>1348</v>
      </c>
    </row>
    <row r="35" spans="1:9" ht="13.2" customHeight="1" x14ac:dyDescent="0.25">
      <c r="A35" s="20" t="s">
        <v>1532</v>
      </c>
      <c r="B35" s="20" t="s">
        <v>1307</v>
      </c>
      <c r="C35" s="41" t="s">
        <v>89</v>
      </c>
      <c r="D35" s="106">
        <v>0.65</v>
      </c>
      <c r="E35" s="106">
        <v>3.7999999999999999E-2</v>
      </c>
      <c r="F35" s="104">
        <f>(grains_table[[#This Row],[Extract %]]*46.214)/1000+1</f>
        <v>1.0300391</v>
      </c>
      <c r="G35" s="4">
        <v>431.5</v>
      </c>
      <c r="H35" s="451">
        <v>0</v>
      </c>
      <c r="I35" s="97" t="s">
        <v>1348</v>
      </c>
    </row>
    <row r="36" spans="1:9" ht="13.2" customHeight="1" x14ac:dyDescent="0.25">
      <c r="A36" s="20" t="s">
        <v>1533</v>
      </c>
      <c r="B36" s="20" t="s">
        <v>1307</v>
      </c>
      <c r="C36" s="41" t="s">
        <v>89</v>
      </c>
      <c r="D36" s="106">
        <v>0.65</v>
      </c>
      <c r="E36" s="106">
        <v>3.7999999999999999E-2</v>
      </c>
      <c r="F36" s="104">
        <f>(grains_table[[#This Row],[Extract %]]*46.214)/1000+1</f>
        <v>1.0300391</v>
      </c>
      <c r="G36" s="4">
        <v>525.5</v>
      </c>
      <c r="H36" s="451">
        <v>0</v>
      </c>
      <c r="I36" s="97" t="s">
        <v>1348</v>
      </c>
    </row>
    <row r="37" spans="1:9" ht="13.2" customHeight="1" x14ac:dyDescent="0.25">
      <c r="A37" s="20" t="s">
        <v>1500</v>
      </c>
      <c r="B37" s="20" t="s">
        <v>1307</v>
      </c>
      <c r="C37" s="41" t="s">
        <v>89</v>
      </c>
      <c r="D37" s="106"/>
      <c r="E37" s="106"/>
      <c r="F37" s="104">
        <f>(grains_table[[#This Row],[Extract %]]*46.214)/1000+1</f>
        <v>1</v>
      </c>
      <c r="G37" s="4">
        <v>2.2000000000000002</v>
      </c>
      <c r="H37" s="451">
        <v>0</v>
      </c>
      <c r="I37" s="97" t="s">
        <v>1348</v>
      </c>
    </row>
    <row r="38" spans="1:9" ht="13.2" customHeight="1" x14ac:dyDescent="0.25">
      <c r="A38" s="20" t="s">
        <v>1501</v>
      </c>
      <c r="B38" s="20" t="s">
        <v>1307</v>
      </c>
      <c r="C38" s="41" t="s">
        <v>89</v>
      </c>
      <c r="D38" s="106">
        <v>0.74</v>
      </c>
      <c r="E38" s="106">
        <v>0.09</v>
      </c>
      <c r="F38" s="104">
        <f>(grains_table[[#This Row],[Extract %]]*46.214)/1000+1</f>
        <v>1.03419836</v>
      </c>
      <c r="G38" s="4">
        <v>9.9499999999999993</v>
      </c>
      <c r="H38" s="451">
        <v>0</v>
      </c>
      <c r="I38" s="97" t="s">
        <v>1348</v>
      </c>
    </row>
    <row r="39" spans="1:9" ht="13.2" customHeight="1" x14ac:dyDescent="0.25">
      <c r="A39" s="20" t="s">
        <v>1406</v>
      </c>
      <c r="B39" s="20" t="s">
        <v>1308</v>
      </c>
      <c r="C39" s="41" t="s">
        <v>89</v>
      </c>
      <c r="D39" s="106">
        <v>0.71</v>
      </c>
      <c r="E39" s="106">
        <v>7.4999999999999997E-2</v>
      </c>
      <c r="F39" s="104">
        <f>(grains_table[[#This Row],[Extract %]]*46.214)/1000+1</f>
        <v>1.03281194</v>
      </c>
      <c r="G39" s="4">
        <v>14.05</v>
      </c>
      <c r="H39" s="451">
        <v>0</v>
      </c>
      <c r="I39" s="97" t="s">
        <v>1325</v>
      </c>
    </row>
    <row r="40" spans="1:9" ht="13.2" customHeight="1" x14ac:dyDescent="0.25">
      <c r="A40" s="20" t="s">
        <v>1502</v>
      </c>
      <c r="B40" s="20" t="s">
        <v>1307</v>
      </c>
      <c r="C40" s="41" t="s">
        <v>89</v>
      </c>
      <c r="D40" s="106">
        <v>0.75</v>
      </c>
      <c r="E40" s="106">
        <v>4.4999999999999998E-2</v>
      </c>
      <c r="F40" s="104">
        <f>(grains_table[[#This Row],[Extract %]]*46.214)/1000+1</f>
        <v>1.0346605</v>
      </c>
      <c r="G40" s="4">
        <v>27</v>
      </c>
      <c r="H40" s="451">
        <v>0</v>
      </c>
      <c r="I40" s="97" t="s">
        <v>1348</v>
      </c>
    </row>
    <row r="41" spans="1:9" ht="13.2" customHeight="1" x14ac:dyDescent="0.25">
      <c r="A41" s="20" t="s">
        <v>1407</v>
      </c>
      <c r="B41" s="20" t="s">
        <v>1309</v>
      </c>
      <c r="C41" s="41" t="s">
        <v>89</v>
      </c>
      <c r="D41" s="106">
        <v>0.77</v>
      </c>
      <c r="E41" s="106">
        <v>7.0000000000000007E-2</v>
      </c>
      <c r="F41" s="104">
        <f>(grains_table[[#This Row],[Extract %]]*46.214)/1000+1</f>
        <v>1.03558478</v>
      </c>
      <c r="G41" s="4">
        <v>10</v>
      </c>
      <c r="H41" s="451">
        <v>0</v>
      </c>
      <c r="I41" s="98" t="s">
        <v>1351</v>
      </c>
    </row>
    <row r="42" spans="1:9" ht="13.2" customHeight="1" x14ac:dyDescent="0.25">
      <c r="A42" s="20" t="s">
        <v>1408</v>
      </c>
      <c r="B42" s="20" t="s">
        <v>1309</v>
      </c>
      <c r="C42" s="41" t="s">
        <v>89</v>
      </c>
      <c r="D42" s="106">
        <v>0.75</v>
      </c>
      <c r="E42" s="106">
        <v>0.03</v>
      </c>
      <c r="F42" s="104">
        <f>(grains_table[[#This Row],[Extract %]]*46.214)/1000+1</f>
        <v>1.0346605</v>
      </c>
      <c r="G42" s="4">
        <v>120</v>
      </c>
      <c r="H42" s="451">
        <v>0</v>
      </c>
      <c r="I42" s="97" t="s">
        <v>1351</v>
      </c>
    </row>
    <row r="43" spans="1:9" ht="13.2" customHeight="1" x14ac:dyDescent="0.25">
      <c r="A43" s="20" t="s">
        <v>1409</v>
      </c>
      <c r="B43" s="20" t="s">
        <v>1309</v>
      </c>
      <c r="C43" s="41" t="s">
        <v>89</v>
      </c>
      <c r="D43" s="106">
        <v>0.76</v>
      </c>
      <c r="E43" s="106">
        <v>0.06</v>
      </c>
      <c r="F43" s="104">
        <f>(grains_table[[#This Row],[Extract %]]*46.214)/1000+1</f>
        <v>1.03512264</v>
      </c>
      <c r="G43" s="4">
        <v>20</v>
      </c>
      <c r="H43" s="451">
        <v>0</v>
      </c>
      <c r="I43" s="97" t="s">
        <v>1351</v>
      </c>
    </row>
    <row r="44" spans="1:9" ht="13.2" customHeight="1" x14ac:dyDescent="0.25">
      <c r="A44" s="20" t="s">
        <v>1410</v>
      </c>
      <c r="B44" s="20" t="s">
        <v>1309</v>
      </c>
      <c r="C44" s="41" t="s">
        <v>89</v>
      </c>
      <c r="D44" s="106">
        <v>0.77</v>
      </c>
      <c r="E44" s="106">
        <v>5.5E-2</v>
      </c>
      <c r="F44" s="104">
        <f>(grains_table[[#This Row],[Extract %]]*46.214)/1000+1</f>
        <v>1.03558478</v>
      </c>
      <c r="G44" s="4">
        <v>30</v>
      </c>
      <c r="H44" s="451">
        <v>0</v>
      </c>
      <c r="I44" s="98" t="s">
        <v>1351</v>
      </c>
    </row>
    <row r="45" spans="1:9" ht="13.2" customHeight="1" x14ac:dyDescent="0.25">
      <c r="A45" s="20" t="s">
        <v>1411</v>
      </c>
      <c r="B45" s="20" t="s">
        <v>1309</v>
      </c>
      <c r="C45" s="41" t="s">
        <v>89</v>
      </c>
      <c r="D45" s="106">
        <v>0.77</v>
      </c>
      <c r="E45" s="106">
        <v>5.5E-2</v>
      </c>
      <c r="F45" s="104">
        <f>(grains_table[[#This Row],[Extract %]]*46.214)/1000+1</f>
        <v>1.03558478</v>
      </c>
      <c r="G45" s="4">
        <v>40</v>
      </c>
      <c r="H45" s="451">
        <v>0</v>
      </c>
      <c r="I45" s="98" t="s">
        <v>1351</v>
      </c>
    </row>
    <row r="46" spans="1:9" ht="13.2" customHeight="1" x14ac:dyDescent="0.25">
      <c r="A46" s="20" t="s">
        <v>1412</v>
      </c>
      <c r="B46" s="20" t="s">
        <v>1309</v>
      </c>
      <c r="C46" s="41" t="s">
        <v>89</v>
      </c>
      <c r="D46" s="106">
        <v>0.77</v>
      </c>
      <c r="E46" s="106">
        <v>0.05</v>
      </c>
      <c r="F46" s="104">
        <f>(grains_table[[#This Row],[Extract %]]*46.214)/1000+1</f>
        <v>1.03558478</v>
      </c>
      <c r="G46" s="4">
        <v>60</v>
      </c>
      <c r="H46" s="451">
        <v>0</v>
      </c>
      <c r="I46" s="98" t="s">
        <v>1351</v>
      </c>
    </row>
    <row r="47" spans="1:9" ht="13.2" customHeight="1" x14ac:dyDescent="0.25">
      <c r="A47" s="20" t="s">
        <v>1413</v>
      </c>
      <c r="B47" s="20" t="s">
        <v>1309</v>
      </c>
      <c r="C47" s="41" t="s">
        <v>89</v>
      </c>
      <c r="D47" s="106">
        <v>0.76</v>
      </c>
      <c r="E47" s="106">
        <v>4.4999999999999998E-2</v>
      </c>
      <c r="F47" s="104">
        <f>(grains_table[[#This Row],[Extract %]]*46.214)/1000+1</f>
        <v>1.03512264</v>
      </c>
      <c r="G47" s="4">
        <v>80</v>
      </c>
      <c r="H47" s="451">
        <v>0</v>
      </c>
      <c r="I47" s="98" t="s">
        <v>1351</v>
      </c>
    </row>
    <row r="48" spans="1:9" ht="13.2" customHeight="1" x14ac:dyDescent="0.25">
      <c r="A48" s="20" t="s">
        <v>1414</v>
      </c>
      <c r="B48" s="20" t="s">
        <v>1309</v>
      </c>
      <c r="C48" s="41" t="s">
        <v>89</v>
      </c>
      <c r="D48" s="106">
        <v>0.75</v>
      </c>
      <c r="E48" s="106">
        <v>0.04</v>
      </c>
      <c r="F48" s="104">
        <f>(grains_table[[#This Row],[Extract %]]*46.214)/1000+1</f>
        <v>1.0346605</v>
      </c>
      <c r="G48" s="4">
        <v>90</v>
      </c>
      <c r="H48" s="451">
        <v>0</v>
      </c>
      <c r="I48" s="97" t="s">
        <v>1351</v>
      </c>
    </row>
    <row r="49" spans="1:9" ht="13.2" customHeight="1" x14ac:dyDescent="0.25">
      <c r="A49" s="20" t="s">
        <v>1415</v>
      </c>
      <c r="B49" s="20" t="s">
        <v>1309</v>
      </c>
      <c r="C49" s="41" t="s">
        <v>89</v>
      </c>
      <c r="D49" s="106">
        <v>0.77</v>
      </c>
      <c r="E49" s="106">
        <v>3.5000000000000003E-2</v>
      </c>
      <c r="F49" s="104">
        <f>(grains_table[[#This Row],[Extract %]]*46.214)/1000+1</f>
        <v>1.03558478</v>
      </c>
      <c r="G49" s="4">
        <v>60</v>
      </c>
      <c r="H49" s="451">
        <v>0</v>
      </c>
      <c r="I49" s="97" t="s">
        <v>1351</v>
      </c>
    </row>
    <row r="50" spans="1:9" ht="13.2" customHeight="1" x14ac:dyDescent="0.25">
      <c r="A50" s="20" t="s">
        <v>1416</v>
      </c>
      <c r="B50" s="20" t="s">
        <v>1309</v>
      </c>
      <c r="C50" s="41" t="s">
        <v>89</v>
      </c>
      <c r="D50" s="106">
        <v>0.8</v>
      </c>
      <c r="E50" s="106">
        <v>0.05</v>
      </c>
      <c r="F50" s="104">
        <f>(grains_table[[#This Row],[Extract %]]*46.214)/1000+1</f>
        <v>1.0369712</v>
      </c>
      <c r="G50" s="4">
        <v>60</v>
      </c>
      <c r="H50" s="451">
        <v>0</v>
      </c>
      <c r="I50" s="98" t="s">
        <v>1351</v>
      </c>
    </row>
    <row r="51" spans="1:9" ht="13.2" customHeight="1" x14ac:dyDescent="0.25">
      <c r="A51" s="20" t="s">
        <v>1417</v>
      </c>
      <c r="B51" s="20" t="s">
        <v>1309</v>
      </c>
      <c r="C51" s="41" t="s">
        <v>89</v>
      </c>
      <c r="D51" s="106">
        <v>0.78</v>
      </c>
      <c r="E51" s="106">
        <v>4.4999999999999998E-2</v>
      </c>
      <c r="F51" s="104">
        <f>(grains_table[[#This Row],[Extract %]]*46.214)/1000+1</f>
        <v>1.03604692</v>
      </c>
      <c r="G51" s="4">
        <v>20</v>
      </c>
      <c r="H51" s="451">
        <v>0</v>
      </c>
      <c r="I51" s="97" t="s">
        <v>1351</v>
      </c>
    </row>
    <row r="52" spans="1:9" ht="13.2" customHeight="1" x14ac:dyDescent="0.25">
      <c r="A52" s="20" t="s">
        <v>1520</v>
      </c>
      <c r="B52" s="20" t="s">
        <v>1307</v>
      </c>
      <c r="C52" s="41" t="s">
        <v>89</v>
      </c>
      <c r="D52" s="106">
        <v>0.73</v>
      </c>
      <c r="E52" s="106">
        <v>6.5000000000000002E-2</v>
      </c>
      <c r="F52" s="104">
        <f>(grains_table[[#This Row],[Extract %]]*46.214)/1000+1</f>
        <v>1.03373622</v>
      </c>
      <c r="G52" s="4">
        <v>34.5</v>
      </c>
      <c r="H52" s="451">
        <v>0</v>
      </c>
      <c r="I52" s="97" t="s">
        <v>1348</v>
      </c>
    </row>
    <row r="53" spans="1:9" ht="13.2" customHeight="1" x14ac:dyDescent="0.25">
      <c r="A53" s="20" t="s">
        <v>1521</v>
      </c>
      <c r="B53" s="20" t="s">
        <v>1307</v>
      </c>
      <c r="C53" s="41" t="s">
        <v>89</v>
      </c>
      <c r="D53" s="106">
        <v>0.73</v>
      </c>
      <c r="E53" s="106">
        <v>6.5000000000000002E-2</v>
      </c>
      <c r="F53" s="104">
        <f>(grains_table[[#This Row],[Extract %]]*46.214)/1000+1</f>
        <v>1.03373622</v>
      </c>
      <c r="G53" s="4">
        <v>45.5</v>
      </c>
      <c r="H53" s="451">
        <v>0</v>
      </c>
      <c r="I53" s="97" t="s">
        <v>1348</v>
      </c>
    </row>
    <row r="54" spans="1:9" ht="13.2" customHeight="1" x14ac:dyDescent="0.25">
      <c r="A54" s="20" t="s">
        <v>1522</v>
      </c>
      <c r="B54" s="20" t="s">
        <v>1307</v>
      </c>
      <c r="C54" s="41" t="s">
        <v>89</v>
      </c>
      <c r="D54" s="106">
        <v>0.73</v>
      </c>
      <c r="E54" s="106">
        <v>6.5000000000000002E-2</v>
      </c>
      <c r="F54" s="104">
        <f>(grains_table[[#This Row],[Extract %]]*46.214)/1000+1</f>
        <v>1.03373622</v>
      </c>
      <c r="G54" s="4">
        <v>56.75</v>
      </c>
      <c r="H54" s="451">
        <v>0</v>
      </c>
      <c r="I54" s="97" t="s">
        <v>1348</v>
      </c>
    </row>
    <row r="55" spans="1:9" ht="13.2" customHeight="1" x14ac:dyDescent="0.25">
      <c r="A55" s="20" t="s">
        <v>1523</v>
      </c>
      <c r="B55" s="20" t="s">
        <v>1307</v>
      </c>
      <c r="C55" s="41" t="s">
        <v>89</v>
      </c>
      <c r="D55" s="106">
        <v>0.75</v>
      </c>
      <c r="E55" s="106">
        <v>7.0000000000000007E-2</v>
      </c>
      <c r="F55" s="104">
        <f>(grains_table[[#This Row],[Extract %]]*46.214)/1000+1</f>
        <v>1.0346605</v>
      </c>
      <c r="G55" s="4">
        <v>2.2000000000000002</v>
      </c>
      <c r="H55" s="451">
        <v>0</v>
      </c>
      <c r="I55" s="97" t="s">
        <v>1348</v>
      </c>
    </row>
    <row r="56" spans="1:9" ht="13.2" customHeight="1" x14ac:dyDescent="0.25">
      <c r="A56" s="20" t="s">
        <v>1524</v>
      </c>
      <c r="B56" s="20" t="s">
        <v>1307</v>
      </c>
      <c r="C56" s="41" t="s">
        <v>89</v>
      </c>
      <c r="D56" s="106">
        <v>0.74</v>
      </c>
      <c r="E56" s="106">
        <v>7.4999999999999997E-2</v>
      </c>
      <c r="F56" s="104">
        <f>(grains_table[[#This Row],[Extract %]]*46.214)/1000+1</f>
        <v>1.03419836</v>
      </c>
      <c r="G56" s="4">
        <v>19.5</v>
      </c>
      <c r="H56" s="451">
        <v>0</v>
      </c>
      <c r="I56" s="97" t="s">
        <v>1348</v>
      </c>
    </row>
    <row r="57" spans="1:9" ht="13.2" customHeight="1" x14ac:dyDescent="0.25">
      <c r="A57" s="20" t="s">
        <v>1525</v>
      </c>
      <c r="B57" s="20" t="s">
        <v>1307</v>
      </c>
      <c r="C57" s="41" t="s">
        <v>89</v>
      </c>
      <c r="D57" s="106">
        <v>0.74</v>
      </c>
      <c r="E57" s="106">
        <v>6.5000000000000002E-2</v>
      </c>
      <c r="F57" s="104">
        <f>(grains_table[[#This Row],[Extract %]]*46.214)/1000+1</f>
        <v>1.03419836</v>
      </c>
      <c r="G57" s="4">
        <v>66.5</v>
      </c>
      <c r="H57" s="451">
        <v>0</v>
      </c>
      <c r="I57" s="97" t="s">
        <v>1348</v>
      </c>
    </row>
    <row r="58" spans="1:9" ht="13.2" customHeight="1" x14ac:dyDescent="0.25">
      <c r="A58" s="20" t="s">
        <v>1526</v>
      </c>
      <c r="B58" s="20" t="s">
        <v>1307</v>
      </c>
      <c r="C58" s="41" t="s">
        <v>89</v>
      </c>
      <c r="D58" s="106">
        <v>0.68</v>
      </c>
      <c r="E58" s="106">
        <v>6.5000000000000002E-2</v>
      </c>
      <c r="F58" s="104">
        <f>(grains_table[[#This Row],[Extract %]]*46.214)/1000+1</f>
        <v>1.03142552</v>
      </c>
      <c r="G58" s="4">
        <v>47.5</v>
      </c>
      <c r="H58" s="451">
        <v>0</v>
      </c>
      <c r="I58" s="97" t="s">
        <v>1348</v>
      </c>
    </row>
    <row r="59" spans="1:9" ht="13.2" customHeight="1" x14ac:dyDescent="0.25">
      <c r="A59" s="20" t="s">
        <v>1418</v>
      </c>
      <c r="B59" s="20" t="s">
        <v>1308</v>
      </c>
      <c r="C59" s="41" t="s">
        <v>89</v>
      </c>
      <c r="D59" s="106">
        <v>0.69</v>
      </c>
      <c r="E59" s="106">
        <v>0.05</v>
      </c>
      <c r="F59" s="104">
        <f>(grains_table[[#This Row],[Extract %]]*46.214)/1000+1</f>
        <v>1.03188766</v>
      </c>
      <c r="G59" s="4">
        <v>100.9</v>
      </c>
      <c r="H59" s="451">
        <v>0</v>
      </c>
      <c r="I59" s="98" t="s">
        <v>1330</v>
      </c>
    </row>
    <row r="60" spans="1:9" ht="13.2" customHeight="1" x14ac:dyDescent="0.25">
      <c r="A60" s="20" t="s">
        <v>1419</v>
      </c>
      <c r="B60" s="20" t="s">
        <v>1308</v>
      </c>
      <c r="C60" s="41" t="s">
        <v>89</v>
      </c>
      <c r="D60" s="106">
        <v>0.69</v>
      </c>
      <c r="E60" s="106">
        <v>0.05</v>
      </c>
      <c r="F60" s="104">
        <f>(grains_table[[#This Row],[Extract %]]*46.214)/1000+1</f>
        <v>1.03188766</v>
      </c>
      <c r="G60" s="4">
        <v>178.7</v>
      </c>
      <c r="H60" s="451">
        <v>0</v>
      </c>
      <c r="I60" s="97" t="s">
        <v>1331</v>
      </c>
    </row>
    <row r="61" spans="1:9" ht="13.2" customHeight="1" x14ac:dyDescent="0.25">
      <c r="A61" s="20" t="s">
        <v>1420</v>
      </c>
      <c r="B61" s="20" t="s">
        <v>1308</v>
      </c>
      <c r="C61" s="41" t="s">
        <v>89</v>
      </c>
      <c r="D61" s="106">
        <v>0.69</v>
      </c>
      <c r="E61" s="106">
        <v>0.06</v>
      </c>
      <c r="F61" s="104">
        <f>(grains_table[[#This Row],[Extract %]]*46.214)/1000+1</f>
        <v>1.03188766</v>
      </c>
      <c r="G61" s="4">
        <v>39.549999999999997</v>
      </c>
      <c r="H61" s="451">
        <v>0</v>
      </c>
      <c r="I61" s="97" t="s">
        <v>1327</v>
      </c>
    </row>
    <row r="62" spans="1:9" ht="13.2" customHeight="1" x14ac:dyDescent="0.25">
      <c r="A62" s="20" t="s">
        <v>1421</v>
      </c>
      <c r="B62" s="20" t="s">
        <v>1308</v>
      </c>
      <c r="C62" s="41" t="s">
        <v>89</v>
      </c>
      <c r="D62" s="106">
        <v>0.69</v>
      </c>
      <c r="E62" s="106">
        <v>0.05</v>
      </c>
      <c r="F62" s="104">
        <f>(grains_table[[#This Row],[Extract %]]*46.214)/1000+1</f>
        <v>1.03188766</v>
      </c>
      <c r="G62" s="4">
        <v>67.5</v>
      </c>
      <c r="H62" s="451">
        <v>0</v>
      </c>
      <c r="I62" s="98" t="s">
        <v>1329</v>
      </c>
    </row>
    <row r="63" spans="1:9" ht="13.2" customHeight="1" x14ac:dyDescent="0.25">
      <c r="A63" s="20" t="s">
        <v>2002</v>
      </c>
      <c r="B63" t="s">
        <v>1974</v>
      </c>
      <c r="C63" s="4" t="s">
        <v>89</v>
      </c>
      <c r="D63" s="103">
        <v>0.79</v>
      </c>
      <c r="E63" s="103">
        <v>4.4999999999999998E-2</v>
      </c>
      <c r="F63" s="104">
        <f>(grains_table[[#This Row],[Extract %]]*46.214)/1000+1</f>
        <v>1.03650906</v>
      </c>
      <c r="G63" s="4">
        <v>26.8</v>
      </c>
      <c r="H63" s="451">
        <v>0</v>
      </c>
      <c r="I63" s="98" t="s">
        <v>1975</v>
      </c>
    </row>
    <row r="64" spans="1:9" ht="13.2" customHeight="1" x14ac:dyDescent="0.25">
      <c r="A64" s="20" t="s">
        <v>1422</v>
      </c>
      <c r="B64" s="20" t="s">
        <v>1308</v>
      </c>
      <c r="C64" s="41" t="s">
        <v>89</v>
      </c>
      <c r="D64" s="106">
        <v>0.69</v>
      </c>
      <c r="E64" s="106">
        <v>0.05</v>
      </c>
      <c r="F64" s="104">
        <f>(grains_table[[#This Row],[Extract %]]*46.214)/1000+1</f>
        <v>1.03188766</v>
      </c>
      <c r="G64" s="4">
        <v>50.5</v>
      </c>
      <c r="H64" s="451">
        <v>0</v>
      </c>
      <c r="I64" s="98" t="s">
        <v>1328</v>
      </c>
    </row>
    <row r="65" spans="1:9" ht="13.2" customHeight="1" x14ac:dyDescent="0.25">
      <c r="A65" s="20" t="s">
        <v>1985</v>
      </c>
      <c r="B65" t="s">
        <v>1974</v>
      </c>
      <c r="C65" s="4" t="s">
        <v>89</v>
      </c>
      <c r="D65" s="103">
        <v>0.78</v>
      </c>
      <c r="E65" s="103">
        <v>0.06</v>
      </c>
      <c r="F65" s="104">
        <f>(grains_table[[#This Row],[Extract %]]*46.214)/1000+1</f>
        <v>1.03604692</v>
      </c>
      <c r="G65" s="4">
        <v>75.599999999999994</v>
      </c>
      <c r="H65" s="451">
        <v>0</v>
      </c>
      <c r="I65" s="98" t="s">
        <v>1975</v>
      </c>
    </row>
    <row r="66" spans="1:9" ht="13.2" customHeight="1" x14ac:dyDescent="0.25">
      <c r="A66" s="20" t="s">
        <v>1423</v>
      </c>
      <c r="B66" s="20" t="s">
        <v>1308</v>
      </c>
      <c r="C66" s="41" t="s">
        <v>89</v>
      </c>
      <c r="D66" s="106">
        <v>0.69</v>
      </c>
      <c r="E66" s="106">
        <v>0.05</v>
      </c>
      <c r="F66" s="104">
        <f>(grains_table[[#This Row],[Extract %]]*46.214)/1000+1</f>
        <v>1.03188766</v>
      </c>
      <c r="G66" s="4">
        <v>67.5</v>
      </c>
      <c r="H66" s="451">
        <v>0</v>
      </c>
      <c r="I66" s="97" t="s">
        <v>1333</v>
      </c>
    </row>
    <row r="67" spans="1:9" ht="13.2" customHeight="1" x14ac:dyDescent="0.25">
      <c r="A67" s="20" t="s">
        <v>1983</v>
      </c>
      <c r="B67" t="s">
        <v>1974</v>
      </c>
      <c r="C67" s="4" t="s">
        <v>89</v>
      </c>
      <c r="D67" s="103">
        <v>0.78</v>
      </c>
      <c r="E67" s="103">
        <v>6.5000000000000002E-2</v>
      </c>
      <c r="F67" s="104">
        <f>(grains_table[[#This Row],[Extract %]]*46.214)/1000+1</f>
        <v>1.03604692</v>
      </c>
      <c r="G67" s="4">
        <v>19.3</v>
      </c>
      <c r="H67" s="451">
        <v>0</v>
      </c>
      <c r="I67" s="98" t="s">
        <v>1975</v>
      </c>
    </row>
    <row r="68" spans="1:9" ht="13.2" customHeight="1" x14ac:dyDescent="0.25">
      <c r="A68" s="20" t="s">
        <v>1984</v>
      </c>
      <c r="B68" t="s">
        <v>1974</v>
      </c>
      <c r="C68" s="4" t="s">
        <v>89</v>
      </c>
      <c r="D68" s="103">
        <v>0.78</v>
      </c>
      <c r="E68" s="103">
        <v>0.06</v>
      </c>
      <c r="F68" s="104">
        <f>(grains_table[[#This Row],[Extract %]]*46.214)/1000+1</f>
        <v>1.03604692</v>
      </c>
      <c r="G68" s="4">
        <v>39.9</v>
      </c>
      <c r="H68" s="451">
        <v>0</v>
      </c>
      <c r="I68" s="98" t="s">
        <v>1975</v>
      </c>
    </row>
    <row r="69" spans="1:9" ht="13.2" customHeight="1" x14ac:dyDescent="0.25">
      <c r="A69" s="20" t="s">
        <v>1424</v>
      </c>
      <c r="B69" s="20" t="s">
        <v>1308</v>
      </c>
      <c r="C69" s="41" t="s">
        <v>89</v>
      </c>
      <c r="D69" s="106">
        <v>0.71</v>
      </c>
      <c r="E69" s="106">
        <v>3.5000000000000003E-2</v>
      </c>
      <c r="F69" s="104">
        <f>(grains_table[[#This Row],[Extract %]]*46.214)/1000+1</f>
        <v>1.03281194</v>
      </c>
      <c r="G69" s="4">
        <v>23.05</v>
      </c>
      <c r="H69" s="451">
        <v>0</v>
      </c>
      <c r="I69" s="97" t="s">
        <v>1326</v>
      </c>
    </row>
    <row r="70" spans="1:9" ht="13.2" customHeight="1" x14ac:dyDescent="0.25">
      <c r="A70" s="20" t="s">
        <v>1496</v>
      </c>
      <c r="B70" s="20" t="s">
        <v>1308</v>
      </c>
      <c r="C70" s="41" t="s">
        <v>89</v>
      </c>
      <c r="D70" s="106">
        <v>0.65</v>
      </c>
      <c r="E70" s="106">
        <v>0.02</v>
      </c>
      <c r="F70" s="104">
        <f>(grains_table[[#This Row],[Extract %]]*46.214)/1000+1</f>
        <v>1.0300391</v>
      </c>
      <c r="G70" s="4">
        <v>103.1</v>
      </c>
      <c r="H70" s="451">
        <v>0</v>
      </c>
      <c r="I70" s="97" t="s">
        <v>1342</v>
      </c>
    </row>
    <row r="71" spans="1:9" ht="13.2" customHeight="1" x14ac:dyDescent="0.25">
      <c r="A71" s="20" t="s">
        <v>1996</v>
      </c>
      <c r="B71" t="s">
        <v>1974</v>
      </c>
      <c r="C71" s="4" t="s">
        <v>89</v>
      </c>
      <c r="D71" s="103">
        <v>0.78</v>
      </c>
      <c r="E71" s="103">
        <v>6.5000000000000002E-2</v>
      </c>
      <c r="F71" s="104">
        <f>(grains_table[[#This Row],[Extract %]]*46.214)/1000+1</f>
        <v>1.03604692</v>
      </c>
      <c r="G71" s="4">
        <v>24.94</v>
      </c>
      <c r="H71" s="451">
        <v>0</v>
      </c>
      <c r="I71" s="98" t="s">
        <v>1975</v>
      </c>
    </row>
    <row r="72" spans="1:9" ht="13.2" customHeight="1" x14ac:dyDescent="0.25">
      <c r="A72" s="20" t="s">
        <v>1425</v>
      </c>
      <c r="B72" s="20" t="s">
        <v>1308</v>
      </c>
      <c r="C72" s="41" t="s">
        <v>89</v>
      </c>
      <c r="D72" s="106">
        <v>0.69</v>
      </c>
      <c r="E72" s="106">
        <v>0.05</v>
      </c>
      <c r="F72" s="104">
        <f>(grains_table[[#This Row],[Extract %]]*46.214)/1000+1</f>
        <v>1.03188766</v>
      </c>
      <c r="G72" s="4">
        <v>113.1</v>
      </c>
      <c r="H72" s="451">
        <v>0</v>
      </c>
      <c r="I72" s="97" t="s">
        <v>1332</v>
      </c>
    </row>
    <row r="73" spans="1:9" ht="13.2" customHeight="1" x14ac:dyDescent="0.25">
      <c r="A73" s="20" t="s">
        <v>1426</v>
      </c>
      <c r="B73" s="20" t="s">
        <v>1310</v>
      </c>
      <c r="C73" s="41" t="s">
        <v>89</v>
      </c>
      <c r="D73" s="106">
        <v>0.72</v>
      </c>
      <c r="E73" s="106">
        <v>0.05</v>
      </c>
      <c r="F73" s="104">
        <f>(grains_table[[#This Row],[Extract %]]*46.214)/1000+1</f>
        <v>1.03327408</v>
      </c>
      <c r="G73" s="4">
        <v>125</v>
      </c>
      <c r="H73" s="451">
        <v>0</v>
      </c>
      <c r="I73" s="97" t="s">
        <v>1346</v>
      </c>
    </row>
    <row r="74" spans="1:9" ht="13.2" customHeight="1" x14ac:dyDescent="0.25">
      <c r="A74" s="20" t="s">
        <v>2005</v>
      </c>
      <c r="B74" t="s">
        <v>1974</v>
      </c>
      <c r="C74" s="4" t="s">
        <v>89</v>
      </c>
      <c r="D74" s="103">
        <v>0.71</v>
      </c>
      <c r="E74" s="103">
        <v>0.06</v>
      </c>
      <c r="F74" s="104">
        <f>(grains_table[[#This Row],[Extract %]]*46.214)/1000+1</f>
        <v>1.03281194</v>
      </c>
      <c r="G74" s="4">
        <v>43.3</v>
      </c>
      <c r="H74" s="451">
        <v>0</v>
      </c>
      <c r="I74" s="98" t="s">
        <v>1975</v>
      </c>
    </row>
    <row r="75" spans="1:9" ht="13.2" customHeight="1" x14ac:dyDescent="0.25">
      <c r="A75" s="20" t="s">
        <v>2006</v>
      </c>
      <c r="B75" t="s">
        <v>1974</v>
      </c>
      <c r="C75" s="4" t="s">
        <v>89</v>
      </c>
      <c r="D75" s="103">
        <v>0.74</v>
      </c>
      <c r="E75" s="103">
        <v>7.4999999999999997E-2</v>
      </c>
      <c r="F75" s="104">
        <f>(grains_table[[#This Row],[Extract %]]*46.214)/1000+1</f>
        <v>1.03419836</v>
      </c>
      <c r="G75" s="4">
        <v>5.0999999999999996</v>
      </c>
      <c r="H75" s="451">
        <v>0</v>
      </c>
      <c r="I75" s="98" t="s">
        <v>1975</v>
      </c>
    </row>
    <row r="76" spans="1:9" ht="13.2" customHeight="1" x14ac:dyDescent="0.25">
      <c r="A76" s="20" t="s">
        <v>1514</v>
      </c>
      <c r="B76" s="20" t="s">
        <v>1352</v>
      </c>
      <c r="C76" s="41" t="s">
        <v>89</v>
      </c>
      <c r="D76" s="106">
        <v>0.5</v>
      </c>
      <c r="E76" s="106">
        <v>4.9000000000000002E-2</v>
      </c>
      <c r="F76" s="104">
        <f>(grains_table[[#This Row],[Extract %]]*46.214)/1000+1</f>
        <v>1.023107</v>
      </c>
      <c r="G76" s="4">
        <v>1.4</v>
      </c>
      <c r="H76" s="451">
        <f>(250+16)/3.5</f>
        <v>76</v>
      </c>
      <c r="I76" s="98" t="s">
        <v>1386</v>
      </c>
    </row>
    <row r="77" spans="1:9" ht="13.2" customHeight="1" x14ac:dyDescent="0.25">
      <c r="A77" s="20" t="s">
        <v>2107</v>
      </c>
      <c r="B77" t="s">
        <v>1309</v>
      </c>
      <c r="C77" s="543" t="s">
        <v>89</v>
      </c>
      <c r="D77" s="103">
        <v>0.71</v>
      </c>
      <c r="E77" s="103">
        <v>5.5E-2</v>
      </c>
      <c r="F77" s="104">
        <f>(grains_table[[#This Row],[Extract %]]*46.214)/1000+1</f>
        <v>1.03281194</v>
      </c>
      <c r="G77" s="543">
        <v>350</v>
      </c>
      <c r="H77" s="451">
        <v>0</v>
      </c>
      <c r="I77" s="98" t="s">
        <v>2108</v>
      </c>
    </row>
    <row r="78" spans="1:9" ht="13.2" customHeight="1" x14ac:dyDescent="0.25">
      <c r="A78" s="20" t="s">
        <v>2109</v>
      </c>
      <c r="B78" t="s">
        <v>1309</v>
      </c>
      <c r="C78" s="543" t="s">
        <v>89</v>
      </c>
      <c r="D78" s="103">
        <v>0.71</v>
      </c>
      <c r="E78" s="103">
        <v>5.5E-2</v>
      </c>
      <c r="F78" s="104">
        <f>(grains_table[[#This Row],[Extract %]]*46.214)/1000+1</f>
        <v>1.03281194</v>
      </c>
      <c r="G78" s="543">
        <v>420</v>
      </c>
      <c r="H78" s="451">
        <v>0</v>
      </c>
      <c r="I78" s="98" t="s">
        <v>2108</v>
      </c>
    </row>
    <row r="79" spans="1:9" ht="13.2" customHeight="1" x14ac:dyDescent="0.25">
      <c r="A79" s="20" t="s">
        <v>1982</v>
      </c>
      <c r="B79" t="s">
        <v>1974</v>
      </c>
      <c r="C79" s="4" t="s">
        <v>89</v>
      </c>
      <c r="D79" s="103">
        <v>0.71</v>
      </c>
      <c r="E79" s="103">
        <v>4.4999999999999998E-2</v>
      </c>
      <c r="F79" s="104">
        <f>(grains_table[[#This Row],[Extract %]]*46.214)/1000+1</f>
        <v>1.03281194</v>
      </c>
      <c r="G79" s="4">
        <v>488</v>
      </c>
      <c r="H79" s="451">
        <v>0</v>
      </c>
      <c r="I79" s="98" t="s">
        <v>1975</v>
      </c>
    </row>
    <row r="80" spans="1:9" ht="13.2" customHeight="1" x14ac:dyDescent="0.25">
      <c r="A80" s="20" t="s">
        <v>1981</v>
      </c>
      <c r="B80" t="s">
        <v>1974</v>
      </c>
      <c r="C80" s="4" t="s">
        <v>89</v>
      </c>
      <c r="D80" s="103">
        <v>0.71</v>
      </c>
      <c r="E80" s="103">
        <v>4.4999999999999998E-2</v>
      </c>
      <c r="F80" s="104">
        <f>(grains_table[[#This Row],[Extract %]]*46.214)/1000+1</f>
        <v>1.03281194</v>
      </c>
      <c r="G80" s="4">
        <v>356.8</v>
      </c>
      <c r="H80" s="451">
        <v>0</v>
      </c>
      <c r="I80" s="98" t="s">
        <v>1975</v>
      </c>
    </row>
    <row r="81" spans="1:9" ht="13.2" customHeight="1" x14ac:dyDescent="0.25">
      <c r="A81" s="20" t="s">
        <v>1597</v>
      </c>
      <c r="B81" s="20" t="s">
        <v>1310</v>
      </c>
      <c r="C81" s="41" t="s">
        <v>89</v>
      </c>
      <c r="D81" s="106">
        <v>0.7</v>
      </c>
      <c r="E81" s="106">
        <v>4.4999999999999998E-2</v>
      </c>
      <c r="F81" s="104">
        <f>(grains_table[[#This Row],[Extract %]]*46.214)/1000+1</f>
        <v>1.0323498</v>
      </c>
      <c r="G81" s="4">
        <v>340</v>
      </c>
      <c r="H81" s="451">
        <v>0</v>
      </c>
      <c r="I81" s="98" t="s">
        <v>1347</v>
      </c>
    </row>
    <row r="82" spans="1:9" ht="13.2" customHeight="1" x14ac:dyDescent="0.25">
      <c r="A82" s="20" t="s">
        <v>1990</v>
      </c>
      <c r="B82" t="s">
        <v>1974</v>
      </c>
      <c r="C82" s="4" t="s">
        <v>89</v>
      </c>
      <c r="D82" s="103">
        <v>0.58919999999999995</v>
      </c>
      <c r="E82" s="103">
        <v>6.2799999999999995E-2</v>
      </c>
      <c r="F82" s="104">
        <f>(grains_table[[#This Row],[Extract %]]*46.214)/1000+1</f>
        <v>1.0272292888000001</v>
      </c>
      <c r="G82" s="4">
        <v>1.5</v>
      </c>
      <c r="H82" s="451">
        <v>0</v>
      </c>
      <c r="I82" s="98" t="s">
        <v>1975</v>
      </c>
    </row>
    <row r="83" spans="1:9" ht="13.2" customHeight="1" x14ac:dyDescent="0.25">
      <c r="A83" s="20" t="s">
        <v>1427</v>
      </c>
      <c r="B83" s="20" t="s">
        <v>1309</v>
      </c>
      <c r="C83" s="41" t="s">
        <v>89</v>
      </c>
      <c r="D83" s="106">
        <v>0.75</v>
      </c>
      <c r="E83" s="106">
        <v>6.5000000000000002E-2</v>
      </c>
      <c r="F83" s="104">
        <f>(grains_table[[#This Row],[Extract %]]*46.214)/1000+1</f>
        <v>1.0346605</v>
      </c>
      <c r="G83" s="4">
        <v>1.5</v>
      </c>
      <c r="H83" s="451">
        <v>0</v>
      </c>
      <c r="I83" s="97" t="s">
        <v>1353</v>
      </c>
    </row>
    <row r="84" spans="1:9" ht="13.2" customHeight="1" x14ac:dyDescent="0.25">
      <c r="A84" s="20" t="s">
        <v>1428</v>
      </c>
      <c r="B84" s="20" t="s">
        <v>1309</v>
      </c>
      <c r="C84" s="41" t="s">
        <v>89</v>
      </c>
      <c r="D84" s="106">
        <v>0.75</v>
      </c>
      <c r="E84" s="106">
        <v>5.5E-2</v>
      </c>
      <c r="F84" s="104">
        <f>(grains_table[[#This Row],[Extract %]]*46.214)/1000+1</f>
        <v>1.0346605</v>
      </c>
      <c r="G84" s="4">
        <v>30</v>
      </c>
      <c r="H84" s="451">
        <v>0</v>
      </c>
      <c r="I84" s="97" t="s">
        <v>1353</v>
      </c>
    </row>
    <row r="85" spans="1:9" ht="13.2" customHeight="1" x14ac:dyDescent="0.25">
      <c r="A85" s="20" t="s">
        <v>1429</v>
      </c>
      <c r="B85" s="20" t="s">
        <v>1308</v>
      </c>
      <c r="C85" s="41" t="s">
        <v>89</v>
      </c>
      <c r="D85" s="106">
        <v>0.67500000000000004</v>
      </c>
      <c r="E85" s="106">
        <v>7.0000000000000007E-2</v>
      </c>
      <c r="F85" s="104">
        <f>(grains_table[[#This Row],[Extract %]]*46.214)/1000+1</f>
        <v>1.0311944500000001</v>
      </c>
      <c r="G85" s="4">
        <v>1.1000000000000001</v>
      </c>
      <c r="H85" s="451">
        <v>0</v>
      </c>
      <c r="I85" s="97" t="s">
        <v>1344</v>
      </c>
    </row>
    <row r="86" spans="1:9" ht="13.2" customHeight="1" x14ac:dyDescent="0.25">
      <c r="A86" s="20" t="s">
        <v>1988</v>
      </c>
      <c r="B86" t="s">
        <v>1974</v>
      </c>
      <c r="C86" s="4" t="s">
        <v>89</v>
      </c>
      <c r="D86" s="103">
        <v>0.82</v>
      </c>
      <c r="E86" s="103">
        <v>0.05</v>
      </c>
      <c r="F86" s="104">
        <f>(grains_table[[#This Row],[Extract %]]*46.214)/1000+1</f>
        <v>1.03789548</v>
      </c>
      <c r="G86" s="4">
        <v>3.6</v>
      </c>
      <c r="H86" s="451">
        <v>0</v>
      </c>
      <c r="I86" s="97" t="s">
        <v>1975</v>
      </c>
    </row>
    <row r="87" spans="1:9" x14ac:dyDescent="0.25">
      <c r="A87" s="20" t="s">
        <v>1599</v>
      </c>
      <c r="B87" s="20" t="s">
        <v>1309</v>
      </c>
      <c r="C87" s="41" t="s">
        <v>725</v>
      </c>
      <c r="D87" s="103"/>
      <c r="E87" s="103"/>
      <c r="F87" s="104">
        <v>1.0449999999999999</v>
      </c>
      <c r="G87" s="4">
        <v>6</v>
      </c>
      <c r="H87" s="451">
        <v>0</v>
      </c>
      <c r="I87" s="97" t="s">
        <v>1551</v>
      </c>
    </row>
    <row r="88" spans="1:9" ht="13.2" customHeight="1" x14ac:dyDescent="0.25">
      <c r="A88" s="20" t="s">
        <v>1600</v>
      </c>
      <c r="B88" s="20" t="s">
        <v>1309</v>
      </c>
      <c r="C88" s="41" t="s">
        <v>725</v>
      </c>
      <c r="D88" s="103"/>
      <c r="E88" s="103"/>
      <c r="F88" s="104">
        <v>1.0449999999999999</v>
      </c>
      <c r="G88" s="4">
        <v>2</v>
      </c>
      <c r="H88" s="451">
        <v>0</v>
      </c>
      <c r="I88" s="97" t="s">
        <v>1551</v>
      </c>
    </row>
    <row r="89" spans="1:9" ht="13.2" customHeight="1" x14ac:dyDescent="0.25">
      <c r="A89" s="20" t="s">
        <v>1535</v>
      </c>
      <c r="B89" s="20" t="s">
        <v>582</v>
      </c>
      <c r="C89" s="41" t="s">
        <v>725</v>
      </c>
      <c r="D89" s="106"/>
      <c r="E89" s="106"/>
      <c r="F89" s="104">
        <v>1.0383439999999999</v>
      </c>
      <c r="G89" s="4">
        <v>6.7</v>
      </c>
      <c r="H89" s="451">
        <v>0</v>
      </c>
      <c r="I89" s="97" t="s">
        <v>1527</v>
      </c>
    </row>
    <row r="90" spans="1:9" ht="13.2" customHeight="1" x14ac:dyDescent="0.25">
      <c r="A90" s="20" t="s">
        <v>1536</v>
      </c>
      <c r="B90" s="20" t="s">
        <v>582</v>
      </c>
      <c r="C90" s="41" t="s">
        <v>725</v>
      </c>
      <c r="D90" s="106"/>
      <c r="E90" s="106"/>
      <c r="F90" s="104">
        <v>1.0377449999999999</v>
      </c>
      <c r="G90" s="4">
        <v>22</v>
      </c>
      <c r="H90" s="451">
        <v>0</v>
      </c>
      <c r="I90" s="97" t="s">
        <v>1527</v>
      </c>
    </row>
    <row r="91" spans="1:9" ht="13.2" customHeight="1" x14ac:dyDescent="0.25">
      <c r="A91" s="20" t="s">
        <v>1537</v>
      </c>
      <c r="B91" s="20" t="s">
        <v>582</v>
      </c>
      <c r="C91" s="41" t="s">
        <v>725</v>
      </c>
      <c r="D91" s="106"/>
      <c r="E91" s="106"/>
      <c r="F91" s="104">
        <v>1.0377449999999999</v>
      </c>
      <c r="G91" s="4">
        <v>36</v>
      </c>
      <c r="H91" s="451">
        <v>0</v>
      </c>
      <c r="I91" s="97" t="s">
        <v>1527</v>
      </c>
    </row>
    <row r="92" spans="1:9" ht="13.2" customHeight="1" x14ac:dyDescent="0.25">
      <c r="A92" s="20" t="s">
        <v>1538</v>
      </c>
      <c r="B92" s="20" t="s">
        <v>582</v>
      </c>
      <c r="C92" s="41" t="s">
        <v>725</v>
      </c>
      <c r="D92" s="106"/>
      <c r="E92" s="106"/>
      <c r="F92" s="104">
        <v>1.0383439999999999</v>
      </c>
      <c r="G92" s="4">
        <v>5.0999999999999996</v>
      </c>
      <c r="H92" s="451">
        <v>0</v>
      </c>
      <c r="I92" s="97" t="s">
        <v>1527</v>
      </c>
    </row>
    <row r="93" spans="1:9" ht="13.2" customHeight="1" x14ac:dyDescent="0.25">
      <c r="A93" s="20" t="s">
        <v>1539</v>
      </c>
      <c r="B93" s="20" t="s">
        <v>582</v>
      </c>
      <c r="C93" s="41" t="s">
        <v>725</v>
      </c>
      <c r="D93" s="106"/>
      <c r="E93" s="106"/>
      <c r="F93" s="104">
        <v>1.0383439999999999</v>
      </c>
      <c r="G93" s="4">
        <v>3.8</v>
      </c>
      <c r="H93" s="451">
        <v>0</v>
      </c>
      <c r="I93" s="97" t="s">
        <v>1527</v>
      </c>
    </row>
    <row r="94" spans="1:9" ht="13.2" customHeight="1" x14ac:dyDescent="0.25">
      <c r="A94" s="20" t="s">
        <v>1540</v>
      </c>
      <c r="B94" s="20" t="s">
        <v>582</v>
      </c>
      <c r="C94" s="41" t="s">
        <v>725</v>
      </c>
      <c r="D94" s="106"/>
      <c r="E94" s="106"/>
      <c r="F94" s="104">
        <v>1.0377449999999999</v>
      </c>
      <c r="G94" s="4">
        <v>12.75</v>
      </c>
      <c r="H94" s="451">
        <v>0</v>
      </c>
      <c r="I94" s="97" t="s">
        <v>1527</v>
      </c>
    </row>
    <row r="95" spans="1:9" ht="13.2" customHeight="1" x14ac:dyDescent="0.25">
      <c r="A95" s="20" t="s">
        <v>1541</v>
      </c>
      <c r="B95" s="20" t="s">
        <v>582</v>
      </c>
      <c r="C95" s="41" t="s">
        <v>725</v>
      </c>
      <c r="D95" s="106"/>
      <c r="E95" s="106"/>
      <c r="F95" s="104">
        <v>1.0377449999999999</v>
      </c>
      <c r="G95" s="4">
        <v>533.5</v>
      </c>
      <c r="H95" s="451">
        <v>0</v>
      </c>
      <c r="I95" s="97" t="s">
        <v>1527</v>
      </c>
    </row>
    <row r="96" spans="1:9" ht="13.2" customHeight="1" x14ac:dyDescent="0.25">
      <c r="A96" s="20" t="s">
        <v>1298</v>
      </c>
      <c r="B96" s="20" t="s">
        <v>1309</v>
      </c>
      <c r="C96" s="41" t="s">
        <v>89</v>
      </c>
      <c r="D96" s="106">
        <v>0.7</v>
      </c>
      <c r="E96" s="106">
        <v>0.09</v>
      </c>
      <c r="F96" s="104">
        <f>(grains_table[[#This Row],[Extract %]]*46.214)/1000+1</f>
        <v>1.0323498</v>
      </c>
      <c r="G96" s="4">
        <v>1.4</v>
      </c>
      <c r="H96" s="451">
        <v>0</v>
      </c>
      <c r="I96" s="97" t="s">
        <v>1550</v>
      </c>
    </row>
    <row r="97" spans="1:9" ht="13.2" customHeight="1" x14ac:dyDescent="0.25">
      <c r="A97" s="20" t="s">
        <v>1987</v>
      </c>
      <c r="B97" t="s">
        <v>1974</v>
      </c>
      <c r="C97" s="4" t="s">
        <v>89</v>
      </c>
      <c r="D97" s="103">
        <v>0.7</v>
      </c>
      <c r="E97" s="103">
        <v>0.09</v>
      </c>
      <c r="F97" s="104">
        <v>1.032</v>
      </c>
      <c r="G97" s="4">
        <v>1.4</v>
      </c>
      <c r="H97" s="451">
        <v>0</v>
      </c>
      <c r="I97" s="97" t="s">
        <v>1975</v>
      </c>
    </row>
    <row r="98" spans="1:9" ht="13.2" customHeight="1" x14ac:dyDescent="0.25">
      <c r="A98" s="20" t="s">
        <v>1301</v>
      </c>
      <c r="B98" s="20" t="s">
        <v>1309</v>
      </c>
      <c r="C98" s="41" t="s">
        <v>89</v>
      </c>
      <c r="D98" s="106">
        <v>0.6</v>
      </c>
      <c r="E98" s="106">
        <v>7.0000000000000007E-2</v>
      </c>
      <c r="F98" s="104">
        <f>(grains_table[[#This Row],[Extract %]]*46.214)/1000+1</f>
        <v>1.0277284</v>
      </c>
      <c r="G98" s="4">
        <v>1</v>
      </c>
      <c r="H98" s="451">
        <v>0</v>
      </c>
      <c r="I98" s="97" t="s">
        <v>1550</v>
      </c>
    </row>
    <row r="99" spans="1:9" ht="13.2" customHeight="1" x14ac:dyDescent="0.25">
      <c r="A99" s="20" t="s">
        <v>1300</v>
      </c>
      <c r="B99" s="20" t="s">
        <v>1309</v>
      </c>
      <c r="C99" s="41" t="s">
        <v>89</v>
      </c>
      <c r="D99" s="106">
        <v>0.7</v>
      </c>
      <c r="E99" s="106">
        <v>7.4999999999999997E-2</v>
      </c>
      <c r="F99" s="104">
        <f>(grains_table[[#This Row],[Extract %]]*46.214)/1000+1</f>
        <v>1.0323498</v>
      </c>
      <c r="G99" s="4">
        <v>2.5</v>
      </c>
      <c r="H99" s="451">
        <v>0</v>
      </c>
      <c r="I99" s="97" t="s">
        <v>1550</v>
      </c>
    </row>
    <row r="100" spans="1:9" ht="13.2" customHeight="1" x14ac:dyDescent="0.25">
      <c r="A100" s="20" t="s">
        <v>1302</v>
      </c>
      <c r="B100" s="20" t="s">
        <v>1309</v>
      </c>
      <c r="C100" s="41" t="s">
        <v>89</v>
      </c>
      <c r="D100" s="106">
        <v>0.7</v>
      </c>
      <c r="E100" s="106">
        <v>7.0000000000000007E-2</v>
      </c>
      <c r="F100" s="104">
        <f>(grains_table[[#This Row],[Extract %]]*46.214)/1000+1</f>
        <v>1.0323498</v>
      </c>
      <c r="G100" s="4">
        <v>2</v>
      </c>
      <c r="H100" s="451">
        <v>0</v>
      </c>
      <c r="I100" s="97" t="s">
        <v>1550</v>
      </c>
    </row>
    <row r="101" spans="1:9" ht="13.2" customHeight="1" x14ac:dyDescent="0.25">
      <c r="A101" s="20" t="s">
        <v>1303</v>
      </c>
      <c r="B101" s="20" t="s">
        <v>1309</v>
      </c>
      <c r="C101" s="41" t="s">
        <v>89</v>
      </c>
      <c r="D101" s="106">
        <v>0.71</v>
      </c>
      <c r="E101" s="106">
        <v>0.09</v>
      </c>
      <c r="F101" s="104">
        <f>(grains_table[[#This Row],[Extract %]]*46.214)/1000+1</f>
        <v>1.03281194</v>
      </c>
      <c r="G101" s="4">
        <v>3</v>
      </c>
      <c r="H101" s="451">
        <v>0</v>
      </c>
      <c r="I101" s="97" t="s">
        <v>1550</v>
      </c>
    </row>
    <row r="102" spans="1:9" ht="13.2" customHeight="1" x14ac:dyDescent="0.25">
      <c r="A102" s="20" t="s">
        <v>1304</v>
      </c>
      <c r="B102" s="20" t="s">
        <v>1309</v>
      </c>
      <c r="C102" s="41" t="s">
        <v>89</v>
      </c>
      <c r="D102" s="106">
        <v>0.71</v>
      </c>
      <c r="E102" s="106">
        <v>7.0000000000000007E-2</v>
      </c>
      <c r="F102" s="104">
        <f>(grains_table[[#This Row],[Extract %]]*46.214)/1000+1</f>
        <v>1.03281194</v>
      </c>
      <c r="G102" s="4">
        <v>2.5</v>
      </c>
      <c r="H102" s="451">
        <v>0</v>
      </c>
      <c r="I102" s="97" t="s">
        <v>1550</v>
      </c>
    </row>
    <row r="103" spans="1:9" ht="13.2" customHeight="1" x14ac:dyDescent="0.25">
      <c r="A103" s="20" t="s">
        <v>1299</v>
      </c>
      <c r="B103" s="20" t="s">
        <v>1309</v>
      </c>
      <c r="C103" s="41" t="s">
        <v>89</v>
      </c>
      <c r="D103" s="106">
        <v>0.75</v>
      </c>
      <c r="E103" s="106">
        <v>0.08</v>
      </c>
      <c r="F103" s="104">
        <f>(grains_table[[#This Row],[Extract %]]*46.214)/1000+1</f>
        <v>1.0346605</v>
      </c>
      <c r="G103" s="4">
        <v>0.8</v>
      </c>
      <c r="H103" s="451">
        <v>0</v>
      </c>
      <c r="I103" s="97" t="s">
        <v>1550</v>
      </c>
    </row>
    <row r="104" spans="1:9" ht="13.2" customHeight="1" x14ac:dyDescent="0.25">
      <c r="A104" s="20" t="s">
        <v>1592</v>
      </c>
      <c r="B104" s="20" t="s">
        <v>1307</v>
      </c>
      <c r="C104" s="41" t="s">
        <v>89</v>
      </c>
      <c r="D104" s="106">
        <v>0.78</v>
      </c>
      <c r="E104" s="106">
        <v>4.4999999999999998E-2</v>
      </c>
      <c r="F104" s="104">
        <f>(grains_table[[#This Row],[Extract %]]*46.214)/1000+1</f>
        <v>1.03604692</v>
      </c>
      <c r="G104" s="4">
        <v>6.6</v>
      </c>
      <c r="H104" s="451"/>
      <c r="I104" s="97" t="s">
        <v>1348</v>
      </c>
    </row>
    <row r="105" spans="1:9" ht="13.2" customHeight="1" x14ac:dyDescent="0.25">
      <c r="A105" s="20" t="s">
        <v>1602</v>
      </c>
      <c r="B105" s="20" t="s">
        <v>1309</v>
      </c>
      <c r="C105" s="41" t="s">
        <v>725</v>
      </c>
      <c r="D105" s="103"/>
      <c r="E105" s="103"/>
      <c r="F105" s="104">
        <v>1.036</v>
      </c>
      <c r="G105" s="4">
        <v>6</v>
      </c>
      <c r="H105" s="451">
        <v>0</v>
      </c>
      <c r="I105" s="97" t="s">
        <v>1551</v>
      </c>
    </row>
    <row r="106" spans="1:9" ht="13.2" customHeight="1" x14ac:dyDescent="0.25">
      <c r="A106" s="20" t="s">
        <v>1601</v>
      </c>
      <c r="B106" s="20" t="s">
        <v>1309</v>
      </c>
      <c r="C106" s="41" t="s">
        <v>725</v>
      </c>
      <c r="D106" s="106"/>
      <c r="E106" s="106"/>
      <c r="F106" s="104">
        <v>1.036</v>
      </c>
      <c r="G106" s="4">
        <v>2</v>
      </c>
      <c r="H106" s="451">
        <v>0</v>
      </c>
      <c r="I106" s="97" t="s">
        <v>1551</v>
      </c>
    </row>
    <row r="107" spans="1:9" ht="13.2" customHeight="1" x14ac:dyDescent="0.25">
      <c r="A107" s="20" t="s">
        <v>1542</v>
      </c>
      <c r="B107" s="20" t="s">
        <v>582</v>
      </c>
      <c r="C107" s="41" t="s">
        <v>725</v>
      </c>
      <c r="D107" s="106"/>
      <c r="E107" s="106"/>
      <c r="F107" s="104">
        <v>1.036</v>
      </c>
      <c r="G107" s="4">
        <v>7.2</v>
      </c>
      <c r="H107" s="451">
        <v>0</v>
      </c>
      <c r="I107" s="97" t="s">
        <v>1527</v>
      </c>
    </row>
    <row r="108" spans="1:9" ht="13.2" customHeight="1" x14ac:dyDescent="0.25">
      <c r="A108" s="20" t="s">
        <v>1543</v>
      </c>
      <c r="B108" s="20" t="s">
        <v>582</v>
      </c>
      <c r="C108" s="41" t="s">
        <v>725</v>
      </c>
      <c r="D108" s="106"/>
      <c r="E108" s="106"/>
      <c r="F108" s="104">
        <v>1.036</v>
      </c>
      <c r="G108" s="4">
        <v>3.8</v>
      </c>
      <c r="H108" s="451">
        <v>0</v>
      </c>
      <c r="I108" s="97" t="s">
        <v>1527</v>
      </c>
    </row>
    <row r="109" spans="1:9" ht="13.2" customHeight="1" x14ac:dyDescent="0.25">
      <c r="A109" s="20" t="s">
        <v>1544</v>
      </c>
      <c r="B109" s="20" t="s">
        <v>582</v>
      </c>
      <c r="C109" s="41" t="s">
        <v>725</v>
      </c>
      <c r="D109" s="106"/>
      <c r="E109" s="106"/>
      <c r="F109" s="104">
        <v>1.036</v>
      </c>
      <c r="G109" s="4">
        <v>10.25</v>
      </c>
      <c r="H109" s="451">
        <v>0</v>
      </c>
      <c r="I109" s="97" t="s">
        <v>1527</v>
      </c>
    </row>
    <row r="110" spans="1:9" ht="13.2" customHeight="1" x14ac:dyDescent="0.25">
      <c r="A110" s="20" t="s">
        <v>1545</v>
      </c>
      <c r="B110" s="20" t="s">
        <v>582</v>
      </c>
      <c r="C110" s="41" t="s">
        <v>725</v>
      </c>
      <c r="D110" s="106"/>
      <c r="E110" s="106"/>
      <c r="F110" s="104">
        <v>1.036</v>
      </c>
      <c r="G110" s="4">
        <v>5.3</v>
      </c>
      <c r="H110" s="451">
        <v>0</v>
      </c>
      <c r="I110" s="97" t="s">
        <v>1527</v>
      </c>
    </row>
    <row r="111" spans="1:9" ht="13.2" customHeight="1" x14ac:dyDescent="0.25">
      <c r="A111" s="20" t="s">
        <v>1448</v>
      </c>
      <c r="B111" s="20" t="s">
        <v>1352</v>
      </c>
      <c r="C111" s="41" t="s">
        <v>89</v>
      </c>
      <c r="D111" s="106">
        <v>0.75</v>
      </c>
      <c r="E111" s="106">
        <v>4.9000000000000002E-2</v>
      </c>
      <c r="F111" s="104">
        <f>(grains_table[[#This Row],[Extract %]]*46.214)/1000+1</f>
        <v>1.0346605</v>
      </c>
      <c r="G111" s="4">
        <v>28</v>
      </c>
      <c r="H111" s="451">
        <v>0</v>
      </c>
      <c r="I111" s="97" t="s">
        <v>1368</v>
      </c>
    </row>
    <row r="112" spans="1:9" ht="13.2" customHeight="1" x14ac:dyDescent="0.25">
      <c r="A112" s="20" t="s">
        <v>1449</v>
      </c>
      <c r="B112" s="20" t="s">
        <v>1352</v>
      </c>
      <c r="C112" s="41" t="s">
        <v>89</v>
      </c>
      <c r="D112" s="106">
        <v>0.75</v>
      </c>
      <c r="E112" s="106">
        <v>4.9000000000000002E-2</v>
      </c>
      <c r="F112" s="104">
        <f>(grains_table[[#This Row],[Extract %]]*46.214)/1000+1</f>
        <v>1.0346605</v>
      </c>
      <c r="G112" s="4">
        <v>19.5</v>
      </c>
      <c r="H112" s="451">
        <v>0</v>
      </c>
      <c r="I112" s="97" t="s">
        <v>1369</v>
      </c>
    </row>
    <row r="113" spans="1:9" ht="13.2" customHeight="1" x14ac:dyDescent="0.25">
      <c r="A113" s="20" t="s">
        <v>1450</v>
      </c>
      <c r="B113" s="20" t="s">
        <v>1307</v>
      </c>
      <c r="C113" s="41" t="s">
        <v>89</v>
      </c>
      <c r="D113" s="106">
        <v>0.75</v>
      </c>
      <c r="E113" s="106">
        <v>4.4999999999999998E-2</v>
      </c>
      <c r="F113" s="104">
        <f>(grains_table[[#This Row],[Extract %]]*46.214)/1000+1</f>
        <v>1.0346605</v>
      </c>
      <c r="G113" s="4">
        <v>27</v>
      </c>
      <c r="H113" s="451"/>
      <c r="I113" s="97" t="s">
        <v>1348</v>
      </c>
    </row>
    <row r="114" spans="1:9" ht="13.2" customHeight="1" x14ac:dyDescent="0.25">
      <c r="A114" s="20" t="s">
        <v>1442</v>
      </c>
      <c r="B114" s="20" t="s">
        <v>1309</v>
      </c>
      <c r="C114" s="41" t="s">
        <v>89</v>
      </c>
      <c r="D114" s="106">
        <v>0.77</v>
      </c>
      <c r="E114" s="106">
        <v>2.5000000000000001E-2</v>
      </c>
      <c r="F114" s="104">
        <f>(grains_table[[#This Row],[Extract %]]*46.214)/1000+1</f>
        <v>1.03558478</v>
      </c>
      <c r="G114" s="4">
        <v>20</v>
      </c>
      <c r="H114" s="451">
        <v>20</v>
      </c>
      <c r="I114" s="97" t="s">
        <v>1349</v>
      </c>
    </row>
    <row r="115" spans="1:9" ht="13.2" customHeight="1" x14ac:dyDescent="0.25">
      <c r="A115" s="20" t="s">
        <v>1443</v>
      </c>
      <c r="B115" s="20" t="s">
        <v>1352</v>
      </c>
      <c r="C115" s="41" t="s">
        <v>89</v>
      </c>
      <c r="D115" s="106">
        <v>0.80500000000000005</v>
      </c>
      <c r="E115" s="106">
        <v>4.9000000000000002E-2</v>
      </c>
      <c r="F115" s="104">
        <f>(grains_table[[#This Row],[Extract %]]*46.214)/1000+1</f>
        <v>1.0372022700000001</v>
      </c>
      <c r="G115" s="4">
        <v>6.3</v>
      </c>
      <c r="H115" s="451">
        <f>(230+16)/3.5</f>
        <v>70.285714285714292</v>
      </c>
      <c r="I115" s="97" t="s">
        <v>1370</v>
      </c>
    </row>
    <row r="116" spans="1:9" ht="13.2" customHeight="1" x14ac:dyDescent="0.25">
      <c r="A116" s="20" t="s">
        <v>1444</v>
      </c>
      <c r="B116" s="20" t="s">
        <v>1352</v>
      </c>
      <c r="C116" s="41" t="s">
        <v>89</v>
      </c>
      <c r="D116" s="106">
        <v>0.8</v>
      </c>
      <c r="E116" s="106">
        <v>4.9000000000000002E-2</v>
      </c>
      <c r="F116" s="104">
        <f>(grains_table[[#This Row],[Extract %]]*46.214)/1000+1</f>
        <v>1.0369712</v>
      </c>
      <c r="G116" s="4">
        <v>11.05</v>
      </c>
      <c r="H116" s="451">
        <f>(230+16)/3.5</f>
        <v>70.285714285714292</v>
      </c>
      <c r="I116" s="97" t="s">
        <v>1367</v>
      </c>
    </row>
    <row r="117" spans="1:9" ht="13.2" customHeight="1" x14ac:dyDescent="0.25">
      <c r="A117" s="20" t="s">
        <v>1445</v>
      </c>
      <c r="B117" s="20" t="s">
        <v>1309</v>
      </c>
      <c r="C117" s="41" t="s">
        <v>89</v>
      </c>
      <c r="D117" s="106">
        <v>0.78</v>
      </c>
      <c r="E117" s="106">
        <v>3.3000000000000002E-2</v>
      </c>
      <c r="F117" s="104">
        <f>(grains_table[[#This Row],[Extract %]]*46.214)/1000+1</f>
        <v>1.03604692</v>
      </c>
      <c r="G117" s="4">
        <v>10</v>
      </c>
      <c r="H117" s="451">
        <v>40</v>
      </c>
      <c r="I117" s="97" t="s">
        <v>1358</v>
      </c>
    </row>
    <row r="118" spans="1:9" ht="13.2" customHeight="1" x14ac:dyDescent="0.25">
      <c r="A118" s="20" t="s">
        <v>2136</v>
      </c>
      <c r="B118" s="20" t="s">
        <v>1309</v>
      </c>
      <c r="C118" s="544" t="s">
        <v>89</v>
      </c>
      <c r="D118" s="106">
        <v>0.78</v>
      </c>
      <c r="E118" s="106">
        <v>3.3000000000000002E-2</v>
      </c>
      <c r="F118" s="104">
        <f>(grains_table[[#This Row],[Extract %]]*46.214)/1000+1</f>
        <v>1.03604692</v>
      </c>
      <c r="G118" s="545">
        <v>30</v>
      </c>
      <c r="H118" s="451">
        <v>40</v>
      </c>
      <c r="I118" s="97" t="s">
        <v>1358</v>
      </c>
    </row>
    <row r="119" spans="1:9" ht="13.2" customHeight="1" x14ac:dyDescent="0.25">
      <c r="A119" s="20" t="s">
        <v>1993</v>
      </c>
      <c r="B119" t="s">
        <v>1974</v>
      </c>
      <c r="C119" s="4" t="s">
        <v>89</v>
      </c>
      <c r="D119" s="103">
        <v>0.81</v>
      </c>
      <c r="E119" s="103">
        <v>0.03</v>
      </c>
      <c r="F119" s="104">
        <f>(grains_table[[#This Row],[Extract %]]*46.214)/1000+1</f>
        <v>1.03743334</v>
      </c>
      <c r="G119" s="4">
        <v>6</v>
      </c>
      <c r="H119" s="451">
        <f>(160+16)/3.5</f>
        <v>50.285714285714285</v>
      </c>
      <c r="I119" s="97" t="s">
        <v>1975</v>
      </c>
    </row>
    <row r="120" spans="1:9" ht="13.2" customHeight="1" x14ac:dyDescent="0.25">
      <c r="A120" s="20" t="s">
        <v>1447</v>
      </c>
      <c r="B120" s="20" t="s">
        <v>1308</v>
      </c>
      <c r="C120" s="41" t="s">
        <v>89</v>
      </c>
      <c r="D120" s="106">
        <v>0.8</v>
      </c>
      <c r="E120" s="106">
        <v>0.04</v>
      </c>
      <c r="F120" s="104">
        <f>(grains_table[[#This Row],[Extract %]]*46.214)/1000+1</f>
        <v>1.0369712</v>
      </c>
      <c r="G120" s="4">
        <v>8.6</v>
      </c>
      <c r="H120" s="451">
        <v>25</v>
      </c>
      <c r="I120" s="97" t="s">
        <v>1321</v>
      </c>
    </row>
    <row r="121" spans="1:9" ht="13.2" customHeight="1" x14ac:dyDescent="0.25">
      <c r="A121" s="20" t="s">
        <v>1446</v>
      </c>
      <c r="B121" s="20" t="s">
        <v>1310</v>
      </c>
      <c r="C121" s="41" t="s">
        <v>89</v>
      </c>
      <c r="D121" s="106">
        <v>0.79500000000000004</v>
      </c>
      <c r="E121" s="106">
        <v>4.4999999999999998E-2</v>
      </c>
      <c r="F121" s="104">
        <f>(grains_table[[#This Row],[Extract %]]*46.214)/1000+1</f>
        <v>1.0367401300000001</v>
      </c>
      <c r="G121" s="4">
        <v>6</v>
      </c>
      <c r="H121" s="451"/>
      <c r="I121" s="97" t="s">
        <v>1345</v>
      </c>
    </row>
    <row r="122" spans="1:9" ht="13.2" customHeight="1" x14ac:dyDescent="0.25">
      <c r="A122" s="20" t="s">
        <v>1994</v>
      </c>
      <c r="C122" s="4" t="s">
        <v>89</v>
      </c>
      <c r="D122" s="103">
        <v>0</v>
      </c>
      <c r="E122" s="103">
        <v>0</v>
      </c>
      <c r="F122" s="104">
        <v>1</v>
      </c>
      <c r="G122" s="4">
        <v>0</v>
      </c>
      <c r="H122" s="451"/>
      <c r="I122" s="97"/>
    </row>
    <row r="123" spans="1:9" ht="13.2" customHeight="1" x14ac:dyDescent="0.25">
      <c r="A123" s="20" t="s">
        <v>1517</v>
      </c>
      <c r="B123" s="20" t="s">
        <v>1308</v>
      </c>
      <c r="C123" s="41" t="s">
        <v>89</v>
      </c>
      <c r="D123" s="106">
        <v>0.69</v>
      </c>
      <c r="E123" s="106">
        <v>7.0000000000000007E-2</v>
      </c>
      <c r="F123" s="104">
        <f>(grains_table[[#This Row],[Extract %]]*46.214)/1000+1</f>
        <v>1.03188766</v>
      </c>
      <c r="G123" s="4">
        <v>7.35</v>
      </c>
      <c r="H123" s="451"/>
      <c r="I123" s="97" t="s">
        <v>1341</v>
      </c>
    </row>
    <row r="124" spans="1:9" ht="13.2" customHeight="1" x14ac:dyDescent="0.25">
      <c r="A124" s="20" t="s">
        <v>1515</v>
      </c>
      <c r="B124" s="20" t="s">
        <v>1308</v>
      </c>
      <c r="C124" s="41" t="s">
        <v>89</v>
      </c>
      <c r="D124" s="106">
        <v>0.74</v>
      </c>
      <c r="E124" s="106">
        <v>7.0000000000000007E-2</v>
      </c>
      <c r="F124" s="104">
        <f>(grains_table[[#This Row],[Extract %]]*46.214)/1000+1</f>
        <v>1.03419836</v>
      </c>
      <c r="G124" s="4">
        <v>1.7</v>
      </c>
      <c r="H124" s="451"/>
      <c r="I124" s="97" t="s">
        <v>1339</v>
      </c>
    </row>
    <row r="125" spans="1:9" ht="13.2" customHeight="1" x14ac:dyDescent="0.25">
      <c r="A125" s="20" t="s">
        <v>1513</v>
      </c>
      <c r="B125" s="20" t="s">
        <v>1352</v>
      </c>
      <c r="C125" s="4" t="s">
        <v>89</v>
      </c>
      <c r="D125" s="106">
        <v>0.79</v>
      </c>
      <c r="E125" s="106">
        <v>4.9000000000000002E-2</v>
      </c>
      <c r="F125" s="104">
        <f>(grains_table[[#This Row],[Extract %]]*46.214)/1000+1</f>
        <v>1.03650906</v>
      </c>
      <c r="G125" s="4">
        <v>12</v>
      </c>
      <c r="H125" s="451">
        <f>(200+16)/3.5</f>
        <v>61.714285714285715</v>
      </c>
      <c r="I125" s="97" t="s">
        <v>1375</v>
      </c>
    </row>
    <row r="126" spans="1:9" ht="13.2" customHeight="1" x14ac:dyDescent="0.25">
      <c r="A126" s="20" t="s">
        <v>1511</v>
      </c>
      <c r="B126" s="20" t="s">
        <v>1352</v>
      </c>
      <c r="C126" s="41" t="s">
        <v>89</v>
      </c>
      <c r="D126" s="106">
        <v>0.75</v>
      </c>
      <c r="E126" s="106">
        <v>4.4999999999999998E-2</v>
      </c>
      <c r="F126" s="104">
        <f>(grains_table[[#This Row],[Extract %]]*46.214)/1000+1</f>
        <v>1.0346605</v>
      </c>
      <c r="G126" s="4">
        <v>132.5</v>
      </c>
      <c r="H126" s="451">
        <v>0</v>
      </c>
      <c r="I126" s="97" t="s">
        <v>1376</v>
      </c>
    </row>
    <row r="127" spans="1:9" ht="13.2" customHeight="1" x14ac:dyDescent="0.25">
      <c r="A127" s="20" t="s">
        <v>1573</v>
      </c>
      <c r="B127" s="20" t="s">
        <v>1307</v>
      </c>
      <c r="C127" s="41" t="s">
        <v>89</v>
      </c>
      <c r="D127" s="106">
        <v>0.75</v>
      </c>
      <c r="E127" s="106">
        <v>4.4999999999999998E-2</v>
      </c>
      <c r="F127" s="104">
        <f>(grains_table[[#This Row],[Extract %]]*46.214)/1000+1</f>
        <v>1.0346605</v>
      </c>
      <c r="G127" s="4">
        <v>17.5</v>
      </c>
      <c r="H127" s="451"/>
      <c r="I127" s="97" t="s">
        <v>1348</v>
      </c>
    </row>
    <row r="128" spans="1:9" ht="13.2" customHeight="1" x14ac:dyDescent="0.25">
      <c r="A128" s="20" t="s">
        <v>1432</v>
      </c>
      <c r="B128" s="20" t="s">
        <v>1352</v>
      </c>
      <c r="C128" s="41" t="s">
        <v>89</v>
      </c>
      <c r="D128" s="106">
        <v>0.80500000000000005</v>
      </c>
      <c r="E128" s="106">
        <v>4.9000000000000002E-2</v>
      </c>
      <c r="F128" s="104">
        <f>(grains_table[[#This Row],[Extract %]]*46.214)/1000+1</f>
        <v>1.0372022700000001</v>
      </c>
      <c r="G128" s="4">
        <v>2.7</v>
      </c>
      <c r="H128" s="451">
        <f>(250+16)/3.5</f>
        <v>76</v>
      </c>
      <c r="I128" s="97" t="s">
        <v>1365</v>
      </c>
    </row>
    <row r="129" spans="1:9" ht="13.2" customHeight="1" x14ac:dyDescent="0.25">
      <c r="A129" s="20" t="s">
        <v>1433</v>
      </c>
      <c r="B129" s="20" t="s">
        <v>1308</v>
      </c>
      <c r="C129" s="41" t="s">
        <v>89</v>
      </c>
      <c r="D129" s="106">
        <v>0.80500000000000005</v>
      </c>
      <c r="E129" s="106">
        <v>3.6999999999999998E-2</v>
      </c>
      <c r="F129" s="104">
        <f>(grains_table[[#This Row],[Extract %]]*46.214)/1000+1</f>
        <v>1.0372022700000001</v>
      </c>
      <c r="G129" s="4">
        <v>2.6</v>
      </c>
      <c r="H129" s="451">
        <v>50</v>
      </c>
      <c r="I129" s="97" t="s">
        <v>1317</v>
      </c>
    </row>
    <row r="130" spans="1:9" ht="13.2" customHeight="1" x14ac:dyDescent="0.25">
      <c r="A130" s="20" t="s">
        <v>1430</v>
      </c>
      <c r="B130" s="20" t="s">
        <v>1308</v>
      </c>
      <c r="C130" s="41" t="s">
        <v>89</v>
      </c>
      <c r="D130" s="106">
        <v>0.8</v>
      </c>
      <c r="E130" s="106">
        <v>0.04</v>
      </c>
      <c r="F130" s="104">
        <f>(grains_table[[#This Row],[Extract %]]*46.214)/1000+1</f>
        <v>1.0369712</v>
      </c>
      <c r="G130" s="4">
        <v>8.6</v>
      </c>
      <c r="H130" s="451">
        <v>25</v>
      </c>
      <c r="I130" s="97" t="s">
        <v>1324</v>
      </c>
    </row>
    <row r="131" spans="1:9" ht="13.2" customHeight="1" x14ac:dyDescent="0.25">
      <c r="A131" s="20" t="s">
        <v>1434</v>
      </c>
      <c r="B131" s="20" t="s">
        <v>1308</v>
      </c>
      <c r="C131" s="41" t="s">
        <v>89</v>
      </c>
      <c r="D131" s="106">
        <v>0.80500000000000005</v>
      </c>
      <c r="E131" s="106">
        <v>3.6999999999999998E-2</v>
      </c>
      <c r="F131" s="104">
        <f>(grains_table[[#This Row],[Extract %]]*46.214)/1000+1</f>
        <v>1.0372022700000001</v>
      </c>
      <c r="G131" s="4">
        <v>1.85</v>
      </c>
      <c r="H131" s="451">
        <v>50</v>
      </c>
      <c r="I131" s="97" t="s">
        <v>1318</v>
      </c>
    </row>
    <row r="132" spans="1:9" ht="13.2" customHeight="1" x14ac:dyDescent="0.25">
      <c r="A132" s="20" t="s">
        <v>1546</v>
      </c>
      <c r="B132" s="20" t="s">
        <v>1308</v>
      </c>
      <c r="C132" s="41" t="s">
        <v>89</v>
      </c>
      <c r="D132" s="106">
        <v>0.81</v>
      </c>
      <c r="E132" s="106">
        <v>3.6999999999999998E-2</v>
      </c>
      <c r="F132" s="104">
        <f>(grains_table[[#This Row],[Extract %]]*46.214)/1000+1</f>
        <v>1.03743334</v>
      </c>
      <c r="G132" s="4">
        <v>2.6</v>
      </c>
      <c r="H132" s="451">
        <v>50</v>
      </c>
      <c r="I132" s="97" t="s">
        <v>1314</v>
      </c>
    </row>
    <row r="133" spans="1:9" ht="13.2" customHeight="1" x14ac:dyDescent="0.25">
      <c r="A133" s="20" t="s">
        <v>1547</v>
      </c>
      <c r="B133" s="20" t="s">
        <v>1308</v>
      </c>
      <c r="C133" s="41" t="s">
        <v>89</v>
      </c>
      <c r="D133" s="106">
        <v>0.81</v>
      </c>
      <c r="E133" s="106">
        <v>3.6999999999999998E-2</v>
      </c>
      <c r="F133" s="104">
        <f>(grains_table[[#This Row],[Extract %]]*46.214)/1000+1</f>
        <v>1.03743334</v>
      </c>
      <c r="G133" s="4">
        <v>2.6</v>
      </c>
      <c r="H133" s="451">
        <v>50</v>
      </c>
      <c r="I133" s="97" t="s">
        <v>1315</v>
      </c>
    </row>
    <row r="134" spans="1:9" ht="13.2" customHeight="1" x14ac:dyDescent="0.25">
      <c r="A134" s="20" t="s">
        <v>1492</v>
      </c>
      <c r="B134" s="20" t="s">
        <v>1493</v>
      </c>
      <c r="C134" s="41" t="s">
        <v>89</v>
      </c>
      <c r="D134" s="106">
        <v>0.8</v>
      </c>
      <c r="E134" s="106">
        <v>0.04</v>
      </c>
      <c r="F134" s="104">
        <f>(grains_table[[#This Row],[Extract %]]*46.214)/1000+1</f>
        <v>1.0369712</v>
      </c>
      <c r="G134" s="4">
        <v>2.65</v>
      </c>
      <c r="H134" s="451"/>
      <c r="I134" s="97" t="s">
        <v>1552</v>
      </c>
    </row>
    <row r="135" spans="1:9" ht="13.2" customHeight="1" x14ac:dyDescent="0.25">
      <c r="A135" s="20" t="s">
        <v>1431</v>
      </c>
      <c r="B135" s="20" t="s">
        <v>1308</v>
      </c>
      <c r="C135" s="41" t="s">
        <v>89</v>
      </c>
      <c r="D135" s="106">
        <v>0.75</v>
      </c>
      <c r="E135" s="106">
        <v>3.5000000000000003E-2</v>
      </c>
      <c r="F135" s="104">
        <f>(grains_table[[#This Row],[Extract %]]*46.214)/1000+1</f>
        <v>1.0346605</v>
      </c>
      <c r="G135" s="4">
        <v>17.45</v>
      </c>
      <c r="H135" s="451"/>
      <c r="I135" s="97" t="s">
        <v>1322</v>
      </c>
    </row>
    <row r="136" spans="1:9" ht="13.2" customHeight="1" x14ac:dyDescent="0.25">
      <c r="A136" s="20" t="s">
        <v>1435</v>
      </c>
      <c r="B136" s="20" t="s">
        <v>1309</v>
      </c>
      <c r="C136" s="41" t="s">
        <v>89</v>
      </c>
      <c r="D136" s="106">
        <v>0.78500000000000003</v>
      </c>
      <c r="E136" s="106">
        <v>1.4999999999999999E-2</v>
      </c>
      <c r="F136" s="104">
        <f>(grains_table[[#This Row],[Extract %]]*46.214)/1000+1</f>
        <v>1.0362779900000001</v>
      </c>
      <c r="G136" s="4">
        <v>3.5</v>
      </c>
      <c r="H136" s="451">
        <v>85</v>
      </c>
      <c r="I136" s="97" t="s">
        <v>1582</v>
      </c>
    </row>
    <row r="137" spans="1:9" ht="13.2" customHeight="1" x14ac:dyDescent="0.25">
      <c r="A137" s="20" t="s">
        <v>1770</v>
      </c>
      <c r="B137" s="20" t="s">
        <v>1613</v>
      </c>
      <c r="C137" s="41" t="s">
        <v>89</v>
      </c>
      <c r="D137" s="106">
        <v>0.79</v>
      </c>
      <c r="E137" s="106">
        <v>4.4999999999999998E-2</v>
      </c>
      <c r="F137" s="104">
        <f>(grains_table[[#This Row],[Extract %]]*46.214)/1000+1</f>
        <v>1.03650906</v>
      </c>
      <c r="G137" s="4">
        <v>3.5</v>
      </c>
      <c r="H137" s="451"/>
      <c r="I137" s="97" t="s">
        <v>1771</v>
      </c>
    </row>
    <row r="138" spans="1:9" ht="13.2" customHeight="1" x14ac:dyDescent="0.25">
      <c r="A138" s="20" t="s">
        <v>1437</v>
      </c>
      <c r="B138" s="20" t="s">
        <v>1307</v>
      </c>
      <c r="C138" s="41" t="s">
        <v>89</v>
      </c>
      <c r="D138" s="106">
        <v>0.79</v>
      </c>
      <c r="E138" s="106">
        <v>4.4999999999999998E-2</v>
      </c>
      <c r="F138" s="104">
        <f>(grains_table[[#This Row],[Extract %]]*46.214)/1000+1</f>
        <v>1.03650906</v>
      </c>
      <c r="G138" s="4">
        <v>3</v>
      </c>
      <c r="H138" s="451"/>
      <c r="I138" s="97" t="s">
        <v>1348</v>
      </c>
    </row>
    <row r="139" spans="1:9" ht="13.2" customHeight="1" x14ac:dyDescent="0.25">
      <c r="A139" s="20" t="s">
        <v>1436</v>
      </c>
      <c r="B139" s="20" t="s">
        <v>1310</v>
      </c>
      <c r="C139" s="41" t="s">
        <v>89</v>
      </c>
      <c r="D139" s="106">
        <v>0.8</v>
      </c>
      <c r="E139" s="106">
        <v>4.4999999999999998E-2</v>
      </c>
      <c r="F139" s="104">
        <f>(grains_table[[#This Row],[Extract %]]*46.214)/1000+1</f>
        <v>1.0369712</v>
      </c>
      <c r="G139" s="4">
        <v>3.8</v>
      </c>
      <c r="H139" s="451"/>
      <c r="I139" s="97" t="s">
        <v>1345</v>
      </c>
    </row>
    <row r="140" spans="1:9" ht="13.2" customHeight="1" x14ac:dyDescent="0.25">
      <c r="A140" s="20" t="s">
        <v>1976</v>
      </c>
      <c r="B140" s="20" t="s">
        <v>1974</v>
      </c>
      <c r="C140" s="41" t="s">
        <v>89</v>
      </c>
      <c r="D140" s="106">
        <v>0.80500000000000005</v>
      </c>
      <c r="E140" s="106">
        <v>3.5000000000000003E-2</v>
      </c>
      <c r="F140" s="104">
        <f>(grains_table[[#This Row],[Extract %]]*46.214)/1000+1</f>
        <v>1.0372022700000001</v>
      </c>
      <c r="G140" s="4">
        <v>2.7</v>
      </c>
      <c r="H140" s="451">
        <f>(150+16)/3.5</f>
        <v>47.428571428571431</v>
      </c>
      <c r="I140" s="97" t="s">
        <v>1975</v>
      </c>
    </row>
    <row r="141" spans="1:9" ht="13.2" customHeight="1" x14ac:dyDescent="0.25">
      <c r="A141" s="20" t="s">
        <v>1977</v>
      </c>
      <c r="B141" s="20" t="s">
        <v>1974</v>
      </c>
      <c r="C141" s="41" t="s">
        <v>89</v>
      </c>
      <c r="D141" s="106">
        <v>0.80500000000000005</v>
      </c>
      <c r="E141" s="106">
        <v>3.5000000000000003E-2</v>
      </c>
      <c r="F141" s="104">
        <f>(grains_table[[#This Row],[Extract %]]*46.214)/1000+1</f>
        <v>1.0372022700000001</v>
      </c>
      <c r="G141" s="4">
        <v>2.4</v>
      </c>
      <c r="H141" s="451">
        <f>(160+16)/3.5</f>
        <v>50.285714285714285</v>
      </c>
      <c r="I141" s="97" t="s">
        <v>1975</v>
      </c>
    </row>
    <row r="142" spans="1:9" ht="13.2" customHeight="1" x14ac:dyDescent="0.25">
      <c r="A142" s="20" t="s">
        <v>1438</v>
      </c>
      <c r="B142" s="20" t="s">
        <v>1309</v>
      </c>
      <c r="C142" s="41" t="s">
        <v>89</v>
      </c>
      <c r="D142" s="106">
        <v>0.79</v>
      </c>
      <c r="E142" s="106">
        <v>3.5000000000000003E-2</v>
      </c>
      <c r="F142" s="104">
        <f>(grains_table[[#This Row],[Extract %]]*46.214)/1000+1</f>
        <v>1.03650906</v>
      </c>
      <c r="G142" s="4">
        <v>5.3</v>
      </c>
      <c r="H142" s="451">
        <v>65</v>
      </c>
      <c r="I142" s="97" t="s">
        <v>1582</v>
      </c>
    </row>
    <row r="143" spans="1:9" ht="13.2" customHeight="1" x14ac:dyDescent="0.25">
      <c r="A143" s="20" t="s">
        <v>1439</v>
      </c>
      <c r="B143" s="20" t="s">
        <v>1309</v>
      </c>
      <c r="C143" s="41" t="s">
        <v>89</v>
      </c>
      <c r="D143" s="106">
        <v>0.81</v>
      </c>
      <c r="E143" s="106">
        <v>4.2000000000000003E-2</v>
      </c>
      <c r="F143" s="104">
        <f>(grains_table[[#This Row],[Extract %]]*46.214)/1000+1</f>
        <v>1.03743334</v>
      </c>
      <c r="G143" s="4">
        <v>1.8</v>
      </c>
      <c r="H143" s="451">
        <v>140</v>
      </c>
      <c r="I143" s="97" t="s">
        <v>1582</v>
      </c>
    </row>
    <row r="144" spans="1:9" ht="13.2" customHeight="1" x14ac:dyDescent="0.25">
      <c r="A144" s="20" t="s">
        <v>1612</v>
      </c>
      <c r="B144" s="20" t="s">
        <v>1613</v>
      </c>
      <c r="C144" s="4" t="s">
        <v>89</v>
      </c>
      <c r="D144" s="103">
        <v>0.8</v>
      </c>
      <c r="E144" s="103">
        <v>0.04</v>
      </c>
      <c r="F144" s="104">
        <v>1.0369999999999999</v>
      </c>
      <c r="G144" s="4">
        <v>1.8</v>
      </c>
      <c r="H144" s="451"/>
      <c r="I144" s="97" t="s">
        <v>1614</v>
      </c>
    </row>
    <row r="145" spans="1:9" ht="13.2" customHeight="1" x14ac:dyDescent="0.25">
      <c r="A145" s="20" t="s">
        <v>1440</v>
      </c>
      <c r="B145" s="20" t="s">
        <v>1309</v>
      </c>
      <c r="C145" s="41" t="s">
        <v>89</v>
      </c>
      <c r="D145" s="106">
        <v>0.8</v>
      </c>
      <c r="E145" s="106">
        <v>4.5999999999999999E-2</v>
      </c>
      <c r="F145" s="104">
        <f>(grains_table[[#This Row],[Extract %]]*46.214)/1000+1</f>
        <v>1.0369712</v>
      </c>
      <c r="G145" s="4">
        <v>1.7</v>
      </c>
      <c r="H145" s="451">
        <v>150</v>
      </c>
      <c r="I145" s="97" t="s">
        <v>1359</v>
      </c>
    </row>
    <row r="146" spans="1:9" ht="13.2" customHeight="1" x14ac:dyDescent="0.25">
      <c r="A146" s="20" t="s">
        <v>1441</v>
      </c>
      <c r="B146" s="20" t="s">
        <v>1308</v>
      </c>
      <c r="C146" s="41" t="s">
        <v>89</v>
      </c>
      <c r="D146" s="106">
        <v>0.80500000000000005</v>
      </c>
      <c r="E146" s="106">
        <v>3.6999999999999998E-2</v>
      </c>
      <c r="F146" s="104">
        <f>(grains_table[[#This Row],[Extract %]]*46.214)/1000+1</f>
        <v>1.0372022700000001</v>
      </c>
      <c r="G146" s="4">
        <v>1.7</v>
      </c>
      <c r="H146" s="451">
        <v>50</v>
      </c>
      <c r="I146" s="97" t="s">
        <v>1316</v>
      </c>
    </row>
    <row r="147" spans="1:9" ht="13.2" customHeight="1" x14ac:dyDescent="0.25">
      <c r="A147" s="20" t="s">
        <v>1687</v>
      </c>
      <c r="B147" s="20" t="s">
        <v>1613</v>
      </c>
      <c r="C147" s="41" t="s">
        <v>89</v>
      </c>
      <c r="D147" s="106">
        <v>0.79</v>
      </c>
      <c r="E147" s="106">
        <v>4.2000000000000003E-2</v>
      </c>
      <c r="F147" s="104">
        <f>(grains_table[[#This Row],[Extract %]]*46.214)/1000+1</f>
        <v>1.03650906</v>
      </c>
      <c r="G147" s="4">
        <v>2.2999999999999998</v>
      </c>
      <c r="H147" s="451">
        <v>160</v>
      </c>
      <c r="I147" s="97" t="s">
        <v>1688</v>
      </c>
    </row>
    <row r="148" spans="1:9" ht="13.2" customHeight="1" x14ac:dyDescent="0.25">
      <c r="A148" s="20" t="s">
        <v>1391</v>
      </c>
      <c r="B148" s="20" t="s">
        <v>1352</v>
      </c>
      <c r="C148" s="41" t="s">
        <v>89</v>
      </c>
      <c r="D148" s="106">
        <v>0.80500000000000005</v>
      </c>
      <c r="E148" s="106">
        <v>4.9000000000000002E-2</v>
      </c>
      <c r="F148" s="104">
        <f>(grains_table[[#This Row],[Extract %]]*46.214)/1000+1</f>
        <v>1.0372022700000001</v>
      </c>
      <c r="G148" s="4">
        <v>1.5</v>
      </c>
      <c r="H148" s="451">
        <f>(250+16)/3.5</f>
        <v>76</v>
      </c>
      <c r="I148" s="97" t="s">
        <v>1363</v>
      </c>
    </row>
    <row r="149" spans="1:9" ht="13.2" customHeight="1" x14ac:dyDescent="0.25">
      <c r="A149" s="20" t="s">
        <v>1392</v>
      </c>
      <c r="B149" s="20" t="s">
        <v>1352</v>
      </c>
      <c r="C149" s="41" t="s">
        <v>89</v>
      </c>
      <c r="D149" s="106">
        <v>0.80500000000000005</v>
      </c>
      <c r="E149" s="106">
        <v>4.9000000000000002E-2</v>
      </c>
      <c r="F149" s="104">
        <f>(grains_table[[#This Row],[Extract %]]*46.214)/1000+1</f>
        <v>1.0372022700000001</v>
      </c>
      <c r="G149" s="4">
        <v>1.95</v>
      </c>
      <c r="H149" s="451">
        <f>(250+16)/3.5</f>
        <v>76</v>
      </c>
      <c r="I149" s="97" t="s">
        <v>1364</v>
      </c>
    </row>
    <row r="150" spans="1:9" ht="13.2" customHeight="1" x14ac:dyDescent="0.25">
      <c r="A150" s="20" t="s">
        <v>1393</v>
      </c>
      <c r="B150" s="20" t="s">
        <v>1307</v>
      </c>
      <c r="C150" s="41" t="s">
        <v>89</v>
      </c>
      <c r="D150" s="106">
        <v>0.8</v>
      </c>
      <c r="E150" s="106">
        <v>0.05</v>
      </c>
      <c r="F150" s="104">
        <f>(grains_table[[#This Row],[Extract %]]*46.214)/1000+1</f>
        <v>1.0369712</v>
      </c>
      <c r="G150" s="4">
        <v>2.0499999999999998</v>
      </c>
      <c r="H150" s="451"/>
      <c r="I150" s="97" t="s">
        <v>1348</v>
      </c>
    </row>
    <row r="151" spans="1:9" ht="13.2" customHeight="1" x14ac:dyDescent="0.25">
      <c r="A151" s="20" t="s">
        <v>1548</v>
      </c>
      <c r="B151" s="20" t="s">
        <v>1307</v>
      </c>
      <c r="C151" s="41" t="s">
        <v>89</v>
      </c>
      <c r="D151" s="106">
        <v>0.80500000000000005</v>
      </c>
      <c r="E151" s="106">
        <v>4.4999999999999998E-2</v>
      </c>
      <c r="F151" s="104">
        <f>(grains_table[[#This Row],[Extract %]]*46.214)/1000+1</f>
        <v>1.0372022700000001</v>
      </c>
      <c r="G151" s="4">
        <v>1.3</v>
      </c>
      <c r="H151" s="451"/>
      <c r="I151" s="97" t="s">
        <v>1348</v>
      </c>
    </row>
    <row r="152" spans="1:9" ht="13.2" customHeight="1" x14ac:dyDescent="0.25">
      <c r="A152" s="20" t="s">
        <v>1394</v>
      </c>
      <c r="B152" s="20" t="s">
        <v>1308</v>
      </c>
      <c r="C152" s="41" t="s">
        <v>89</v>
      </c>
      <c r="D152" s="106">
        <v>0.81</v>
      </c>
      <c r="E152" s="106">
        <v>4.4999999999999998E-2</v>
      </c>
      <c r="F152" s="104">
        <f>(grains_table[[#This Row],[Extract %]]*46.214)/1000+1</f>
        <v>1.03743334</v>
      </c>
      <c r="G152" s="4">
        <v>1.7</v>
      </c>
      <c r="H152" s="451">
        <v>50</v>
      </c>
      <c r="I152" s="97" t="s">
        <v>1319</v>
      </c>
    </row>
    <row r="153" spans="1:9" ht="13.2" customHeight="1" x14ac:dyDescent="0.25">
      <c r="A153" s="20" t="s">
        <v>1593</v>
      </c>
      <c r="B153" s="20" t="s">
        <v>1307</v>
      </c>
      <c r="C153" s="41" t="s">
        <v>89</v>
      </c>
      <c r="D153" s="106">
        <v>0.79</v>
      </c>
      <c r="E153" s="106">
        <v>5.5E-2</v>
      </c>
      <c r="F153" s="104">
        <f>(grains_table[[#This Row],[Extract %]]*46.214)/1000+1</f>
        <v>1.03650906</v>
      </c>
      <c r="G153" s="4">
        <v>1.95</v>
      </c>
      <c r="H153" s="451"/>
      <c r="I153" s="97" t="s">
        <v>1348</v>
      </c>
    </row>
    <row r="154" spans="1:9" ht="13.2" customHeight="1" x14ac:dyDescent="0.25">
      <c r="A154" s="20" t="s">
        <v>1986</v>
      </c>
      <c r="B154" t="s">
        <v>1974</v>
      </c>
      <c r="C154" s="4" t="s">
        <v>89</v>
      </c>
      <c r="D154" s="103">
        <v>0.81</v>
      </c>
      <c r="E154" s="103">
        <v>3.5000000000000003E-2</v>
      </c>
      <c r="F154" s="104">
        <f>(grains_table[[#This Row],[Extract %]]*46.214)/1000+1</f>
        <v>1.03743334</v>
      </c>
      <c r="G154" s="4">
        <v>2.1</v>
      </c>
      <c r="H154" s="451">
        <f>(240+16)/3.5</f>
        <v>73.142857142857139</v>
      </c>
      <c r="I154" s="97" t="s">
        <v>1975</v>
      </c>
    </row>
    <row r="155" spans="1:9" ht="13.2" customHeight="1" x14ac:dyDescent="0.25">
      <c r="A155" s="20" t="s">
        <v>1989</v>
      </c>
      <c r="B155" t="s">
        <v>1974</v>
      </c>
      <c r="C155" s="4" t="s">
        <v>89</v>
      </c>
      <c r="D155" s="103">
        <v>0.81</v>
      </c>
      <c r="E155" s="103">
        <v>3.5000000000000003E-2</v>
      </c>
      <c r="F155" s="104">
        <f>(grains_table[[#This Row],[Extract %]]*46.214)/1000+1</f>
        <v>1.03743334</v>
      </c>
      <c r="G155" s="4">
        <v>1.6</v>
      </c>
      <c r="H155" s="451">
        <f>(240+16)/3.5</f>
        <v>73.142857142857139</v>
      </c>
      <c r="I155" s="97" t="s">
        <v>1975</v>
      </c>
    </row>
    <row r="156" spans="1:9" ht="13.2" customHeight="1" x14ac:dyDescent="0.25">
      <c r="A156" s="20" t="s">
        <v>1491</v>
      </c>
      <c r="B156" s="20" t="s">
        <v>1493</v>
      </c>
      <c r="C156" s="41" t="s">
        <v>89</v>
      </c>
      <c r="D156" s="106">
        <v>0.8</v>
      </c>
      <c r="E156" s="106">
        <v>0.04</v>
      </c>
      <c r="F156" s="104">
        <f>(grains_table[[#This Row],[Extract %]]*46.214)/1000+1</f>
        <v>1.0369712</v>
      </c>
      <c r="G156" s="4">
        <v>1.6</v>
      </c>
      <c r="H156" s="451"/>
      <c r="I156" s="97" t="s">
        <v>1552</v>
      </c>
    </row>
    <row r="157" spans="1:9" ht="13.2" customHeight="1" x14ac:dyDescent="0.25">
      <c r="A157" s="20" t="s">
        <v>1395</v>
      </c>
      <c r="B157" s="20" t="s">
        <v>1309</v>
      </c>
      <c r="C157" s="41" t="s">
        <v>89</v>
      </c>
      <c r="D157" s="106">
        <v>0.80500000000000005</v>
      </c>
      <c r="E157" s="106">
        <v>4.4999999999999998E-2</v>
      </c>
      <c r="F157" s="104">
        <f>(grains_table[[#This Row],[Extract %]]*46.214)/1000+1</f>
        <v>1.0372022700000001</v>
      </c>
      <c r="G157" s="4">
        <v>1.2</v>
      </c>
      <c r="H157" s="451">
        <v>140</v>
      </c>
      <c r="I157" s="97" t="s">
        <v>1359</v>
      </c>
    </row>
    <row r="158" spans="1:9" ht="13.2" customHeight="1" x14ac:dyDescent="0.25">
      <c r="A158" s="20" t="s">
        <v>1396</v>
      </c>
      <c r="B158" s="20" t="s">
        <v>1310</v>
      </c>
      <c r="C158" s="41" t="s">
        <v>89</v>
      </c>
      <c r="D158" s="106">
        <v>0.8</v>
      </c>
      <c r="E158" s="106">
        <v>4.4999999999999998E-2</v>
      </c>
      <c r="F158" s="104">
        <f>(grains_table[[#This Row],[Extract %]]*46.214)/1000+1</f>
        <v>1.0369712</v>
      </c>
      <c r="G158" s="4">
        <v>1.6</v>
      </c>
      <c r="H158" s="451">
        <f>(230+16)/3.5</f>
        <v>70.285714285714292</v>
      </c>
      <c r="I158" s="97" t="s">
        <v>1345</v>
      </c>
    </row>
    <row r="159" spans="1:9" ht="13.2" customHeight="1" x14ac:dyDescent="0.25">
      <c r="A159" s="20" t="s">
        <v>1397</v>
      </c>
      <c r="B159" s="20" t="s">
        <v>1307</v>
      </c>
      <c r="C159" s="41" t="s">
        <v>89</v>
      </c>
      <c r="D159" s="106">
        <v>0.80500000000000005</v>
      </c>
      <c r="E159" s="106">
        <v>0.05</v>
      </c>
      <c r="F159" s="104">
        <f>(grains_table[[#This Row],[Extract %]]*46.214)/1000+1</f>
        <v>1.0372022700000001</v>
      </c>
      <c r="G159" s="4">
        <v>1.85</v>
      </c>
      <c r="H159" s="451"/>
      <c r="I159" s="97" t="s">
        <v>1348</v>
      </c>
    </row>
    <row r="160" spans="1:9" ht="13.2" customHeight="1" x14ac:dyDescent="0.25">
      <c r="A160" s="20" t="s">
        <v>1995</v>
      </c>
      <c r="B160" t="s">
        <v>1974</v>
      </c>
      <c r="C160" s="4" t="s">
        <v>89</v>
      </c>
      <c r="D160" s="103">
        <v>0.81</v>
      </c>
      <c r="E160" s="103">
        <v>3.5000000000000003E-2</v>
      </c>
      <c r="F160" s="104">
        <f>(grains_table[[#This Row],[Extract %]]*46.214)/1000+1</f>
        <v>1.03743334</v>
      </c>
      <c r="G160" s="4">
        <v>2</v>
      </c>
      <c r="H160" s="451">
        <f>(240+16)/3.5</f>
        <v>73.142857142857139</v>
      </c>
      <c r="I160" s="97" t="s">
        <v>1975</v>
      </c>
    </row>
    <row r="161" spans="1:9" ht="13.2" customHeight="1" x14ac:dyDescent="0.25">
      <c r="A161" s="20" t="s">
        <v>1694</v>
      </c>
      <c r="B161" t="s">
        <v>1693</v>
      </c>
      <c r="C161" s="4" t="s">
        <v>89</v>
      </c>
      <c r="D161" s="106">
        <v>0.81</v>
      </c>
      <c r="E161" s="106">
        <v>4.4999999999999998E-2</v>
      </c>
      <c r="F161" s="104">
        <f>(grains_table[[#This Row],[Extract %]]*46.214)/1000+1</f>
        <v>1.03743334</v>
      </c>
      <c r="G161" s="4">
        <v>2</v>
      </c>
      <c r="H161" s="451">
        <f>(220+16)/3.5</f>
        <v>67.428571428571431</v>
      </c>
      <c r="I161" s="97" t="s">
        <v>1692</v>
      </c>
    </row>
    <row r="162" spans="1:9" ht="13.2" customHeight="1" x14ac:dyDescent="0.25">
      <c r="A162" s="20" t="s">
        <v>2248</v>
      </c>
      <c r="B162" s="562" t="s">
        <v>1613</v>
      </c>
      <c r="C162" s="563" t="s">
        <v>89</v>
      </c>
      <c r="D162" s="103">
        <v>0.8</v>
      </c>
      <c r="E162" s="103">
        <v>0.04</v>
      </c>
      <c r="F162" s="104">
        <f>(grains_table[[#This Row],[Extract %]]*46.214)/1000+1</f>
        <v>1.0369712</v>
      </c>
      <c r="G162" s="561">
        <v>1.75</v>
      </c>
      <c r="H162" s="451">
        <v>140</v>
      </c>
      <c r="I162" s="97" t="s">
        <v>2249</v>
      </c>
    </row>
    <row r="163" spans="1:9" ht="13.2" customHeight="1" x14ac:dyDescent="0.25">
      <c r="A163" s="20" t="s">
        <v>1398</v>
      </c>
      <c r="B163" s="20" t="s">
        <v>1309</v>
      </c>
      <c r="C163" s="41" t="s">
        <v>89</v>
      </c>
      <c r="D163" s="106">
        <v>0.83299999999999996</v>
      </c>
      <c r="E163" s="106">
        <v>4.3999999999999997E-2</v>
      </c>
      <c r="F163" s="104">
        <f>(grains_table[[#This Row],[Extract %]]*46.214)/1000+1</f>
        <v>1.038496262</v>
      </c>
      <c r="G163" s="4">
        <v>1.8</v>
      </c>
      <c r="H163" s="451">
        <v>100</v>
      </c>
      <c r="I163" s="97" t="s">
        <v>1359</v>
      </c>
    </row>
    <row r="164" spans="1:9" ht="13.2" customHeight="1" x14ac:dyDescent="0.25">
      <c r="A164" s="20" t="s">
        <v>1689</v>
      </c>
      <c r="C164" s="4" t="s">
        <v>89</v>
      </c>
      <c r="D164" s="103">
        <v>0</v>
      </c>
      <c r="E164" s="103">
        <v>0</v>
      </c>
      <c r="F164" s="104">
        <f>(grains_table[[#This Row],[Extract %]]*46.214)/1000+1</f>
        <v>1</v>
      </c>
      <c r="G164" s="4">
        <v>0</v>
      </c>
      <c r="H164" s="451"/>
      <c r="I164" s="97"/>
    </row>
    <row r="165" spans="1:9" ht="13.2" customHeight="1" x14ac:dyDescent="0.25">
      <c r="A165" s="20" t="s">
        <v>1295</v>
      </c>
      <c r="B165" s="20" t="s">
        <v>1309</v>
      </c>
      <c r="C165" s="41" t="s">
        <v>89</v>
      </c>
      <c r="D165" s="106"/>
      <c r="E165" s="106">
        <v>0.05</v>
      </c>
      <c r="F165" s="104">
        <v>1.0249999999999999</v>
      </c>
      <c r="G165" s="4">
        <v>300</v>
      </c>
      <c r="H165" s="451">
        <v>0</v>
      </c>
      <c r="I165" s="97" t="s">
        <v>1611</v>
      </c>
    </row>
    <row r="166" spans="1:9" ht="13.2" customHeight="1" x14ac:dyDescent="0.25">
      <c r="A166" s="20" t="s">
        <v>1997</v>
      </c>
      <c r="B166" t="s">
        <v>1974</v>
      </c>
      <c r="C166" s="4" t="s">
        <v>89</v>
      </c>
      <c r="D166" s="103">
        <v>0.72</v>
      </c>
      <c r="E166" s="103">
        <v>4.4999999999999998E-2</v>
      </c>
      <c r="F166" s="104">
        <f>(grains_table[[#This Row],[Extract %]]*46.214)/1000+1</f>
        <v>1.03327408</v>
      </c>
      <c r="G166" s="4">
        <v>507</v>
      </c>
      <c r="H166" s="451">
        <v>0</v>
      </c>
      <c r="I166" s="97" t="s">
        <v>1975</v>
      </c>
    </row>
    <row r="167" spans="1:9" ht="13.2" customHeight="1" x14ac:dyDescent="0.25">
      <c r="A167" s="20" t="s">
        <v>1311</v>
      </c>
      <c r="B167" s="20" t="s">
        <v>1308</v>
      </c>
      <c r="C167" s="41" t="s">
        <v>89</v>
      </c>
      <c r="D167" s="106">
        <v>0.62</v>
      </c>
      <c r="E167" s="106">
        <v>0.03</v>
      </c>
      <c r="F167" s="104">
        <f>(grains_table[[#This Row],[Extract %]]*46.214)/1000+1</f>
        <v>1.02865268</v>
      </c>
      <c r="G167" s="4">
        <v>600.6</v>
      </c>
      <c r="H167" s="451">
        <v>0</v>
      </c>
      <c r="I167" s="97" t="s">
        <v>1338</v>
      </c>
    </row>
    <row r="168" spans="1:9" ht="13.2" customHeight="1" x14ac:dyDescent="0.25">
      <c r="A168" s="20" t="s">
        <v>1312</v>
      </c>
      <c r="B168" s="20" t="s">
        <v>1307</v>
      </c>
      <c r="C168" s="41" t="s">
        <v>89</v>
      </c>
      <c r="D168" s="106">
        <v>0.65</v>
      </c>
      <c r="E168" s="106">
        <v>3.7999999999999999E-2</v>
      </c>
      <c r="F168" s="104">
        <f>(grains_table[[#This Row],[Extract %]]*46.214)/1000+1</f>
        <v>1.0300391</v>
      </c>
      <c r="G168" s="4">
        <v>431.5</v>
      </c>
      <c r="H168" s="451">
        <v>0</v>
      </c>
      <c r="I168" s="97" t="s">
        <v>1348</v>
      </c>
    </row>
    <row r="169" spans="1:9" ht="13.2" customHeight="1" x14ac:dyDescent="0.25">
      <c r="A169" s="20" t="s">
        <v>1510</v>
      </c>
      <c r="B169" s="20" t="s">
        <v>1352</v>
      </c>
      <c r="C169" s="41" t="s">
        <v>89</v>
      </c>
      <c r="D169" s="106"/>
      <c r="E169" s="106">
        <v>5.5E-2</v>
      </c>
      <c r="F169" s="104">
        <f>(grains_table[[#This Row],[Extract %]]*46.214)/1000+1</f>
        <v>1</v>
      </c>
      <c r="G169" s="4">
        <v>490</v>
      </c>
      <c r="H169" s="451">
        <v>0</v>
      </c>
      <c r="I169" s="98" t="s">
        <v>1390</v>
      </c>
    </row>
    <row r="170" spans="1:9" ht="13.2" customHeight="1" x14ac:dyDescent="0.25">
      <c r="A170" s="20" t="s">
        <v>1519</v>
      </c>
      <c r="B170" s="20" t="s">
        <v>1309</v>
      </c>
      <c r="C170" s="41" t="s">
        <v>89</v>
      </c>
      <c r="D170" s="106"/>
      <c r="E170" s="106">
        <v>0.06</v>
      </c>
      <c r="F170" s="104">
        <f>(grains_table[[#This Row],[Extract %]]*46.214)/1000+1</f>
        <v>1</v>
      </c>
      <c r="G170" s="4">
        <v>500</v>
      </c>
      <c r="H170" s="451">
        <v>0</v>
      </c>
      <c r="I170" s="97" t="s">
        <v>1553</v>
      </c>
    </row>
    <row r="171" spans="1:9" ht="13.2" customHeight="1" x14ac:dyDescent="0.25">
      <c r="A171" s="20" t="s">
        <v>1495</v>
      </c>
      <c r="B171" s="20" t="s">
        <v>1310</v>
      </c>
      <c r="C171" s="41" t="s">
        <v>89</v>
      </c>
      <c r="D171" s="106">
        <v>0.7</v>
      </c>
      <c r="E171" s="106">
        <v>4.4999999999999998E-2</v>
      </c>
      <c r="F171" s="104">
        <f>(grains_table[[#This Row],[Extract %]]*46.214)/1000+1</f>
        <v>1.0323498</v>
      </c>
      <c r="G171" s="4">
        <v>453</v>
      </c>
      <c r="H171" s="451">
        <v>0</v>
      </c>
      <c r="I171" s="98" t="s">
        <v>1347</v>
      </c>
    </row>
    <row r="172" spans="1:9" ht="13.2" customHeight="1" x14ac:dyDescent="0.25">
      <c r="A172" s="20" t="s">
        <v>1451</v>
      </c>
      <c r="B172" s="20" t="s">
        <v>1308</v>
      </c>
      <c r="C172" s="41" t="s">
        <v>89</v>
      </c>
      <c r="D172" s="106">
        <v>0.69</v>
      </c>
      <c r="E172" s="106">
        <v>0.05</v>
      </c>
      <c r="F172" s="104">
        <f>(grains_table[[#This Row],[Extract %]]*46.214)/1000+1</f>
        <v>1.03188766</v>
      </c>
      <c r="G172" s="4">
        <v>24</v>
      </c>
      <c r="H172" s="451">
        <v>0</v>
      </c>
      <c r="I172" s="97" t="s">
        <v>1334</v>
      </c>
    </row>
    <row r="173" spans="1:9" ht="13.2" customHeight="1" x14ac:dyDescent="0.25">
      <c r="A173" s="20" t="s">
        <v>1452</v>
      </c>
      <c r="B173" s="20" t="s">
        <v>1352</v>
      </c>
      <c r="C173" s="41" t="s">
        <v>89</v>
      </c>
      <c r="D173" s="106">
        <v>0.65</v>
      </c>
      <c r="E173" s="106">
        <v>4.4999999999999998E-2</v>
      </c>
      <c r="F173" s="104">
        <f>(grains_table[[#This Row],[Extract %]]*46.214)/1000+1</f>
        <v>1.0300391</v>
      </c>
      <c r="G173" s="4">
        <v>432.5</v>
      </c>
      <c r="H173" s="451">
        <v>0</v>
      </c>
      <c r="I173" s="98" t="s">
        <v>1384</v>
      </c>
    </row>
    <row r="174" spans="1:9" ht="13.2" customHeight="1" x14ac:dyDescent="0.25">
      <c r="A174" s="20" t="s">
        <v>1453</v>
      </c>
      <c r="B174" s="20" t="s">
        <v>1352</v>
      </c>
      <c r="C174" s="41" t="s">
        <v>89</v>
      </c>
      <c r="D174" s="106">
        <v>0.65</v>
      </c>
      <c r="E174" s="106">
        <v>4.4999999999999998E-2</v>
      </c>
      <c r="F174" s="104">
        <f>(grains_table[[#This Row],[Extract %]]*46.214)/1000+1</f>
        <v>1.0300391</v>
      </c>
      <c r="G174" s="4">
        <v>509.5</v>
      </c>
      <c r="H174" s="451">
        <v>0</v>
      </c>
      <c r="I174" s="98" t="s">
        <v>1385</v>
      </c>
    </row>
    <row r="175" spans="1:9" ht="13.2" customHeight="1" x14ac:dyDescent="0.25">
      <c r="A175" s="20" t="s">
        <v>1454</v>
      </c>
      <c r="B175" s="20" t="s">
        <v>1352</v>
      </c>
      <c r="C175" s="41" t="s">
        <v>89</v>
      </c>
      <c r="D175" s="106">
        <v>0.75</v>
      </c>
      <c r="E175" s="106">
        <v>4.4999999999999998E-2</v>
      </c>
      <c r="F175" s="104">
        <f>(grains_table[[#This Row],[Extract %]]*46.214)/1000+1</f>
        <v>1.0346605</v>
      </c>
      <c r="G175" s="4">
        <v>340</v>
      </c>
      <c r="H175" s="451">
        <v>0</v>
      </c>
      <c r="I175" s="97" t="s">
        <v>1563</v>
      </c>
    </row>
    <row r="176" spans="1:9" ht="13.2" customHeight="1" x14ac:dyDescent="0.25">
      <c r="A176" s="20" t="s">
        <v>1455</v>
      </c>
      <c r="B176" s="20" t="s">
        <v>1309</v>
      </c>
      <c r="C176" s="41" t="s">
        <v>89</v>
      </c>
      <c r="D176" s="106"/>
      <c r="E176" s="106">
        <v>0.06</v>
      </c>
      <c r="F176" s="104">
        <f>(grains_table[[#This Row],[Extract %]]*46.214)/1000+1</f>
        <v>1</v>
      </c>
      <c r="G176" s="4">
        <v>500</v>
      </c>
      <c r="H176" s="451">
        <v>0</v>
      </c>
      <c r="I176" s="97" t="s">
        <v>1562</v>
      </c>
    </row>
    <row r="177" spans="1:9" ht="13.2" customHeight="1" x14ac:dyDescent="0.25">
      <c r="A177" s="20" t="s">
        <v>1456</v>
      </c>
      <c r="B177" s="20" t="s">
        <v>1308</v>
      </c>
      <c r="C177" s="41" t="s">
        <v>89</v>
      </c>
      <c r="D177" s="106">
        <v>0.69</v>
      </c>
      <c r="E177" s="106">
        <v>0.03</v>
      </c>
      <c r="F177" s="104">
        <f>(grains_table[[#This Row],[Extract %]]*46.214)/1000+1</f>
        <v>1.03188766</v>
      </c>
      <c r="G177" s="4">
        <v>625.54999999999995</v>
      </c>
      <c r="H177" s="451">
        <v>0</v>
      </c>
      <c r="I177" s="97" t="s">
        <v>1337</v>
      </c>
    </row>
    <row r="178" spans="1:9" ht="13.2" customHeight="1" x14ac:dyDescent="0.25">
      <c r="A178" s="20" t="s">
        <v>1457</v>
      </c>
      <c r="B178" s="20" t="s">
        <v>1309</v>
      </c>
      <c r="C178" s="41" t="s">
        <v>89</v>
      </c>
      <c r="D178" s="106"/>
      <c r="E178" s="106">
        <v>0.06</v>
      </c>
      <c r="F178" s="104">
        <f>(grains_table[[#This Row],[Extract %]]*46.214)/1000+1</f>
        <v>1</v>
      </c>
      <c r="G178" s="4">
        <v>500</v>
      </c>
      <c r="H178" s="451">
        <v>0</v>
      </c>
      <c r="I178" s="97" t="s">
        <v>1562</v>
      </c>
    </row>
    <row r="179" spans="1:9" ht="13.2" customHeight="1" x14ac:dyDescent="0.25">
      <c r="A179" s="20" t="s">
        <v>1458</v>
      </c>
      <c r="B179" s="20" t="s">
        <v>1309</v>
      </c>
      <c r="C179" s="41" t="s">
        <v>89</v>
      </c>
      <c r="D179" s="106"/>
      <c r="E179" s="106">
        <v>0.06</v>
      </c>
      <c r="F179" s="104">
        <f>(grains_table[[#This Row],[Extract %]]*46.214)/1000+1</f>
        <v>1</v>
      </c>
      <c r="G179" s="4">
        <v>500</v>
      </c>
      <c r="H179" s="451">
        <v>0</v>
      </c>
      <c r="I179" s="97" t="s">
        <v>1562</v>
      </c>
    </row>
    <row r="180" spans="1:9" ht="13.2" customHeight="1" x14ac:dyDescent="0.25">
      <c r="A180" s="20" t="s">
        <v>1459</v>
      </c>
      <c r="B180" s="20" t="s">
        <v>1308</v>
      </c>
      <c r="C180" s="41" t="s">
        <v>89</v>
      </c>
      <c r="D180" s="106">
        <v>0.68700000000000006</v>
      </c>
      <c r="E180" s="106">
        <v>0.04</v>
      </c>
      <c r="F180" s="104">
        <f>(grains_table[[#This Row],[Extract %]]*46.214)/1000+1</f>
        <v>1.031749018</v>
      </c>
      <c r="G180" s="4">
        <v>193.7</v>
      </c>
      <c r="H180" s="451">
        <v>0</v>
      </c>
      <c r="I180" s="97" t="s">
        <v>1335</v>
      </c>
    </row>
    <row r="181" spans="1:9" ht="13.2" customHeight="1" x14ac:dyDescent="0.25">
      <c r="A181" s="20" t="s">
        <v>1460</v>
      </c>
      <c r="B181" s="20" t="s">
        <v>1309</v>
      </c>
      <c r="C181" s="41" t="s">
        <v>89</v>
      </c>
      <c r="D181" s="106">
        <v>0.79</v>
      </c>
      <c r="E181" s="106">
        <v>2.1999999999999999E-2</v>
      </c>
      <c r="F181" s="104">
        <f>(grains_table[[#This Row],[Extract %]]*46.214)/1000+1</f>
        <v>1.03650906</v>
      </c>
      <c r="G181" s="4">
        <v>55</v>
      </c>
      <c r="H181" s="451">
        <v>0</v>
      </c>
      <c r="I181" s="97" t="s">
        <v>1350</v>
      </c>
    </row>
    <row r="182" spans="1:9" ht="13.2" customHeight="1" x14ac:dyDescent="0.25">
      <c r="A182" s="20" t="s">
        <v>1461</v>
      </c>
      <c r="B182" s="20" t="s">
        <v>1309</v>
      </c>
      <c r="C182" s="41" t="s">
        <v>89</v>
      </c>
      <c r="D182" s="106">
        <v>0.6</v>
      </c>
      <c r="E182" s="106">
        <v>0</v>
      </c>
      <c r="F182" s="104">
        <f>(grains_table[[#This Row],[Extract %]]*46.214)/1000+1</f>
        <v>1.0277284</v>
      </c>
      <c r="G182" s="4">
        <v>350</v>
      </c>
      <c r="H182" s="451">
        <v>0</v>
      </c>
      <c r="I182" s="97" t="s">
        <v>1354</v>
      </c>
    </row>
    <row r="183" spans="1:9" ht="13.2" customHeight="1" x14ac:dyDescent="0.25">
      <c r="A183" s="20" t="s">
        <v>1462</v>
      </c>
      <c r="B183" s="20" t="s">
        <v>1308</v>
      </c>
      <c r="C183" s="41" t="s">
        <v>89</v>
      </c>
      <c r="D183" s="106">
        <v>0.69</v>
      </c>
      <c r="E183" s="106">
        <v>0.03</v>
      </c>
      <c r="F183" s="104">
        <f>(grains_table[[#This Row],[Extract %]]*46.214)/1000+1</f>
        <v>1.03188766</v>
      </c>
      <c r="G183" s="4">
        <v>444.4</v>
      </c>
      <c r="H183" s="451">
        <v>0</v>
      </c>
      <c r="I183" s="97" t="s">
        <v>1336</v>
      </c>
    </row>
    <row r="184" spans="1:9" ht="13.2" customHeight="1" x14ac:dyDescent="0.25">
      <c r="A184" s="20" t="s">
        <v>1488</v>
      </c>
      <c r="B184" s="20" t="s">
        <v>1307</v>
      </c>
      <c r="C184" s="41" t="s">
        <v>89</v>
      </c>
      <c r="D184" s="106">
        <v>0.65</v>
      </c>
      <c r="E184" s="106">
        <v>0.04</v>
      </c>
      <c r="F184" s="104">
        <f>(grains_table[[#This Row],[Extract %]]*46.214)/1000+1</f>
        <v>1.0300391</v>
      </c>
      <c r="G184" s="4">
        <v>244</v>
      </c>
      <c r="H184" s="451">
        <v>0</v>
      </c>
      <c r="I184" s="97" t="s">
        <v>1348</v>
      </c>
    </row>
    <row r="185" spans="1:9" ht="13.2" customHeight="1" x14ac:dyDescent="0.25">
      <c r="A185" s="20" t="s">
        <v>1489</v>
      </c>
      <c r="B185" s="20" t="s">
        <v>1307</v>
      </c>
      <c r="C185" s="41" t="s">
        <v>89</v>
      </c>
      <c r="D185" s="106">
        <v>0.65</v>
      </c>
      <c r="E185" s="106">
        <v>0.04</v>
      </c>
      <c r="F185" s="104">
        <f>(grains_table[[#This Row],[Extract %]]*46.214)/1000+1</f>
        <v>1.0300391</v>
      </c>
      <c r="G185" s="4">
        <v>273</v>
      </c>
      <c r="H185" s="451">
        <v>0</v>
      </c>
      <c r="I185" s="97" t="s">
        <v>1348</v>
      </c>
    </row>
    <row r="186" spans="1:9" ht="13.2" customHeight="1" x14ac:dyDescent="0.25">
      <c r="A186" s="20" t="s">
        <v>1490</v>
      </c>
      <c r="B186" s="20" t="s">
        <v>1307</v>
      </c>
      <c r="C186" s="41" t="s">
        <v>89</v>
      </c>
      <c r="D186" s="106">
        <v>0.65</v>
      </c>
      <c r="E186" s="106">
        <v>0.04</v>
      </c>
      <c r="F186" s="104">
        <f>(grains_table[[#This Row],[Extract %]]*46.214)/1000+1</f>
        <v>1.0300391</v>
      </c>
      <c r="G186" s="4">
        <v>394.5</v>
      </c>
      <c r="H186" s="451">
        <v>0</v>
      </c>
      <c r="I186" s="97" t="s">
        <v>1348</v>
      </c>
    </row>
    <row r="187" spans="1:9" ht="13.2" customHeight="1" x14ac:dyDescent="0.25">
      <c r="A187" s="20" t="s">
        <v>1463</v>
      </c>
      <c r="B187" s="20" t="s">
        <v>1309</v>
      </c>
      <c r="C187" s="41" t="s">
        <v>89</v>
      </c>
      <c r="D187" s="106"/>
      <c r="E187" s="106">
        <v>5.5E-2</v>
      </c>
      <c r="F187" s="104">
        <f>(grains_table[[#This Row],[Extract %]]*46.214)/1000+1</f>
        <v>1</v>
      </c>
      <c r="G187" s="4">
        <v>420</v>
      </c>
      <c r="H187" s="451">
        <v>0</v>
      </c>
      <c r="I187" s="97" t="s">
        <v>1554</v>
      </c>
    </row>
    <row r="188" spans="1:9" ht="13.2" customHeight="1" x14ac:dyDescent="0.25">
      <c r="A188" s="20" t="s">
        <v>1464</v>
      </c>
      <c r="B188" s="20" t="s">
        <v>1309</v>
      </c>
      <c r="C188" s="41" t="s">
        <v>89</v>
      </c>
      <c r="D188" s="106">
        <v>0.72</v>
      </c>
      <c r="E188" s="106">
        <v>2.5000000000000001E-2</v>
      </c>
      <c r="F188" s="104">
        <f>(grains_table[[#This Row],[Extract %]]*46.214)/1000+1</f>
        <v>1.03327408</v>
      </c>
      <c r="G188" s="4">
        <v>130</v>
      </c>
      <c r="H188" s="451">
        <v>0</v>
      </c>
      <c r="I188" s="97" t="s">
        <v>1355</v>
      </c>
    </row>
    <row r="189" spans="1:9" ht="13.2" customHeight="1" x14ac:dyDescent="0.25">
      <c r="A189" s="20" t="s">
        <v>1465</v>
      </c>
      <c r="B189" s="20" t="s">
        <v>1309</v>
      </c>
      <c r="C189" s="41" t="s">
        <v>89</v>
      </c>
      <c r="D189" s="106"/>
      <c r="E189" s="106">
        <v>6.5000000000000002E-2</v>
      </c>
      <c r="F189" s="104">
        <f>(grains_table[[#This Row],[Extract %]]*46.214)/1000+1</f>
        <v>1</v>
      </c>
      <c r="G189" s="4">
        <v>550</v>
      </c>
      <c r="H189" s="451">
        <v>0</v>
      </c>
      <c r="I189" s="98" t="s">
        <v>1554</v>
      </c>
    </row>
    <row r="190" spans="1:9" ht="13.2" customHeight="1" x14ac:dyDescent="0.25">
      <c r="A190" s="20" t="s">
        <v>1497</v>
      </c>
      <c r="B190" s="20" t="s">
        <v>1307</v>
      </c>
      <c r="C190" s="41" t="s">
        <v>89</v>
      </c>
      <c r="D190" s="106">
        <v>0.65</v>
      </c>
      <c r="E190" s="106">
        <v>0.04</v>
      </c>
      <c r="F190" s="104">
        <f>(grains_table[[#This Row],[Extract %]]*46.214)/1000+1</f>
        <v>1.0300391</v>
      </c>
      <c r="G190" s="4">
        <v>244</v>
      </c>
      <c r="H190" s="451">
        <v>0</v>
      </c>
      <c r="I190" s="97" t="s">
        <v>1348</v>
      </c>
    </row>
    <row r="191" spans="1:9" ht="13.2" customHeight="1" x14ac:dyDescent="0.25">
      <c r="A191" s="20" t="s">
        <v>2003</v>
      </c>
      <c r="B191" t="s">
        <v>1974</v>
      </c>
      <c r="C191" s="4" t="s">
        <v>89</v>
      </c>
      <c r="D191" s="103">
        <v>0.78</v>
      </c>
      <c r="E191" s="103">
        <v>0.05</v>
      </c>
      <c r="F191" s="104">
        <f>(grains_table[[#This Row],[Extract %]]*46.214)/1000+1</f>
        <v>1.03604692</v>
      </c>
      <c r="G191" s="4">
        <v>120.6</v>
      </c>
      <c r="H191" s="451">
        <v>0</v>
      </c>
      <c r="I191" s="97" t="s">
        <v>1975</v>
      </c>
    </row>
    <row r="192" spans="1:9" ht="13.2" customHeight="1" x14ac:dyDescent="0.25">
      <c r="A192" s="20" t="s">
        <v>1466</v>
      </c>
      <c r="B192" s="20" t="s">
        <v>1310</v>
      </c>
      <c r="C192" s="41" t="s">
        <v>89</v>
      </c>
      <c r="D192" s="106">
        <v>0.83</v>
      </c>
      <c r="E192" s="106">
        <v>6.5000000000000002E-2</v>
      </c>
      <c r="F192" s="104">
        <f>(grains_table[[#This Row],[Extract %]]*46.214)/1000+1</f>
        <v>1.03835762</v>
      </c>
      <c r="G192" s="4">
        <v>12</v>
      </c>
      <c r="H192" s="451">
        <v>0</v>
      </c>
      <c r="I192" s="97" t="s">
        <v>1347</v>
      </c>
    </row>
    <row r="193" spans="1:9" ht="13.2" customHeight="1" x14ac:dyDescent="0.25">
      <c r="A193" s="20" t="s">
        <v>1998</v>
      </c>
      <c r="B193" t="s">
        <v>1974</v>
      </c>
      <c r="C193" s="4" t="s">
        <v>89</v>
      </c>
      <c r="D193" s="103">
        <v>0.71</v>
      </c>
      <c r="E193" s="103">
        <v>4.4999999999999998E-2</v>
      </c>
      <c r="F193" s="104">
        <f>(grains_table[[#This Row],[Extract %]]*46.214)/1000+1</f>
        <v>1.03281194</v>
      </c>
      <c r="G193" s="4">
        <v>207</v>
      </c>
      <c r="H193" s="451">
        <v>0</v>
      </c>
      <c r="I193" s="98" t="s">
        <v>1975</v>
      </c>
    </row>
    <row r="194" spans="1:9" ht="13.2" customHeight="1" x14ac:dyDescent="0.25">
      <c r="A194" s="20" t="s">
        <v>1999</v>
      </c>
      <c r="C194" s="4" t="s">
        <v>89</v>
      </c>
      <c r="D194" s="103">
        <v>0</v>
      </c>
      <c r="E194" s="103">
        <v>0</v>
      </c>
      <c r="F194" s="104">
        <v>1.032</v>
      </c>
      <c r="G194" s="4">
        <v>2.5</v>
      </c>
      <c r="H194" s="451"/>
      <c r="I194" s="97"/>
    </row>
    <row r="195" spans="1:9" ht="13.2" customHeight="1" x14ac:dyDescent="0.25">
      <c r="A195" s="20" t="s">
        <v>2001</v>
      </c>
      <c r="B195" t="s">
        <v>1974</v>
      </c>
      <c r="C195" s="4" t="s">
        <v>89</v>
      </c>
      <c r="D195" s="103">
        <v>0.73</v>
      </c>
      <c r="E195" s="103">
        <v>0.03</v>
      </c>
      <c r="F195" s="104">
        <f>(grains_table[[#This Row],[Extract %]]*46.214)/1000+1</f>
        <v>1.03373622</v>
      </c>
      <c r="G195" s="4">
        <v>188</v>
      </c>
      <c r="H195" s="451">
        <v>0</v>
      </c>
      <c r="I195" s="97" t="s">
        <v>1975</v>
      </c>
    </row>
    <row r="196" spans="1:9" ht="13.2" customHeight="1" x14ac:dyDescent="0.25">
      <c r="A196" s="20" t="s">
        <v>1516</v>
      </c>
      <c r="B196" s="20" t="s">
        <v>1308</v>
      </c>
      <c r="C196" s="41" t="s">
        <v>89</v>
      </c>
      <c r="D196" s="106">
        <v>0.78</v>
      </c>
      <c r="E196" s="106">
        <v>7.0000000000000007E-2</v>
      </c>
      <c r="F196" s="104">
        <f>(grains_table[[#This Row],[Extract %]]*46.214)/1000+1</f>
        <v>1.03604692</v>
      </c>
      <c r="G196" s="4">
        <v>2.0499999999999998</v>
      </c>
      <c r="H196" s="451"/>
      <c r="I196" s="97" t="s">
        <v>1343</v>
      </c>
    </row>
    <row r="197" spans="1:9" ht="13.2" customHeight="1" x14ac:dyDescent="0.25">
      <c r="A197" s="20" t="s">
        <v>1494</v>
      </c>
      <c r="B197" s="20" t="s">
        <v>1307</v>
      </c>
      <c r="C197" s="41" t="s">
        <v>89</v>
      </c>
      <c r="D197" s="106">
        <v>0.81</v>
      </c>
      <c r="E197" s="106">
        <v>0.06</v>
      </c>
      <c r="F197" s="104">
        <f>(grains_table[[#This Row],[Extract %]]*46.214)/1000+1</f>
        <v>1.03743334</v>
      </c>
      <c r="G197" s="4">
        <v>3.15</v>
      </c>
      <c r="H197" s="451"/>
      <c r="I197" s="97" t="s">
        <v>1348</v>
      </c>
    </row>
    <row r="198" spans="1:9" ht="13.2" customHeight="1" x14ac:dyDescent="0.25">
      <c r="A198" s="20" t="s">
        <v>1518</v>
      </c>
      <c r="B198" s="20" t="s">
        <v>1309</v>
      </c>
      <c r="C198" s="41" t="s">
        <v>89</v>
      </c>
      <c r="D198" s="106">
        <v>0.8</v>
      </c>
      <c r="E198" s="106">
        <v>4.4999999999999998E-2</v>
      </c>
      <c r="F198" s="104">
        <f>(grains_table[[#This Row],[Extract %]]*46.214)/1000+1</f>
        <v>1.0369712</v>
      </c>
      <c r="G198" s="4">
        <v>3.7</v>
      </c>
      <c r="H198" s="451">
        <v>105</v>
      </c>
      <c r="I198" s="97" t="s">
        <v>1556</v>
      </c>
    </row>
    <row r="199" spans="1:9" ht="13.2" customHeight="1" x14ac:dyDescent="0.25">
      <c r="A199" s="20" t="s">
        <v>2000</v>
      </c>
      <c r="B199" t="s">
        <v>1974</v>
      </c>
      <c r="C199" s="4" t="s">
        <v>89</v>
      </c>
      <c r="D199" s="103">
        <v>0.81</v>
      </c>
      <c r="E199" s="103">
        <v>0.06</v>
      </c>
      <c r="F199" s="104">
        <f>(grains_table[[#This Row],[Extract %]]*46.214)/1000+1</f>
        <v>1.03743334</v>
      </c>
      <c r="G199" s="4">
        <v>3.2</v>
      </c>
      <c r="H199" s="451">
        <v>0</v>
      </c>
      <c r="I199" s="97" t="s">
        <v>1975</v>
      </c>
    </row>
    <row r="200" spans="1:9" ht="13.2" customHeight="1" x14ac:dyDescent="0.25">
      <c r="A200" s="20" t="s">
        <v>1471</v>
      </c>
      <c r="B200" s="20" t="s">
        <v>1309</v>
      </c>
      <c r="C200" s="41" t="s">
        <v>89</v>
      </c>
      <c r="D200" s="106">
        <v>0.80500000000000005</v>
      </c>
      <c r="E200" s="106">
        <v>0.06</v>
      </c>
      <c r="F200" s="104">
        <f>(grains_table[[#This Row],[Extract %]]*46.214)/1000+1</f>
        <v>1.0372022700000001</v>
      </c>
      <c r="G200" s="4">
        <v>6</v>
      </c>
      <c r="H200" s="451">
        <v>90</v>
      </c>
      <c r="I200" s="97" t="s">
        <v>1556</v>
      </c>
    </row>
    <row r="201" spans="1:9" ht="13.2" customHeight="1" x14ac:dyDescent="0.25">
      <c r="A201" s="20" t="s">
        <v>1472</v>
      </c>
      <c r="B201" s="20" t="s">
        <v>1307</v>
      </c>
      <c r="C201" s="41" t="s">
        <v>89</v>
      </c>
      <c r="D201" s="106">
        <v>0.77</v>
      </c>
      <c r="E201" s="106">
        <v>0.05</v>
      </c>
      <c r="F201" s="104">
        <f>(grains_table[[#This Row],[Extract %]]*46.214)/1000+1</f>
        <v>1.03558478</v>
      </c>
      <c r="G201" s="4">
        <v>2.85</v>
      </c>
      <c r="H201" s="451"/>
      <c r="I201" s="97" t="s">
        <v>1348</v>
      </c>
    </row>
    <row r="202" spans="1:9" ht="13.2" customHeight="1" x14ac:dyDescent="0.25">
      <c r="A202" s="20" t="s">
        <v>1473</v>
      </c>
      <c r="B202" s="20" t="s">
        <v>1352</v>
      </c>
      <c r="C202" s="41" t="s">
        <v>89</v>
      </c>
      <c r="D202" s="106">
        <v>0.78</v>
      </c>
      <c r="E202" s="106">
        <v>5.5E-2</v>
      </c>
      <c r="F202" s="104">
        <f>(grains_table[[#This Row],[Extract %]]*46.214)/1000+1</f>
        <v>1.03604692</v>
      </c>
      <c r="G202" s="4">
        <v>5.85</v>
      </c>
      <c r="H202" s="451">
        <f>(250+16)/3.5</f>
        <v>76</v>
      </c>
      <c r="I202" s="98" t="s">
        <v>1389</v>
      </c>
    </row>
    <row r="203" spans="1:9" ht="13.2" customHeight="1" x14ac:dyDescent="0.25">
      <c r="A203" s="20" t="s">
        <v>1474</v>
      </c>
      <c r="B203" s="20" t="s">
        <v>1352</v>
      </c>
      <c r="C203" s="41" t="s">
        <v>89</v>
      </c>
      <c r="D203" s="106">
        <v>0.77</v>
      </c>
      <c r="E203" s="106">
        <v>5.5E-2</v>
      </c>
      <c r="F203" s="104">
        <f>(grains_table[[#This Row],[Extract %]]*46.214)/1000+1</f>
        <v>1.03558478</v>
      </c>
      <c r="G203" s="4">
        <v>5.85</v>
      </c>
      <c r="H203" s="451">
        <f>(250+16)/3.5</f>
        <v>76</v>
      </c>
      <c r="I203" s="98" t="s">
        <v>1388</v>
      </c>
    </row>
    <row r="204" spans="1:9" ht="13.2" customHeight="1" x14ac:dyDescent="0.25">
      <c r="A204" s="20" t="s">
        <v>1475</v>
      </c>
      <c r="B204" s="20" t="s">
        <v>1309</v>
      </c>
      <c r="C204" s="41" t="s">
        <v>89</v>
      </c>
      <c r="D204" s="106">
        <v>0.80500000000000005</v>
      </c>
      <c r="E204" s="106">
        <v>0.06</v>
      </c>
      <c r="F204" s="104">
        <f>(grains_table[[#This Row],[Extract %]]*46.214)/1000+1</f>
        <v>1.0372022700000001</v>
      </c>
      <c r="G204" s="4">
        <v>5</v>
      </c>
      <c r="H204" s="451">
        <v>90</v>
      </c>
      <c r="I204" s="97" t="s">
        <v>1556</v>
      </c>
    </row>
    <row r="205" spans="1:9" ht="13.2" customHeight="1" x14ac:dyDescent="0.25">
      <c r="A205" s="20" t="s">
        <v>1991</v>
      </c>
      <c r="B205" t="s">
        <v>1974</v>
      </c>
      <c r="C205" s="4" t="s">
        <v>89</v>
      </c>
      <c r="D205" s="103">
        <v>0.81499999999999995</v>
      </c>
      <c r="E205" s="103">
        <v>3.7999999999999999E-2</v>
      </c>
      <c r="F205" s="104">
        <f>(grains_table[[#This Row],[Extract %]]*46.214)/1000+1</f>
        <v>1.0376644100000001</v>
      </c>
      <c r="G205" s="4">
        <v>2.02</v>
      </c>
      <c r="H205" s="451">
        <f>(250+16)/3.5</f>
        <v>76</v>
      </c>
      <c r="I205" s="97" t="s">
        <v>1975</v>
      </c>
    </row>
    <row r="206" spans="1:9" ht="13.2" customHeight="1" x14ac:dyDescent="0.25">
      <c r="A206" s="20" t="s">
        <v>1476</v>
      </c>
      <c r="B206" s="20" t="s">
        <v>1309</v>
      </c>
      <c r="C206" s="41" t="s">
        <v>89</v>
      </c>
      <c r="D206" s="106">
        <v>0.80500000000000005</v>
      </c>
      <c r="E206" s="106">
        <v>0.06</v>
      </c>
      <c r="F206" s="104">
        <f>(grains_table[[#This Row],[Extract %]]*46.214)/1000+1</f>
        <v>1.0372022700000001</v>
      </c>
      <c r="G206" s="4">
        <v>5</v>
      </c>
      <c r="H206" s="451">
        <v>90</v>
      </c>
      <c r="I206" s="97" t="s">
        <v>1556</v>
      </c>
    </row>
    <row r="207" spans="1:9" ht="13.2" customHeight="1" x14ac:dyDescent="0.25">
      <c r="A207" s="20" t="s">
        <v>1992</v>
      </c>
      <c r="B207" t="s">
        <v>1974</v>
      </c>
      <c r="C207" s="4" t="s">
        <v>89</v>
      </c>
      <c r="D207" s="103">
        <v>0.81</v>
      </c>
      <c r="E207" s="103">
        <v>3.5000000000000003E-2</v>
      </c>
      <c r="F207" s="104">
        <f>(grains_table[[#This Row],[Extract %]]*46.214)/1000+1</f>
        <v>1.03743334</v>
      </c>
      <c r="G207" s="4">
        <v>1.99</v>
      </c>
      <c r="H207" s="451">
        <f>(240+16)/3.5</f>
        <v>73.142857142857139</v>
      </c>
      <c r="I207" s="97" t="s">
        <v>1975</v>
      </c>
    </row>
    <row r="208" spans="1:9" ht="13.2" customHeight="1" x14ac:dyDescent="0.25">
      <c r="A208" s="20" t="s">
        <v>1477</v>
      </c>
      <c r="B208" s="20" t="s">
        <v>1307</v>
      </c>
      <c r="C208" s="41" t="s">
        <v>89</v>
      </c>
      <c r="D208" s="106">
        <v>0.82</v>
      </c>
      <c r="E208" s="106">
        <v>5.5E-2</v>
      </c>
      <c r="F208" s="104">
        <f>(grains_table[[#This Row],[Extract %]]*46.214)/1000+1</f>
        <v>1.03789548</v>
      </c>
      <c r="G208" s="4">
        <v>2.4500000000000002</v>
      </c>
      <c r="H208" s="451"/>
      <c r="I208" s="97" t="s">
        <v>1348</v>
      </c>
    </row>
    <row r="209" spans="1:9" ht="13.2" customHeight="1" x14ac:dyDescent="0.25">
      <c r="A209" s="20" t="s">
        <v>1313</v>
      </c>
      <c r="B209" s="20" t="s">
        <v>1307</v>
      </c>
      <c r="C209" s="41" t="s">
        <v>89</v>
      </c>
      <c r="D209" s="106">
        <v>0.8</v>
      </c>
      <c r="E209" s="106">
        <v>0.06</v>
      </c>
      <c r="F209" s="104">
        <f>(grains_table[[#This Row],[Extract %]]*46.214)/1000+1</f>
        <v>1.0369712</v>
      </c>
      <c r="G209" s="4">
        <v>2.4500000000000002</v>
      </c>
      <c r="H209" s="451"/>
      <c r="I209" s="97" t="s">
        <v>1348</v>
      </c>
    </row>
    <row r="210" spans="1:9" ht="13.2" customHeight="1" x14ac:dyDescent="0.25">
      <c r="A210" s="20" t="s">
        <v>1512</v>
      </c>
      <c r="B210" s="20" t="s">
        <v>1352</v>
      </c>
      <c r="C210" s="41" t="s">
        <v>89</v>
      </c>
      <c r="D210" s="106">
        <v>0.82</v>
      </c>
      <c r="E210" s="106">
        <v>5.5E-2</v>
      </c>
      <c r="F210" s="104">
        <f>(grains_table[[#This Row],[Extract %]]*46.214)/1000+1</f>
        <v>1.03789548</v>
      </c>
      <c r="G210" s="4">
        <v>2.25</v>
      </c>
      <c r="H210" s="451">
        <v>0</v>
      </c>
      <c r="I210" s="98" t="s">
        <v>1373</v>
      </c>
    </row>
    <row r="211" spans="1:9" ht="13.2" customHeight="1" x14ac:dyDescent="0.25">
      <c r="A211" s="20" t="s">
        <v>1559</v>
      </c>
      <c r="B211" s="20"/>
      <c r="C211" s="41" t="s">
        <v>725</v>
      </c>
      <c r="D211" s="106"/>
      <c r="E211" s="106"/>
      <c r="F211" s="104">
        <v>1.046</v>
      </c>
      <c r="G211" s="4">
        <v>50</v>
      </c>
      <c r="H211" s="451">
        <v>0</v>
      </c>
      <c r="I211" s="97" t="s">
        <v>1557</v>
      </c>
    </row>
    <row r="212" spans="1:9" ht="13.2" customHeight="1" x14ac:dyDescent="0.25">
      <c r="A212" s="20" t="s">
        <v>1558</v>
      </c>
      <c r="B212" s="20"/>
      <c r="C212" s="41" t="s">
        <v>725</v>
      </c>
      <c r="D212" s="106"/>
      <c r="E212" s="106"/>
      <c r="F212" s="104">
        <v>1.046</v>
      </c>
      <c r="G212" s="4">
        <v>8</v>
      </c>
      <c r="H212" s="451">
        <v>0</v>
      </c>
      <c r="I212" s="97" t="s">
        <v>1557</v>
      </c>
    </row>
    <row r="213" spans="1:9" ht="13.2" customHeight="1" x14ac:dyDescent="0.25">
      <c r="A213" s="20" t="s">
        <v>2020</v>
      </c>
      <c r="B213" s="20"/>
      <c r="C213" s="41" t="s">
        <v>725</v>
      </c>
      <c r="D213" s="106"/>
      <c r="E213" s="106"/>
      <c r="F213" s="104">
        <v>1.0449999999999999</v>
      </c>
      <c r="G213" s="4">
        <v>75</v>
      </c>
      <c r="H213" s="451">
        <v>0</v>
      </c>
      <c r="I213" s="97" t="s">
        <v>2018</v>
      </c>
    </row>
    <row r="214" spans="1:9" ht="13.2" customHeight="1" x14ac:dyDescent="0.25">
      <c r="A214" s="20" t="s">
        <v>2021</v>
      </c>
      <c r="B214" s="20"/>
      <c r="C214" s="41" t="s">
        <v>725</v>
      </c>
      <c r="D214" s="106"/>
      <c r="E214" s="106"/>
      <c r="F214" s="104">
        <v>1.0449999999999999</v>
      </c>
      <c r="G214" s="4">
        <v>1</v>
      </c>
      <c r="H214" s="451">
        <v>0</v>
      </c>
      <c r="I214" s="97" t="s">
        <v>2018</v>
      </c>
    </row>
    <row r="215" spans="1:9" ht="13.2" customHeight="1" x14ac:dyDescent="0.25">
      <c r="A215" s="20" t="s">
        <v>2022</v>
      </c>
      <c r="B215" s="20"/>
      <c r="C215" s="41" t="s">
        <v>725</v>
      </c>
      <c r="D215" s="106"/>
      <c r="E215" s="106"/>
      <c r="F215" s="104">
        <v>1.0449999999999999</v>
      </c>
      <c r="G215" s="4">
        <v>275</v>
      </c>
      <c r="H215" s="451">
        <v>0</v>
      </c>
      <c r="I215" s="97" t="s">
        <v>2018</v>
      </c>
    </row>
    <row r="216" spans="1:9" ht="13.2" customHeight="1" x14ac:dyDescent="0.25">
      <c r="A216" s="20" t="s">
        <v>1560</v>
      </c>
      <c r="B216" s="20"/>
      <c r="C216" s="41" t="s">
        <v>725</v>
      </c>
      <c r="D216" s="106"/>
      <c r="E216" s="106"/>
      <c r="F216" s="104">
        <v>1.042</v>
      </c>
      <c r="G216" s="4">
        <v>0</v>
      </c>
      <c r="H216" s="451">
        <v>0</v>
      </c>
      <c r="I216" s="97" t="s">
        <v>2018</v>
      </c>
    </row>
    <row r="217" spans="1:9" ht="13.2" customHeight="1" x14ac:dyDescent="0.25">
      <c r="A217" s="20" t="s">
        <v>1509</v>
      </c>
      <c r="B217" s="20"/>
      <c r="C217" s="41" t="s">
        <v>725</v>
      </c>
      <c r="D217" s="106"/>
      <c r="E217" s="106"/>
      <c r="F217" s="104">
        <v>1.046</v>
      </c>
      <c r="G217" s="4">
        <v>2</v>
      </c>
      <c r="H217" s="451">
        <v>0</v>
      </c>
      <c r="I217" s="97" t="s">
        <v>1557</v>
      </c>
    </row>
    <row r="218" spans="1:9" ht="13.2" customHeight="1" x14ac:dyDescent="0.25">
      <c r="A218" s="20" t="s">
        <v>1503</v>
      </c>
      <c r="B218" s="20"/>
      <c r="C218" s="41" t="s">
        <v>725</v>
      </c>
      <c r="D218" s="106"/>
      <c r="E218" s="106"/>
      <c r="F218" s="104">
        <v>1.036</v>
      </c>
      <c r="G218" s="4">
        <v>1</v>
      </c>
      <c r="H218" s="451">
        <v>0</v>
      </c>
      <c r="I218" s="97" t="s">
        <v>2018</v>
      </c>
    </row>
    <row r="219" spans="1:9" ht="13.2" customHeight="1" x14ac:dyDescent="0.25">
      <c r="A219" s="20" t="s">
        <v>1504</v>
      </c>
      <c r="B219" s="20"/>
      <c r="C219" s="41" t="s">
        <v>725</v>
      </c>
      <c r="D219" s="106"/>
      <c r="E219" s="106"/>
      <c r="F219" s="104">
        <v>1.036</v>
      </c>
      <c r="G219" s="4">
        <v>0</v>
      </c>
      <c r="H219" s="451">
        <v>0</v>
      </c>
      <c r="I219" s="97" t="s">
        <v>1557</v>
      </c>
    </row>
    <row r="220" spans="1:9" ht="13.2" customHeight="1" x14ac:dyDescent="0.25">
      <c r="A220" s="20" t="s">
        <v>1505</v>
      </c>
      <c r="B220" s="20"/>
      <c r="C220" s="41" t="s">
        <v>725</v>
      </c>
      <c r="D220" s="106"/>
      <c r="E220" s="106"/>
      <c r="F220" s="104">
        <v>1.046</v>
      </c>
      <c r="G220" s="4">
        <v>0</v>
      </c>
      <c r="H220" s="451">
        <v>0</v>
      </c>
      <c r="I220" s="97" t="s">
        <v>2018</v>
      </c>
    </row>
    <row r="221" spans="1:9" ht="13.2" customHeight="1" x14ac:dyDescent="0.25">
      <c r="A221" s="20" t="s">
        <v>1506</v>
      </c>
      <c r="B221" s="20"/>
      <c r="C221" s="41" t="s">
        <v>725</v>
      </c>
      <c r="D221" s="106"/>
      <c r="E221" s="106"/>
      <c r="F221" s="104">
        <v>1.0309999999999999</v>
      </c>
      <c r="G221" s="4">
        <v>35</v>
      </c>
      <c r="H221" s="451">
        <v>0</v>
      </c>
      <c r="I221" s="97" t="s">
        <v>2018</v>
      </c>
    </row>
    <row r="222" spans="1:9" ht="13.2" customHeight="1" x14ac:dyDescent="0.25">
      <c r="A222" s="20" t="s">
        <v>1507</v>
      </c>
      <c r="B222" s="20"/>
      <c r="C222" s="41" t="s">
        <v>725</v>
      </c>
      <c r="D222" s="106"/>
      <c r="E222" s="106"/>
      <c r="F222" s="104">
        <v>1.036</v>
      </c>
      <c r="G222" s="4">
        <v>80</v>
      </c>
      <c r="H222" s="451">
        <v>0</v>
      </c>
      <c r="I222" s="97" t="s">
        <v>2018</v>
      </c>
    </row>
    <row r="223" spans="1:9" ht="13.2" customHeight="1" x14ac:dyDescent="0.25">
      <c r="A223" s="20" t="s">
        <v>1508</v>
      </c>
      <c r="B223" s="20"/>
      <c r="C223" s="41" t="s">
        <v>725</v>
      </c>
      <c r="D223" s="106"/>
      <c r="E223" s="106"/>
      <c r="F223" s="104">
        <v>1.046</v>
      </c>
      <c r="G223" s="4">
        <v>1</v>
      </c>
      <c r="H223" s="451">
        <v>0</v>
      </c>
      <c r="I223" s="97" t="s">
        <v>2018</v>
      </c>
    </row>
    <row r="224" spans="1:9" ht="13.2" customHeight="1" x14ac:dyDescent="0.25">
      <c r="A224" s="20" t="s">
        <v>1296</v>
      </c>
      <c r="B224" s="20" t="s">
        <v>1309</v>
      </c>
      <c r="C224" s="41" t="s">
        <v>89</v>
      </c>
      <c r="D224" s="106">
        <v>0.76</v>
      </c>
      <c r="E224" s="106">
        <v>8.5000000000000006E-2</v>
      </c>
      <c r="F224" s="104">
        <f>(grains_table[[#This Row],[Extract %]]*46.214)/1000+1</f>
        <v>1.03512264</v>
      </c>
      <c r="G224" s="4">
        <v>1.5</v>
      </c>
      <c r="H224" s="451">
        <v>0</v>
      </c>
      <c r="I224" s="97" t="s">
        <v>1561</v>
      </c>
    </row>
    <row r="225" spans="1:9" ht="13.2" customHeight="1" x14ac:dyDescent="0.25">
      <c r="A225" s="20" t="s">
        <v>1467</v>
      </c>
      <c r="B225" s="20" t="s">
        <v>1352</v>
      </c>
      <c r="C225" s="41" t="s">
        <v>89</v>
      </c>
      <c r="D225" s="106">
        <v>0.80500000000000005</v>
      </c>
      <c r="E225" s="106">
        <v>4.9000000000000002E-2</v>
      </c>
      <c r="F225" s="104">
        <f>(grains_table[[#This Row],[Extract %]]*46.214)/1000+1</f>
        <v>1.0372022700000001</v>
      </c>
      <c r="G225" s="4">
        <v>3.85</v>
      </c>
      <c r="H225" s="451">
        <f>(250+16)/3.5</f>
        <v>76</v>
      </c>
      <c r="I225" s="97" t="s">
        <v>1366</v>
      </c>
    </row>
    <row r="226" spans="1:9" ht="13.2" customHeight="1" x14ac:dyDescent="0.25">
      <c r="A226" s="20" t="s">
        <v>1468</v>
      </c>
      <c r="B226" s="20" t="s">
        <v>1309</v>
      </c>
      <c r="C226" s="41" t="s">
        <v>89</v>
      </c>
      <c r="D226" s="106">
        <v>0.8</v>
      </c>
      <c r="E226" s="106">
        <v>3.5000000000000003E-2</v>
      </c>
      <c r="F226" s="104">
        <f>(grains_table[[#This Row],[Extract %]]*46.214)/1000+1</f>
        <v>1.0369712</v>
      </c>
      <c r="G226" s="4">
        <v>3.5</v>
      </c>
      <c r="H226" s="451">
        <v>80</v>
      </c>
      <c r="I226" s="97" t="s">
        <v>1360</v>
      </c>
    </row>
    <row r="227" spans="1:9" ht="13.2" customHeight="1" x14ac:dyDescent="0.25">
      <c r="A227" s="20" t="s">
        <v>2007</v>
      </c>
      <c r="B227" t="s">
        <v>1974</v>
      </c>
      <c r="C227" s="4" t="s">
        <v>89</v>
      </c>
      <c r="D227" s="103">
        <v>0.80500000000000005</v>
      </c>
      <c r="E227" s="103">
        <v>3.5000000000000003E-2</v>
      </c>
      <c r="F227" s="104">
        <f>(grains_table[[#This Row],[Extract %]]*46.214)/1000+1</f>
        <v>1.0372022700000001</v>
      </c>
      <c r="G227" s="4">
        <v>3.1</v>
      </c>
      <c r="H227" s="451">
        <f>(200+16)/3.5</f>
        <v>61.714285714285715</v>
      </c>
      <c r="I227" s="97" t="s">
        <v>1975</v>
      </c>
    </row>
    <row r="228" spans="1:9" ht="13.2" customHeight="1" x14ac:dyDescent="0.25">
      <c r="A228" s="20" t="s">
        <v>1469</v>
      </c>
      <c r="B228" s="20" t="s">
        <v>1308</v>
      </c>
      <c r="C228" s="41" t="s">
        <v>89</v>
      </c>
      <c r="D228" s="106">
        <v>0.75</v>
      </c>
      <c r="E228" s="106">
        <v>3.5000000000000003E-2</v>
      </c>
      <c r="F228" s="104">
        <f>(grains_table[[#This Row],[Extract %]]*46.214)/1000+1</f>
        <v>1.0346605</v>
      </c>
      <c r="G228" s="41">
        <v>3.35</v>
      </c>
      <c r="H228" s="81"/>
      <c r="I228" s="97" t="s">
        <v>1320</v>
      </c>
    </row>
    <row r="229" spans="1:9" ht="13.2" customHeight="1" x14ac:dyDescent="0.25">
      <c r="A229" s="20" t="s">
        <v>1470</v>
      </c>
      <c r="B229" s="20" t="s">
        <v>1307</v>
      </c>
      <c r="C229" s="41" t="s">
        <v>89</v>
      </c>
      <c r="D229" s="106">
        <v>0.79</v>
      </c>
      <c r="E229" s="106">
        <v>5.5E-2</v>
      </c>
      <c r="F229" s="104">
        <f>(grains_table[[#This Row],[Extract %]]*46.214)/1000+1</f>
        <v>1.03650906</v>
      </c>
      <c r="G229" s="4">
        <v>3.35</v>
      </c>
      <c r="H229" s="451"/>
      <c r="I229" s="97" t="s">
        <v>1348</v>
      </c>
    </row>
    <row r="230" spans="1:9" ht="13.2" customHeight="1" x14ac:dyDescent="0.25">
      <c r="A230" s="20" t="s">
        <v>1478</v>
      </c>
      <c r="B230" s="20" t="s">
        <v>1352</v>
      </c>
      <c r="C230" s="41" t="s">
        <v>89</v>
      </c>
      <c r="D230" s="106">
        <v>0.82</v>
      </c>
      <c r="E230" s="106">
        <v>5.5E-2</v>
      </c>
      <c r="F230" s="104">
        <f>(grains_table[[#This Row],[Extract %]]*46.214)/1000+1</f>
        <v>1.03789548</v>
      </c>
      <c r="G230" s="4">
        <v>1.6</v>
      </c>
      <c r="H230" s="451">
        <f>(250+16)/3.5</f>
        <v>76</v>
      </c>
      <c r="I230" s="98" t="s">
        <v>1374</v>
      </c>
    </row>
    <row r="231" spans="1:9" ht="13.2" customHeight="1" x14ac:dyDescent="0.25">
      <c r="A231" s="20" t="s">
        <v>1479</v>
      </c>
      <c r="B231" s="20" t="s">
        <v>1352</v>
      </c>
      <c r="C231" s="41" t="s">
        <v>89</v>
      </c>
      <c r="D231" s="106">
        <v>0.82</v>
      </c>
      <c r="E231" s="106">
        <v>5.5E-2</v>
      </c>
      <c r="F231" s="104">
        <f>(grains_table[[#This Row],[Extract %]]*46.214)/1000+1</f>
        <v>1.03789548</v>
      </c>
      <c r="G231" s="4">
        <v>2.25</v>
      </c>
      <c r="H231" s="451">
        <f>(250+16)/3.5</f>
        <v>76</v>
      </c>
      <c r="I231" s="98" t="s">
        <v>1371</v>
      </c>
    </row>
    <row r="232" spans="1:9" ht="13.2" customHeight="1" x14ac:dyDescent="0.25">
      <c r="A232" s="20" t="s">
        <v>1480</v>
      </c>
      <c r="B232" s="20" t="s">
        <v>1352</v>
      </c>
      <c r="C232" s="41" t="s">
        <v>89</v>
      </c>
      <c r="D232" s="106">
        <v>0.82</v>
      </c>
      <c r="E232" s="106">
        <v>5.5E-2</v>
      </c>
      <c r="F232" s="104">
        <f>(grains_table[[#This Row],[Extract %]]*46.214)/1000+1</f>
        <v>1.03789548</v>
      </c>
      <c r="G232" s="4">
        <v>7.25</v>
      </c>
      <c r="H232" s="451">
        <f>(250+16)/3.5</f>
        <v>76</v>
      </c>
      <c r="I232" s="98" t="s">
        <v>1372</v>
      </c>
    </row>
    <row r="233" spans="1:9" ht="13.2" customHeight="1" x14ac:dyDescent="0.25">
      <c r="A233" s="20" t="s">
        <v>1481</v>
      </c>
      <c r="B233" s="20" t="s">
        <v>1307</v>
      </c>
      <c r="C233" s="41" t="s">
        <v>89</v>
      </c>
      <c r="D233" s="106">
        <v>0.81</v>
      </c>
      <c r="E233" s="106">
        <v>7.0000000000000007E-2</v>
      </c>
      <c r="F233" s="104">
        <f>(grains_table[[#This Row],[Extract %]]*46.214)/1000+1</f>
        <v>1.03743334</v>
      </c>
      <c r="G233" s="4">
        <v>2.0499999999999998</v>
      </c>
      <c r="H233" s="451"/>
      <c r="I233" s="97" t="s">
        <v>1348</v>
      </c>
    </row>
    <row r="234" spans="1:9" ht="13.2" customHeight="1" x14ac:dyDescent="0.25">
      <c r="A234" s="20" t="s">
        <v>1482</v>
      </c>
      <c r="B234" s="20" t="s">
        <v>1307</v>
      </c>
      <c r="C234" s="41" t="s">
        <v>89</v>
      </c>
      <c r="D234" s="106">
        <v>0.82</v>
      </c>
      <c r="E234" s="106">
        <v>5.5E-2</v>
      </c>
      <c r="F234" s="104">
        <f>(grains_table[[#This Row],[Extract %]]*46.214)/1000+1</f>
        <v>1.03789548</v>
      </c>
      <c r="G234" s="4">
        <v>2.0499999999999998</v>
      </c>
      <c r="H234" s="451"/>
      <c r="I234" s="97" t="s">
        <v>1348</v>
      </c>
    </row>
    <row r="235" spans="1:9" ht="13.2" customHeight="1" x14ac:dyDescent="0.25">
      <c r="A235" s="20" t="s">
        <v>2008</v>
      </c>
      <c r="B235" t="s">
        <v>1974</v>
      </c>
      <c r="C235" s="4" t="s">
        <v>89</v>
      </c>
      <c r="D235" s="103">
        <v>0.85</v>
      </c>
      <c r="E235" s="103">
        <v>4.8000000000000001E-2</v>
      </c>
      <c r="F235" s="104">
        <f>(grains_table[[#This Row],[Extract %]]*46.214)/1000+1</f>
        <v>1.0392819</v>
      </c>
      <c r="G235" s="4">
        <v>2.1</v>
      </c>
      <c r="H235" s="451">
        <f>(240+16)/3.5</f>
        <v>73.142857142857139</v>
      </c>
      <c r="I235" s="97" t="s">
        <v>1975</v>
      </c>
    </row>
    <row r="236" spans="1:9" ht="13.2" customHeight="1" x14ac:dyDescent="0.25">
      <c r="A236" s="20" t="s">
        <v>1483</v>
      </c>
      <c r="B236" s="20" t="s">
        <v>1308</v>
      </c>
      <c r="C236" s="41" t="s">
        <v>89</v>
      </c>
      <c r="D236" s="106">
        <v>0.82899999999999996</v>
      </c>
      <c r="E236" s="106">
        <v>0.04</v>
      </c>
      <c r="F236" s="104">
        <f>(grains_table[[#This Row],[Extract %]]*46.214)/1000+1</f>
        <v>1.038311406</v>
      </c>
      <c r="G236" s="4">
        <v>2.0499999999999998</v>
      </c>
      <c r="H236" s="451"/>
      <c r="I236" s="98" t="s">
        <v>1340</v>
      </c>
    </row>
    <row r="237" spans="1:9" ht="13.2" customHeight="1" x14ac:dyDescent="0.25">
      <c r="A237" s="20" t="s">
        <v>1484</v>
      </c>
      <c r="B237" s="20" t="s">
        <v>1310</v>
      </c>
      <c r="C237" s="41" t="s">
        <v>89</v>
      </c>
      <c r="D237" s="106">
        <v>0.83</v>
      </c>
      <c r="E237" s="106">
        <v>6.5000000000000002E-2</v>
      </c>
      <c r="F237" s="104">
        <f>(grains_table[[#This Row],[Extract %]]*46.214)/1000+1</f>
        <v>1.03835762</v>
      </c>
      <c r="G237" s="4">
        <v>1.6</v>
      </c>
      <c r="H237" s="451"/>
      <c r="I237" s="97" t="s">
        <v>1345</v>
      </c>
    </row>
    <row r="238" spans="1:9" ht="13.2" customHeight="1" x14ac:dyDescent="0.25">
      <c r="A238" s="20" t="s">
        <v>1485</v>
      </c>
      <c r="B238" s="20" t="s">
        <v>1307</v>
      </c>
      <c r="C238" s="41" t="s">
        <v>89</v>
      </c>
      <c r="D238" s="106"/>
      <c r="E238" s="106"/>
      <c r="F238" s="104">
        <f>(grains_table[[#This Row],[Extract %]]*46.214)/1000+1</f>
        <v>1</v>
      </c>
      <c r="G238" s="4">
        <v>7.15</v>
      </c>
      <c r="H238" s="451"/>
      <c r="I238" s="97" t="s">
        <v>1348</v>
      </c>
    </row>
    <row r="239" spans="1:9" ht="13.2" customHeight="1" x14ac:dyDescent="0.25">
      <c r="A239" s="20" t="s">
        <v>1486</v>
      </c>
      <c r="B239" s="20" t="s">
        <v>1309</v>
      </c>
      <c r="C239" s="41" t="s">
        <v>89</v>
      </c>
      <c r="D239" s="106">
        <v>0.81</v>
      </c>
      <c r="E239" s="106">
        <v>0.04</v>
      </c>
      <c r="F239" s="104">
        <f>(grains_table[[#This Row],[Extract %]]*46.214)/1000+1</f>
        <v>1.03743334</v>
      </c>
      <c r="G239" s="4">
        <v>2.2999999999999998</v>
      </c>
      <c r="H239" s="451">
        <v>180</v>
      </c>
      <c r="I239" s="98" t="s">
        <v>1361</v>
      </c>
    </row>
    <row r="240" spans="1:9" ht="13.2" customHeight="1" x14ac:dyDescent="0.25">
      <c r="A240" s="20" t="s">
        <v>1487</v>
      </c>
      <c r="B240" s="20" t="s">
        <v>1309</v>
      </c>
      <c r="C240" s="41" t="s">
        <v>89</v>
      </c>
      <c r="D240" s="106">
        <v>0.85</v>
      </c>
      <c r="E240" s="106">
        <v>0.04</v>
      </c>
      <c r="F240" s="104">
        <f>(grains_table[[#This Row],[Extract %]]*46.214)/1000+1</f>
        <v>1.0392819</v>
      </c>
      <c r="G240" s="4">
        <v>2.5</v>
      </c>
      <c r="H240" s="451">
        <v>160</v>
      </c>
      <c r="I240" s="98" t="s">
        <v>1361</v>
      </c>
    </row>
    <row r="241" spans="2:8" x14ac:dyDescent="0.25">
      <c r="H241" s="451"/>
    </row>
    <row r="242" spans="2:8" x14ac:dyDescent="0.25">
      <c r="H242" s="451"/>
    </row>
    <row r="243" spans="2:8" x14ac:dyDescent="0.25">
      <c r="H243" s="451"/>
    </row>
    <row r="244" spans="2:8" x14ac:dyDescent="0.25">
      <c r="B244" s="20"/>
      <c r="C244" s="20"/>
      <c r="D244" s="20"/>
      <c r="E244" s="20"/>
      <c r="H244" s="451"/>
    </row>
    <row r="245" spans="2:8" x14ac:dyDescent="0.25">
      <c r="B245" s="20"/>
      <c r="C245" s="20"/>
      <c r="D245" s="20"/>
      <c r="E245" s="20"/>
      <c r="H245" s="451"/>
    </row>
    <row r="246" spans="2:8" x14ac:dyDescent="0.25">
      <c r="B246" s="20"/>
      <c r="C246" s="20"/>
      <c r="D246" s="20"/>
      <c r="E246" s="20"/>
      <c r="H246" s="451"/>
    </row>
    <row r="247" spans="2:8" x14ac:dyDescent="0.25">
      <c r="H247" s="451"/>
    </row>
    <row r="248" spans="2:8" x14ac:dyDescent="0.25">
      <c r="H248" s="451"/>
    </row>
    <row r="249" spans="2:8" x14ac:dyDescent="0.25">
      <c r="H249" s="451"/>
    </row>
    <row r="250" spans="2:8" x14ac:dyDescent="0.25">
      <c r="H250" s="451"/>
    </row>
    <row r="251" spans="2:8" x14ac:dyDescent="0.25">
      <c r="H251" s="451"/>
    </row>
    <row r="252" spans="2:8" x14ac:dyDescent="0.25">
      <c r="H252" s="451"/>
    </row>
    <row r="253" spans="2:8" x14ac:dyDescent="0.25">
      <c r="H253" s="451"/>
    </row>
    <row r="254" spans="2:8" x14ac:dyDescent="0.25">
      <c r="H254" s="451"/>
    </row>
  </sheetData>
  <sheetProtection sheet="1" formatCells="0" formatColumns="0" formatRows="0" insertRows="0" sort="0" autoFilter="0"/>
  <sortState xmlns:xlrd2="http://schemas.microsoft.com/office/spreadsheetml/2017/richdata2" ref="A1:AD1">
    <sortCondition ref="A1"/>
  </sortState>
  <dataValidations count="2">
    <dataValidation type="list" showInputMessage="1" showErrorMessage="1" sqref="C2:C240" xr:uid="{00000000-0002-0000-0600-000000000000}">
      <formula1>"Grain,Sugar"</formula1>
    </dataValidation>
    <dataValidation showInputMessage="1" showErrorMessage="1" sqref="D2:E240" xr:uid="{00000000-0002-0000-0600-000001000000}"/>
  </dataValidations>
  <hyperlinks>
    <hyperlink ref="I132" r:id="rId1" xr:uid="{00000000-0004-0000-0600-000000000000}"/>
    <hyperlink ref="I133" r:id="rId2" xr:uid="{00000000-0004-0000-0600-000001000000}"/>
    <hyperlink ref="I146" r:id="rId3" xr:uid="{00000000-0004-0000-0600-000002000000}"/>
    <hyperlink ref="I134" r:id="rId4" xr:uid="{00000000-0004-0000-0600-000003000000}"/>
    <hyperlink ref="I131" r:id="rId5" xr:uid="{00000000-0004-0000-0600-000004000000}"/>
    <hyperlink ref="I152" r:id="rId6" xr:uid="{00000000-0004-0000-0600-000005000000}"/>
    <hyperlink ref="I228" r:id="rId7" xr:uid="{00000000-0004-0000-0600-000006000000}"/>
    <hyperlink ref="I120" r:id="rId8" xr:uid="{00000000-0004-0000-0600-000007000000}"/>
    <hyperlink ref="I135" r:id="rId9" xr:uid="{00000000-0004-0000-0600-000008000000}"/>
    <hyperlink ref="I6" r:id="rId10" xr:uid="{00000000-0004-0000-0600-000009000000}"/>
    <hyperlink ref="I130" r:id="rId11" xr:uid="{00000000-0004-0000-0600-00000A000000}"/>
    <hyperlink ref="I39" r:id="rId12" xr:uid="{00000000-0004-0000-0600-00000B000000}"/>
    <hyperlink ref="I69" r:id="rId13" xr:uid="{00000000-0004-0000-0600-00000C000000}"/>
    <hyperlink ref="I61" r:id="rId14" xr:uid="{00000000-0004-0000-0600-00000D000000}"/>
    <hyperlink ref="I64" r:id="rId15" xr:uid="{00000000-0004-0000-0600-00000E000000}"/>
    <hyperlink ref="I62" r:id="rId16" xr:uid="{00000000-0004-0000-0600-00000F000000}"/>
    <hyperlink ref="I60" r:id="rId17" xr:uid="{00000000-0004-0000-0600-000010000000}"/>
    <hyperlink ref="I72" r:id="rId18" xr:uid="{00000000-0004-0000-0600-000011000000}"/>
    <hyperlink ref="I66" r:id="rId19" xr:uid="{00000000-0004-0000-0600-000012000000}"/>
    <hyperlink ref="I172" r:id="rId20" xr:uid="{00000000-0004-0000-0600-000013000000}"/>
    <hyperlink ref="I180" r:id="rId21" xr:uid="{00000000-0004-0000-0600-000014000000}"/>
    <hyperlink ref="I183" r:id="rId22" xr:uid="{00000000-0004-0000-0600-000015000000}"/>
    <hyperlink ref="I177" r:id="rId23" xr:uid="{00000000-0004-0000-0600-000016000000}"/>
    <hyperlink ref="I167" r:id="rId24" xr:uid="{00000000-0004-0000-0600-000017000000}"/>
    <hyperlink ref="I124" r:id="rId25" xr:uid="{00000000-0004-0000-0600-000018000000}"/>
    <hyperlink ref="I236" r:id="rId26" xr:uid="{00000000-0004-0000-0600-000019000000}"/>
    <hyperlink ref="I123" r:id="rId27" xr:uid="{00000000-0004-0000-0600-00001A000000}"/>
    <hyperlink ref="I70" r:id="rId28" xr:uid="{00000000-0004-0000-0600-00001B000000}"/>
    <hyperlink ref="I196" r:id="rId29" xr:uid="{00000000-0004-0000-0600-00001C000000}"/>
    <hyperlink ref="I85" r:id="rId30" xr:uid="{00000000-0004-0000-0600-00001D000000}"/>
    <hyperlink ref="I158" r:id="rId31" xr:uid="{00000000-0004-0000-0600-00001E000000}"/>
    <hyperlink ref="I237" r:id="rId32" xr:uid="{00000000-0004-0000-0600-00001F000000}"/>
    <hyperlink ref="I139" r:id="rId33" xr:uid="{00000000-0004-0000-0600-000020000000}"/>
    <hyperlink ref="I121" r:id="rId34" xr:uid="{00000000-0004-0000-0600-000021000000}"/>
    <hyperlink ref="I7" r:id="rId35" xr:uid="{00000000-0004-0000-0600-000022000000}"/>
    <hyperlink ref="I8" r:id="rId36" xr:uid="{00000000-0004-0000-0600-000023000000}"/>
    <hyperlink ref="I26" r:id="rId37" xr:uid="{00000000-0004-0000-0600-000024000000}"/>
    <hyperlink ref="I27" r:id="rId38" xr:uid="{00000000-0004-0000-0600-000025000000}"/>
    <hyperlink ref="I25" r:id="rId39" xr:uid="{00000000-0004-0000-0600-000026000000}"/>
    <hyperlink ref="I73" r:id="rId40" xr:uid="{00000000-0004-0000-0600-000027000000}"/>
    <hyperlink ref="I11" r:id="rId41" xr:uid="{00000000-0004-0000-0600-000028000000}"/>
    <hyperlink ref="I81" r:id="rId42" xr:uid="{00000000-0004-0000-0600-000029000000}"/>
    <hyperlink ref="I17" r:id="rId43" xr:uid="{00000000-0004-0000-0600-00002A000000}"/>
    <hyperlink ref="I171" r:id="rId44" xr:uid="{00000000-0004-0000-0600-00002B000000}"/>
    <hyperlink ref="I192" r:id="rId45" xr:uid="{00000000-0004-0000-0600-00002C000000}"/>
    <hyperlink ref="I5" r:id="rId46" xr:uid="{00000000-0004-0000-0600-00002D000000}"/>
    <hyperlink ref="I127" r:id="rId47" xr:uid="{00000000-0004-0000-0600-00002E000000}"/>
    <hyperlink ref="I2" r:id="rId48" xr:uid="{00000000-0004-0000-0600-00002F000000}"/>
    <hyperlink ref="I201" r:id="rId49" xr:uid="{00000000-0004-0000-0600-000030000000}"/>
    <hyperlink ref="I26:I28" r:id="rId50" display="https://www.weyermann.de/usa/gelbe_seiten_usa.asp?go=brewery&amp;umenue=yes&amp;idmenue=269&amp;sprache=10" xr:uid="{00000000-0004-0000-0600-000031000000}"/>
    <hyperlink ref="I41:I42" r:id="rId51" display="https://www.weyermann.de/usa/gelbe_seiten_usa.asp?go=brewery&amp;umenue=yes&amp;idmenue=269&amp;sprache=10" xr:uid="{00000000-0004-0000-0600-000032000000}"/>
    <hyperlink ref="I48:I55" r:id="rId52" display="https://www.weyermann.de/usa/gelbe_seiten_usa.asp?go=brewery&amp;umenue=yes&amp;idmenue=269&amp;sprache=10" xr:uid="{00000000-0004-0000-0600-000033000000}"/>
    <hyperlink ref="I40" r:id="rId53" xr:uid="{00000000-0004-0000-0600-000034000000}"/>
    <hyperlink ref="I55" r:id="rId54" xr:uid="{00000000-0004-0000-0600-000036000000}"/>
    <hyperlink ref="I104" r:id="rId55" xr:uid="{00000000-0004-0000-0600-000037000000}"/>
    <hyperlink ref="I151" r:id="rId56" xr:uid="{00000000-0004-0000-0600-000038000000}"/>
    <hyperlink ref="I113" r:id="rId57" xr:uid="{00000000-0004-0000-0600-000039000000}"/>
    <hyperlink ref="I208" r:id="rId58" xr:uid="{00000000-0004-0000-0600-00003A000000}"/>
    <hyperlink ref="I138" r:id="rId59" xr:uid="{00000000-0004-0000-0600-00003B000000}"/>
    <hyperlink ref="I163" r:id="rId60" location="Brewers" xr:uid="{00000000-0004-0000-0600-00003C000000}"/>
    <hyperlink ref="I159" r:id="rId61" xr:uid="{00000000-0004-0000-0600-00003D000000}"/>
    <hyperlink ref="I168" r:id="rId62" xr:uid="{00000000-0004-0000-0600-00003E000000}"/>
    <hyperlink ref="I190" r:id="rId63" xr:uid="{00000000-0004-0000-0600-00003F000000}"/>
    <hyperlink ref="I209" r:id="rId64" xr:uid="{00000000-0004-0000-0600-000040000000}"/>
    <hyperlink ref="I229" r:id="rId65" xr:uid="{00000000-0004-0000-0600-000041000000}"/>
    <hyperlink ref="I238" r:id="rId66" xr:uid="{00000000-0004-0000-0600-000042000000}"/>
    <hyperlink ref="I114" r:id="rId67" location="Aromatic" xr:uid="{00000000-0004-0000-0600-000043000000}"/>
    <hyperlink ref="I181" r:id="rId68" location="Carabrown" xr:uid="{00000000-0004-0000-0600-000044000000}"/>
    <hyperlink ref="I30" r:id="rId69" xr:uid="{00000000-0004-0000-0600-000045000000}"/>
    <hyperlink ref="I41" r:id="rId70" xr:uid="{00000000-0004-0000-0600-000046000000}"/>
    <hyperlink ref="I42" r:id="rId71" xr:uid="{00000000-0004-0000-0600-000047000000}"/>
    <hyperlink ref="I43" r:id="rId72" xr:uid="{00000000-0004-0000-0600-000048000000}"/>
    <hyperlink ref="I44" r:id="rId73" xr:uid="{00000000-0004-0000-0600-000049000000}"/>
    <hyperlink ref="I45" r:id="rId74" xr:uid="{00000000-0004-0000-0600-00004A000000}"/>
    <hyperlink ref="I46" r:id="rId75" xr:uid="{00000000-0004-0000-0600-00004B000000}"/>
    <hyperlink ref="I47" r:id="rId76" xr:uid="{00000000-0004-0000-0600-00004C000000}"/>
    <hyperlink ref="I48" r:id="rId77" xr:uid="{00000000-0004-0000-0600-00004D000000}"/>
    <hyperlink ref="I49" r:id="rId78" xr:uid="{00000000-0004-0000-0600-00004E000000}"/>
    <hyperlink ref="I50" r:id="rId79" xr:uid="{00000000-0004-0000-0600-00004F000000}"/>
    <hyperlink ref="I51" r:id="rId80" xr:uid="{00000000-0004-0000-0600-000050000000}"/>
    <hyperlink ref="I83" r:id="rId81" xr:uid="{00000000-0004-0000-0600-000051000000}"/>
    <hyperlink ref="I84" r:id="rId82" xr:uid="{00000000-0004-0000-0600-000052000000}"/>
    <hyperlink ref="I182" r:id="rId83" location="2RowChocolate" xr:uid="{00000000-0004-0000-0600-000053000000}"/>
    <hyperlink ref="I188" r:id="rId84" location="ExtraSpecial" xr:uid="{00000000-0004-0000-0600-000054000000}"/>
    <hyperlink ref="I117" r:id="rId85" location="Bonlander" xr:uid="{00000000-0004-0000-0600-000055000000}"/>
    <hyperlink ref="I157" r:id="rId86" location="Brewers" xr:uid="{00000000-0004-0000-0600-000056000000}"/>
    <hyperlink ref="I145" r:id="rId87" location="Brewers" xr:uid="{00000000-0004-0000-0600-000057000000}"/>
    <hyperlink ref="I136" r:id="rId88" xr:uid="{00000000-0004-0000-0600-000058000000}"/>
    <hyperlink ref="I226" r:id="rId89" location="Goldpils" xr:uid="{00000000-0004-0000-0600-000059000000}"/>
    <hyperlink ref="I142" r:id="rId90" xr:uid="{00000000-0004-0000-0600-00005A000000}"/>
    <hyperlink ref="I239" r:id="rId91" xr:uid="{00000000-0004-0000-0600-00005B000000}"/>
    <hyperlink ref="I240" r:id="rId92" xr:uid="{00000000-0004-0000-0600-00005C000000}"/>
    <hyperlink ref="I15" r:id="rId93" xr:uid="{00000000-0004-0000-0600-00005D000000}"/>
    <hyperlink ref="I148" r:id="rId94" xr:uid="{00000000-0004-0000-0600-00005E000000}"/>
    <hyperlink ref="I149" r:id="rId95" xr:uid="{00000000-0004-0000-0600-00005F000000}"/>
    <hyperlink ref="I128" r:id="rId96" xr:uid="{00000000-0004-0000-0600-000060000000}"/>
    <hyperlink ref="I225" r:id="rId97" xr:uid="{00000000-0004-0000-0600-000061000000}"/>
    <hyperlink ref="I116" r:id="rId98" xr:uid="{00000000-0004-0000-0600-000062000000}"/>
    <hyperlink ref="I111" r:id="rId99" xr:uid="{00000000-0004-0000-0600-000063000000}"/>
    <hyperlink ref="I112" r:id="rId100" xr:uid="{00000000-0004-0000-0600-000064000000}"/>
    <hyperlink ref="I115" r:id="rId101" xr:uid="{00000000-0004-0000-0600-000065000000}"/>
    <hyperlink ref="I129" r:id="rId102" xr:uid="{00000000-0004-0000-0600-000066000000}"/>
    <hyperlink ref="I59" r:id="rId103" xr:uid="{00000000-0004-0000-0600-000067000000}"/>
    <hyperlink ref="I231" r:id="rId104" xr:uid="{00000000-0004-0000-0600-000068000000}"/>
    <hyperlink ref="I232" r:id="rId105" xr:uid="{00000000-0004-0000-0600-000069000000}"/>
    <hyperlink ref="I210" r:id="rId106" xr:uid="{00000000-0004-0000-0600-00006A000000}"/>
    <hyperlink ref="I230" r:id="rId107" xr:uid="{00000000-0004-0000-0600-00006B000000}"/>
    <hyperlink ref="I125" r:id="rId108" xr:uid="{00000000-0004-0000-0600-00006C000000}"/>
    <hyperlink ref="I126" r:id="rId109" xr:uid="{00000000-0004-0000-0600-00006D000000}"/>
    <hyperlink ref="I20" r:id="rId110" xr:uid="{00000000-0004-0000-0600-00006E000000}"/>
    <hyperlink ref="I19" r:id="rId111" xr:uid="{00000000-0004-0000-0600-00006F000000}"/>
    <hyperlink ref="I18" r:id="rId112" xr:uid="{00000000-0004-0000-0600-000070000000}"/>
    <hyperlink ref="I24" r:id="rId113" xr:uid="{00000000-0004-0000-0600-000071000000}"/>
    <hyperlink ref="I21" r:id="rId114" xr:uid="{00000000-0004-0000-0600-000072000000}"/>
    <hyperlink ref="I22" r:id="rId115" xr:uid="{00000000-0004-0000-0600-000073000000}"/>
    <hyperlink ref="I23" r:id="rId116" xr:uid="{00000000-0004-0000-0600-000074000000}"/>
    <hyperlink ref="I173" r:id="rId117" xr:uid="{00000000-0004-0000-0600-000075000000}"/>
    <hyperlink ref="I174" r:id="rId118" xr:uid="{00000000-0004-0000-0600-000076000000}"/>
    <hyperlink ref="I76" r:id="rId119" xr:uid="{00000000-0004-0000-0600-000077000000}"/>
    <hyperlink ref="I3" r:id="rId120" xr:uid="{00000000-0004-0000-0600-000078000000}"/>
    <hyperlink ref="I203" r:id="rId121" xr:uid="{00000000-0004-0000-0600-000079000000}"/>
    <hyperlink ref="I202" r:id="rId122" xr:uid="{00000000-0004-0000-0600-00007A000000}"/>
    <hyperlink ref="I169" r:id="rId123" xr:uid="{00000000-0004-0000-0600-00007B000000}"/>
    <hyperlink ref="I92" r:id="rId124" xr:uid="{00000000-0004-0000-0600-00007C000000}"/>
    <hyperlink ref="I89" r:id="rId125" xr:uid="{00000000-0004-0000-0600-00007D000000}"/>
    <hyperlink ref="I90" r:id="rId126" xr:uid="{00000000-0004-0000-0600-00007E000000}"/>
    <hyperlink ref="I91" r:id="rId127" xr:uid="{00000000-0004-0000-0600-00007F000000}"/>
    <hyperlink ref="I93" r:id="rId128" xr:uid="{00000000-0004-0000-0600-000080000000}"/>
    <hyperlink ref="I94" r:id="rId129" xr:uid="{00000000-0004-0000-0600-000081000000}"/>
    <hyperlink ref="I95" r:id="rId130" xr:uid="{00000000-0004-0000-0600-000082000000}"/>
    <hyperlink ref="I107" r:id="rId131" xr:uid="{00000000-0004-0000-0600-000083000000}"/>
    <hyperlink ref="I108" r:id="rId132" xr:uid="{00000000-0004-0000-0600-000084000000}"/>
    <hyperlink ref="I109" r:id="rId133" xr:uid="{00000000-0004-0000-0600-000085000000}"/>
    <hyperlink ref="I110" r:id="rId134" xr:uid="{00000000-0004-0000-0600-000086000000}"/>
    <hyperlink ref="I106" r:id="rId135" xr:uid="{00000000-0004-0000-0600-000087000000}"/>
    <hyperlink ref="I99" r:id="rId136" xr:uid="{00000000-0004-0000-0600-000088000000}"/>
    <hyperlink ref="I96" r:id="rId137" xr:uid="{00000000-0004-0000-0600-000089000000}"/>
    <hyperlink ref="I156" r:id="rId138" xr:uid="{00000000-0004-0000-0600-00008A000000}"/>
    <hyperlink ref="I170" r:id="rId139" xr:uid="{00000000-0004-0000-0600-00008C000000}"/>
    <hyperlink ref="I187" r:id="rId140" xr:uid="{00000000-0004-0000-0600-00008D000000}"/>
    <hyperlink ref="I189" r:id="rId141" xr:uid="{00000000-0004-0000-0600-00008E000000}"/>
    <hyperlink ref="I14" r:id="rId142" xr:uid="{00000000-0004-0000-0600-00008F000000}"/>
    <hyperlink ref="I198" r:id="rId143" xr:uid="{00000000-0004-0000-0600-000090000000}"/>
    <hyperlink ref="I200" r:id="rId144" xr:uid="{00000000-0004-0000-0600-000091000000}"/>
    <hyperlink ref="I204" r:id="rId145" xr:uid="{00000000-0004-0000-0600-000092000000}"/>
    <hyperlink ref="I206" r:id="rId146" xr:uid="{00000000-0004-0000-0600-000093000000}"/>
    <hyperlink ref="I214" r:id="rId147" display="http://www.beersmith.com/Grains/Grains/GrainList.htm" xr:uid="{00000000-0004-0000-0600-000094000000}"/>
    <hyperlink ref="I213" r:id="rId148" display="http://www.beersmith.com/Grains/Grains/GrainList.htm" xr:uid="{00000000-0004-0000-0600-000095000000}"/>
    <hyperlink ref="I215" r:id="rId149" display="http://www.beersmith.com/Grains/Grains/GrainList.htm" xr:uid="{00000000-0004-0000-0600-000096000000}"/>
    <hyperlink ref="I212" r:id="rId150" xr:uid="{00000000-0004-0000-0600-000097000000}"/>
    <hyperlink ref="I211" r:id="rId151" xr:uid="{00000000-0004-0000-0600-000098000000}"/>
    <hyperlink ref="I216" r:id="rId152" display="http://www.beersmith.com/Grains/Grains/GrainList.htm" xr:uid="{00000000-0004-0000-0600-000099000000}"/>
    <hyperlink ref="I218" r:id="rId153" display="http://www.beersmith.com/Grains/Grains/GrainList.htm" xr:uid="{00000000-0004-0000-0600-00009A000000}"/>
    <hyperlink ref="I217" r:id="rId154" xr:uid="{00000000-0004-0000-0600-00009B000000}"/>
    <hyperlink ref="I219" r:id="rId155" xr:uid="{00000000-0004-0000-0600-00009C000000}"/>
    <hyperlink ref="I220" r:id="rId156" display="http://www.beersmith.com/Grains/Grains/GrainList.htm" xr:uid="{00000000-0004-0000-0600-00009D000000}"/>
    <hyperlink ref="I221" r:id="rId157" display="http://www.beersmith.com/Grains/Grains/GrainList.htm" xr:uid="{00000000-0004-0000-0600-00009E000000}"/>
    <hyperlink ref="I222" r:id="rId158" display="http://www.beersmith.com/Grains/Grains/GrainList.htm" xr:uid="{00000000-0004-0000-0600-00009F000000}"/>
    <hyperlink ref="I223" r:id="rId159" display="http://www.beersmith.com/Grains/Grains/GrainList.htm" xr:uid="{00000000-0004-0000-0600-0000A0000000}"/>
    <hyperlink ref="I224" r:id="rId160" location="TorrifiedWheat" xr:uid="{00000000-0004-0000-0600-0000A1000000}"/>
    <hyperlink ref="I178" r:id="rId161" xr:uid="{00000000-0004-0000-0600-0000A2000000}"/>
    <hyperlink ref="I179" r:id="rId162" xr:uid="{00000000-0004-0000-0600-0000A3000000}"/>
    <hyperlink ref="I176" r:id="rId163" xr:uid="{00000000-0004-0000-0600-0000A4000000}"/>
    <hyperlink ref="I175" r:id="rId164" xr:uid="{00000000-0004-0000-0600-0000A5000000}"/>
    <hyperlink ref="I143" r:id="rId165" xr:uid="{00000000-0004-0000-0600-0000A6000000}"/>
    <hyperlink ref="I37" r:id="rId166" xr:uid="{00000000-0004-0000-0600-0000A7000000}"/>
    <hyperlink ref="I88" r:id="rId167" xr:uid="{00000000-0004-0000-0600-0000A8000000}"/>
    <hyperlink ref="I87" r:id="rId168" xr:uid="{00000000-0004-0000-0600-0000A9000000}"/>
    <hyperlink ref="I105" r:id="rId169" xr:uid="{00000000-0004-0000-0600-0000AA000000}"/>
    <hyperlink ref="I144" r:id="rId170" xr:uid="{00000000-0004-0000-0600-0000AB000000}"/>
    <hyperlink ref="I147" r:id="rId171" xr:uid="{00000000-0004-0000-0600-0000AC000000}"/>
    <hyperlink ref="I161" r:id="rId172" xr:uid="{13711CBD-0205-45C4-B7F3-ACC02CED9BE4}"/>
    <hyperlink ref="I137" r:id="rId173" location="{%22issue_id%22:453924,%22page%22:50}" xr:uid="{8C439332-78DE-437D-A3C5-08B1B6A74DE3}"/>
    <hyperlink ref="I141" r:id="rId174" xr:uid="{D7F8BAFD-07E5-4957-BD7E-DF8F85B6BE61}"/>
    <hyperlink ref="I140" r:id="rId175" xr:uid="{BAD7748C-F653-4CE0-83B3-FFFA0DD429F2}"/>
    <hyperlink ref="I9" r:id="rId176" xr:uid="{D9793794-F757-4BE1-B91C-D06F57FD838A}"/>
    <hyperlink ref="I12" r:id="rId177" xr:uid="{04FB2C70-A82D-4C42-94D9-9EA10123BF6E}"/>
    <hyperlink ref="I80" r:id="rId178" xr:uid="{3E14905F-D6C4-4F13-A430-3D50AE1C1703}"/>
    <hyperlink ref="I16" r:id="rId179" xr:uid="{226A8B64-F0E6-433B-90B6-B6EB8E814B3D}"/>
    <hyperlink ref="I97" r:id="rId180" xr:uid="{196F91B8-D176-4823-8B02-10D685658319}"/>
    <hyperlink ref="I86" r:id="rId181" xr:uid="{C42C6794-E0B7-47E1-9E18-DEB7D82EBD26}"/>
    <hyperlink ref="I205" r:id="rId182" xr:uid="{BC7D9F85-5E58-4871-9070-80A69172F7EA}"/>
    <hyperlink ref="I165" r:id="rId183" display="http://brewingwithbriess.com/Products/Roasted_Barley.htm" xr:uid="{00000000-0004-0000-0600-00008B000000}"/>
    <hyperlink ref="I63" r:id="rId184" xr:uid="{83F66515-E287-4E70-8E28-B92DBEB65257}"/>
    <hyperlink ref="I77" r:id="rId185" location="2RowChocolate" xr:uid="{E3DF2CD9-193E-42A3-B521-F327C47B2276}"/>
    <hyperlink ref="I78" r:id="rId186" location="2RowChocolate" xr:uid="{8C0EC194-886F-47B8-BF9D-3698D2B289AF}"/>
    <hyperlink ref="I118" r:id="rId187" location="Bonlander" xr:uid="{C070683E-89F3-4B7F-B2EB-8300E3200618}"/>
    <hyperlink ref="I150" r:id="rId188" xr:uid="{4C6839C8-99F2-492D-9669-74124F6993D7}"/>
  </hyperlinks>
  <pageMargins left="0.7" right="0.7" top="0.75" bottom="0.75" header="0.3" footer="0.3"/>
  <pageSetup orientation="portrait" r:id="rId189"/>
  <tableParts count="1">
    <tablePart r:id="rId190"/>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148"/>
  <sheetViews>
    <sheetView workbookViewId="0">
      <selection activeCell="C47" sqref="C47"/>
    </sheetView>
  </sheetViews>
  <sheetFormatPr defaultRowHeight="13.2" x14ac:dyDescent="0.25"/>
  <cols>
    <col min="1" max="1" width="34.77734375" customWidth="1"/>
    <col min="2" max="2" width="12" bestFit="1" customWidth="1"/>
    <col min="3" max="3" width="48.33203125" bestFit="1" customWidth="1"/>
    <col min="4" max="4" width="218.109375" bestFit="1" customWidth="1"/>
  </cols>
  <sheetData>
    <row r="1" spans="1:4" x14ac:dyDescent="0.25">
      <c r="A1" s="42" t="s">
        <v>131</v>
      </c>
      <c r="B1" s="42" t="s">
        <v>727</v>
      </c>
      <c r="C1" s="42" t="s">
        <v>728</v>
      </c>
      <c r="D1" s="42" t="s">
        <v>147</v>
      </c>
    </row>
    <row r="2" spans="1:4" x14ac:dyDescent="0.25">
      <c r="A2" t="s">
        <v>148</v>
      </c>
      <c r="B2" t="s">
        <v>149</v>
      </c>
      <c r="C2" t="s">
        <v>150</v>
      </c>
      <c r="D2" t="s">
        <v>151</v>
      </c>
    </row>
    <row r="3" spans="1:4" x14ac:dyDescent="0.25">
      <c r="A3" t="s">
        <v>729</v>
      </c>
      <c r="B3" t="s">
        <v>152</v>
      </c>
      <c r="C3" t="s">
        <v>153</v>
      </c>
      <c r="D3" t="s">
        <v>154</v>
      </c>
    </row>
    <row r="4" spans="1:4" x14ac:dyDescent="0.25">
      <c r="A4" t="s">
        <v>730</v>
      </c>
      <c r="B4" t="s">
        <v>156</v>
      </c>
      <c r="C4" t="s">
        <v>157</v>
      </c>
      <c r="D4" t="s">
        <v>158</v>
      </c>
    </row>
    <row r="5" spans="1:4" x14ac:dyDescent="0.25">
      <c r="A5" t="s">
        <v>159</v>
      </c>
      <c r="B5" t="s">
        <v>160</v>
      </c>
      <c r="C5" t="s">
        <v>161</v>
      </c>
      <c r="D5" t="s">
        <v>162</v>
      </c>
    </row>
    <row r="6" spans="1:4" x14ac:dyDescent="0.25">
      <c r="A6" t="s">
        <v>866</v>
      </c>
      <c r="B6" t="s">
        <v>187</v>
      </c>
      <c r="C6" t="s">
        <v>276</v>
      </c>
    </row>
    <row r="7" spans="1:4" x14ac:dyDescent="0.25">
      <c r="A7" t="s">
        <v>731</v>
      </c>
      <c r="B7" t="s">
        <v>732</v>
      </c>
      <c r="D7" t="s">
        <v>733</v>
      </c>
    </row>
    <row r="8" spans="1:4" x14ac:dyDescent="0.25">
      <c r="A8" t="s">
        <v>833</v>
      </c>
      <c r="B8" s="44">
        <v>0.121</v>
      </c>
      <c r="D8" t="s">
        <v>834</v>
      </c>
    </row>
    <row r="9" spans="1:4" x14ac:dyDescent="0.25">
      <c r="A9" t="s">
        <v>734</v>
      </c>
      <c r="B9" t="s">
        <v>156</v>
      </c>
      <c r="D9" t="s">
        <v>735</v>
      </c>
    </row>
    <row r="10" spans="1:4" x14ac:dyDescent="0.25">
      <c r="A10" t="s">
        <v>842</v>
      </c>
      <c r="B10" t="s">
        <v>843</v>
      </c>
      <c r="C10" t="s">
        <v>786</v>
      </c>
    </row>
    <row r="11" spans="1:4" x14ac:dyDescent="0.25">
      <c r="A11" t="s">
        <v>163</v>
      </c>
      <c r="B11" t="s">
        <v>164</v>
      </c>
      <c r="C11" t="s">
        <v>165</v>
      </c>
      <c r="D11" t="s">
        <v>166</v>
      </c>
    </row>
    <row r="12" spans="1:4" x14ac:dyDescent="0.25">
      <c r="A12" t="s">
        <v>167</v>
      </c>
      <c r="B12" t="s">
        <v>168</v>
      </c>
      <c r="C12" t="s">
        <v>169</v>
      </c>
    </row>
    <row r="13" spans="1:4" x14ac:dyDescent="0.25">
      <c r="A13" t="s">
        <v>170</v>
      </c>
      <c r="B13" t="s">
        <v>171</v>
      </c>
      <c r="C13" t="s">
        <v>172</v>
      </c>
      <c r="D13" t="s">
        <v>173</v>
      </c>
    </row>
    <row r="14" spans="1:4" x14ac:dyDescent="0.25">
      <c r="A14" t="s">
        <v>174</v>
      </c>
      <c r="B14" t="s">
        <v>175</v>
      </c>
      <c r="C14" t="s">
        <v>176</v>
      </c>
      <c r="D14" t="s">
        <v>177</v>
      </c>
    </row>
    <row r="15" spans="1:4" x14ac:dyDescent="0.25">
      <c r="A15" t="s">
        <v>178</v>
      </c>
      <c r="B15" t="s">
        <v>179</v>
      </c>
      <c r="C15" t="s">
        <v>180</v>
      </c>
      <c r="D15" t="s">
        <v>181</v>
      </c>
    </row>
    <row r="16" spans="1:4" x14ac:dyDescent="0.25">
      <c r="A16" t="s">
        <v>835</v>
      </c>
      <c r="B16" t="s">
        <v>283</v>
      </c>
      <c r="D16" t="s">
        <v>836</v>
      </c>
    </row>
    <row r="17" spans="1:4" x14ac:dyDescent="0.25">
      <c r="A17" t="s">
        <v>182</v>
      </c>
      <c r="B17" t="s">
        <v>183</v>
      </c>
      <c r="C17" t="s">
        <v>184</v>
      </c>
      <c r="D17" t="s">
        <v>185</v>
      </c>
    </row>
    <row r="18" spans="1:4" x14ac:dyDescent="0.25">
      <c r="A18" t="s">
        <v>186</v>
      </c>
      <c r="B18" t="s">
        <v>187</v>
      </c>
      <c r="C18" t="s">
        <v>188</v>
      </c>
      <c r="D18" t="s">
        <v>189</v>
      </c>
    </row>
    <row r="19" spans="1:4" x14ac:dyDescent="0.25">
      <c r="A19" t="s">
        <v>190</v>
      </c>
      <c r="B19" t="s">
        <v>191</v>
      </c>
      <c r="C19" t="s">
        <v>192</v>
      </c>
      <c r="D19" t="s">
        <v>193</v>
      </c>
    </row>
    <row r="20" spans="1:4" x14ac:dyDescent="0.25">
      <c r="A20" t="s">
        <v>736</v>
      </c>
      <c r="B20" t="s">
        <v>737</v>
      </c>
      <c r="D20" t="s">
        <v>738</v>
      </c>
    </row>
    <row r="21" spans="1:4" x14ac:dyDescent="0.25">
      <c r="A21" t="s">
        <v>811</v>
      </c>
      <c r="B21" t="s">
        <v>271</v>
      </c>
      <c r="C21" t="s">
        <v>770</v>
      </c>
      <c r="D21" t="s">
        <v>812</v>
      </c>
    </row>
    <row r="22" spans="1:4" x14ac:dyDescent="0.25">
      <c r="A22" t="s">
        <v>194</v>
      </c>
      <c r="B22" t="s">
        <v>195</v>
      </c>
      <c r="C22" t="s">
        <v>196</v>
      </c>
      <c r="D22" t="s">
        <v>197</v>
      </c>
    </row>
    <row r="23" spans="1:4" x14ac:dyDescent="0.25">
      <c r="A23" t="s">
        <v>198</v>
      </c>
      <c r="B23" t="s">
        <v>199</v>
      </c>
      <c r="C23" t="s">
        <v>200</v>
      </c>
      <c r="D23" t="s">
        <v>201</v>
      </c>
    </row>
    <row r="24" spans="1:4" x14ac:dyDescent="0.25">
      <c r="A24" t="s">
        <v>202</v>
      </c>
      <c r="B24" t="s">
        <v>203</v>
      </c>
      <c r="C24" t="s">
        <v>204</v>
      </c>
      <c r="D24" t="s">
        <v>205</v>
      </c>
    </row>
    <row r="25" spans="1:4" x14ac:dyDescent="0.25">
      <c r="A25" t="s">
        <v>739</v>
      </c>
      <c r="B25" t="s">
        <v>261</v>
      </c>
      <c r="D25" t="s">
        <v>740</v>
      </c>
    </row>
    <row r="26" spans="1:4" x14ac:dyDescent="0.25">
      <c r="A26" t="s">
        <v>206</v>
      </c>
      <c r="B26" t="s">
        <v>207</v>
      </c>
      <c r="C26" t="s">
        <v>208</v>
      </c>
      <c r="D26" t="s">
        <v>209</v>
      </c>
    </row>
    <row r="27" spans="1:4" x14ac:dyDescent="0.25">
      <c r="A27" t="s">
        <v>210</v>
      </c>
      <c r="B27" t="s">
        <v>211</v>
      </c>
      <c r="C27" t="s">
        <v>212</v>
      </c>
      <c r="D27" t="s">
        <v>213</v>
      </c>
    </row>
    <row r="28" spans="1:4" x14ac:dyDescent="0.25">
      <c r="A28" t="s">
        <v>741</v>
      </c>
      <c r="B28" t="s">
        <v>742</v>
      </c>
      <c r="D28" t="s">
        <v>743</v>
      </c>
    </row>
    <row r="29" spans="1:4" x14ac:dyDescent="0.25">
      <c r="A29" t="s">
        <v>813</v>
      </c>
      <c r="B29" t="s">
        <v>814</v>
      </c>
      <c r="C29" t="s">
        <v>815</v>
      </c>
      <c r="D29" t="s">
        <v>816</v>
      </c>
    </row>
    <row r="30" spans="1:4" x14ac:dyDescent="0.25">
      <c r="A30" t="s">
        <v>1965</v>
      </c>
      <c r="B30" t="s">
        <v>1966</v>
      </c>
      <c r="D30" t="s">
        <v>1967</v>
      </c>
    </row>
    <row r="31" spans="1:4" x14ac:dyDescent="0.25">
      <c r="A31" t="s">
        <v>744</v>
      </c>
      <c r="B31" t="s">
        <v>732</v>
      </c>
      <c r="D31" t="s">
        <v>745</v>
      </c>
    </row>
    <row r="32" spans="1:4" x14ac:dyDescent="0.25">
      <c r="A32" t="s">
        <v>817</v>
      </c>
      <c r="B32" t="s">
        <v>818</v>
      </c>
      <c r="D32" t="s">
        <v>819</v>
      </c>
    </row>
    <row r="33" spans="1:4" x14ac:dyDescent="0.25">
      <c r="A33" t="s">
        <v>214</v>
      </c>
      <c r="B33" t="s">
        <v>215</v>
      </c>
      <c r="C33" t="s">
        <v>216</v>
      </c>
      <c r="D33" t="s">
        <v>217</v>
      </c>
    </row>
    <row r="34" spans="1:4" x14ac:dyDescent="0.25">
      <c r="A34" t="s">
        <v>746</v>
      </c>
      <c r="B34" t="s">
        <v>747</v>
      </c>
      <c r="C34" t="s">
        <v>358</v>
      </c>
      <c r="D34" t="s">
        <v>748</v>
      </c>
    </row>
    <row r="35" spans="1:4" x14ac:dyDescent="0.25">
      <c r="A35" t="s">
        <v>218</v>
      </c>
      <c r="B35" t="s">
        <v>199</v>
      </c>
      <c r="C35" t="s">
        <v>219</v>
      </c>
      <c r="D35" t="s">
        <v>220</v>
      </c>
    </row>
    <row r="36" spans="1:4" x14ac:dyDescent="0.25">
      <c r="A36" t="s">
        <v>221</v>
      </c>
      <c r="B36" t="s">
        <v>222</v>
      </c>
      <c r="C36" t="s">
        <v>223</v>
      </c>
      <c r="D36" t="s">
        <v>224</v>
      </c>
    </row>
    <row r="37" spans="1:4" x14ac:dyDescent="0.25">
      <c r="A37" t="s">
        <v>225</v>
      </c>
      <c r="B37" t="s">
        <v>222</v>
      </c>
      <c r="C37" t="s">
        <v>226</v>
      </c>
      <c r="D37" t="s">
        <v>227</v>
      </c>
    </row>
    <row r="38" spans="1:4" x14ac:dyDescent="0.25">
      <c r="A38" t="s">
        <v>749</v>
      </c>
      <c r="B38" t="s">
        <v>211</v>
      </c>
      <c r="D38" t="s">
        <v>750</v>
      </c>
    </row>
    <row r="39" spans="1:4" x14ac:dyDescent="0.25">
      <c r="A39" t="s">
        <v>208</v>
      </c>
      <c r="B39" t="s">
        <v>203</v>
      </c>
      <c r="C39" t="s">
        <v>228</v>
      </c>
      <c r="D39" t="s">
        <v>229</v>
      </c>
    </row>
    <row r="40" spans="1:4" x14ac:dyDescent="0.25">
      <c r="A40" t="s">
        <v>230</v>
      </c>
      <c r="B40" t="s">
        <v>231</v>
      </c>
      <c r="C40" t="s">
        <v>232</v>
      </c>
      <c r="D40" t="s">
        <v>233</v>
      </c>
    </row>
    <row r="41" spans="1:4" x14ac:dyDescent="0.25">
      <c r="A41" t="s">
        <v>234</v>
      </c>
      <c r="B41" t="s">
        <v>235</v>
      </c>
      <c r="C41" t="s">
        <v>236</v>
      </c>
      <c r="D41" t="s">
        <v>237</v>
      </c>
    </row>
    <row r="42" spans="1:4" x14ac:dyDescent="0.25">
      <c r="A42" t="s">
        <v>238</v>
      </c>
      <c r="B42" t="s">
        <v>239</v>
      </c>
      <c r="C42" t="s">
        <v>240</v>
      </c>
      <c r="D42" t="s">
        <v>241</v>
      </c>
    </row>
    <row r="43" spans="1:4" x14ac:dyDescent="0.25">
      <c r="A43" t="s">
        <v>242</v>
      </c>
      <c r="B43" t="s">
        <v>199</v>
      </c>
      <c r="C43" t="s">
        <v>243</v>
      </c>
      <c r="D43" t="s">
        <v>244</v>
      </c>
    </row>
    <row r="44" spans="1:4" x14ac:dyDescent="0.25">
      <c r="A44" t="s">
        <v>837</v>
      </c>
      <c r="B44" t="s">
        <v>215</v>
      </c>
      <c r="D44" t="s">
        <v>838</v>
      </c>
    </row>
    <row r="45" spans="1:4" x14ac:dyDescent="0.25">
      <c r="A45" t="s">
        <v>245</v>
      </c>
      <c r="B45" t="s">
        <v>246</v>
      </c>
      <c r="C45" t="s">
        <v>247</v>
      </c>
      <c r="D45" t="s">
        <v>248</v>
      </c>
    </row>
    <row r="46" spans="1:4" x14ac:dyDescent="0.25">
      <c r="A46" t="s">
        <v>249</v>
      </c>
      <c r="B46" t="s">
        <v>250</v>
      </c>
      <c r="C46" t="s">
        <v>251</v>
      </c>
      <c r="D46" t="s">
        <v>252</v>
      </c>
    </row>
    <row r="47" spans="1:4" x14ac:dyDescent="0.25">
      <c r="A47" t="s">
        <v>253</v>
      </c>
      <c r="B47" t="s">
        <v>254</v>
      </c>
      <c r="C47" t="s">
        <v>255</v>
      </c>
      <c r="D47" t="s">
        <v>256</v>
      </c>
    </row>
    <row r="48" spans="1:4" x14ac:dyDescent="0.25">
      <c r="A48" t="s">
        <v>257</v>
      </c>
      <c r="B48" t="s">
        <v>246</v>
      </c>
      <c r="C48" t="s">
        <v>258</v>
      </c>
      <c r="D48" t="s">
        <v>259</v>
      </c>
    </row>
    <row r="49" spans="1:4" x14ac:dyDescent="0.25">
      <c r="A49" t="s">
        <v>260</v>
      </c>
      <c r="B49" t="s">
        <v>261</v>
      </c>
      <c r="D49" t="s">
        <v>262</v>
      </c>
    </row>
    <row r="50" spans="1:4" x14ac:dyDescent="0.25">
      <c r="A50" t="s">
        <v>820</v>
      </c>
      <c r="B50" t="s">
        <v>821</v>
      </c>
      <c r="D50" t="s">
        <v>822</v>
      </c>
    </row>
    <row r="51" spans="1:4" x14ac:dyDescent="0.25">
      <c r="A51" t="s">
        <v>263</v>
      </c>
      <c r="B51" t="s">
        <v>254</v>
      </c>
      <c r="C51" t="s">
        <v>264</v>
      </c>
      <c r="D51" t="s">
        <v>265</v>
      </c>
    </row>
    <row r="52" spans="1:4" x14ac:dyDescent="0.25">
      <c r="A52" t="s">
        <v>266</v>
      </c>
      <c r="B52" t="s">
        <v>239</v>
      </c>
      <c r="C52" t="s">
        <v>274</v>
      </c>
      <c r="D52" t="s">
        <v>751</v>
      </c>
    </row>
    <row r="53" spans="1:4" x14ac:dyDescent="0.25">
      <c r="A53" t="s">
        <v>847</v>
      </c>
      <c r="B53" t="s">
        <v>848</v>
      </c>
      <c r="D53" t="s">
        <v>849</v>
      </c>
    </row>
    <row r="54" spans="1:4" x14ac:dyDescent="0.25">
      <c r="A54" t="s">
        <v>752</v>
      </c>
      <c r="B54" t="s">
        <v>753</v>
      </c>
      <c r="D54" t="s">
        <v>754</v>
      </c>
    </row>
    <row r="55" spans="1:4" x14ac:dyDescent="0.25">
      <c r="A55" t="s">
        <v>755</v>
      </c>
      <c r="B55" t="s">
        <v>410</v>
      </c>
      <c r="D55" t="s">
        <v>756</v>
      </c>
    </row>
    <row r="56" spans="1:4" x14ac:dyDescent="0.25">
      <c r="A56" t="s">
        <v>267</v>
      </c>
      <c r="B56" t="s">
        <v>222</v>
      </c>
      <c r="C56" t="s">
        <v>268</v>
      </c>
      <c r="D56" t="s">
        <v>269</v>
      </c>
    </row>
    <row r="57" spans="1:4" x14ac:dyDescent="0.25">
      <c r="A57" t="s">
        <v>757</v>
      </c>
      <c r="B57" s="43">
        <v>0.03</v>
      </c>
      <c r="D57" t="s">
        <v>758</v>
      </c>
    </row>
    <row r="58" spans="1:4" x14ac:dyDescent="0.25">
      <c r="A58" t="s">
        <v>759</v>
      </c>
      <c r="B58" t="s">
        <v>145</v>
      </c>
      <c r="D58" t="s">
        <v>760</v>
      </c>
    </row>
    <row r="59" spans="1:4" x14ac:dyDescent="0.25">
      <c r="A59" t="s">
        <v>761</v>
      </c>
      <c r="B59" t="s">
        <v>164</v>
      </c>
      <c r="C59" t="s">
        <v>155</v>
      </c>
      <c r="D59" t="s">
        <v>762</v>
      </c>
    </row>
    <row r="60" spans="1:4" x14ac:dyDescent="0.25">
      <c r="A60" t="s">
        <v>270</v>
      </c>
      <c r="B60" t="s">
        <v>271</v>
      </c>
      <c r="C60" t="s">
        <v>272</v>
      </c>
      <c r="D60" t="s">
        <v>273</v>
      </c>
    </row>
    <row r="61" spans="1:4" x14ac:dyDescent="0.25">
      <c r="A61" t="s">
        <v>869</v>
      </c>
      <c r="B61" t="s">
        <v>342</v>
      </c>
      <c r="C61" t="s">
        <v>361</v>
      </c>
      <c r="D61" t="s">
        <v>870</v>
      </c>
    </row>
    <row r="62" spans="1:4" x14ac:dyDescent="0.25">
      <c r="A62" t="s">
        <v>763</v>
      </c>
      <c r="B62" t="s">
        <v>391</v>
      </c>
      <c r="C62" t="s">
        <v>764</v>
      </c>
      <c r="D62" t="s">
        <v>277</v>
      </c>
    </row>
    <row r="63" spans="1:4" x14ac:dyDescent="0.25">
      <c r="A63" t="s">
        <v>765</v>
      </c>
      <c r="B63" t="s">
        <v>203</v>
      </c>
      <c r="C63" t="s">
        <v>764</v>
      </c>
      <c r="D63" t="s">
        <v>766</v>
      </c>
    </row>
    <row r="64" spans="1:4" x14ac:dyDescent="0.25">
      <c r="A64" t="s">
        <v>839</v>
      </c>
      <c r="B64" t="s">
        <v>175</v>
      </c>
      <c r="C64" t="s">
        <v>840</v>
      </c>
      <c r="D64" t="s">
        <v>841</v>
      </c>
    </row>
    <row r="65" spans="1:4" x14ac:dyDescent="0.25">
      <c r="A65" t="s">
        <v>867</v>
      </c>
      <c r="B65" t="s">
        <v>215</v>
      </c>
      <c r="D65" t="s">
        <v>868</v>
      </c>
    </row>
    <row r="66" spans="1:4" x14ac:dyDescent="0.25">
      <c r="A66" t="s">
        <v>823</v>
      </c>
      <c r="B66" t="s">
        <v>753</v>
      </c>
      <c r="C66" t="s">
        <v>274</v>
      </c>
      <c r="D66" t="s">
        <v>824</v>
      </c>
    </row>
    <row r="67" spans="1:4" x14ac:dyDescent="0.25">
      <c r="A67" t="s">
        <v>825</v>
      </c>
      <c r="B67" t="s">
        <v>753</v>
      </c>
      <c r="C67" t="s">
        <v>300</v>
      </c>
      <c r="D67" t="s">
        <v>826</v>
      </c>
    </row>
    <row r="68" spans="1:4" x14ac:dyDescent="0.25">
      <c r="A68" t="s">
        <v>876</v>
      </c>
      <c r="B68" t="s">
        <v>877</v>
      </c>
      <c r="C68" t="s">
        <v>878</v>
      </c>
      <c r="D68" t="s">
        <v>879</v>
      </c>
    </row>
    <row r="69" spans="1:4" x14ac:dyDescent="0.25">
      <c r="A69" t="s">
        <v>859</v>
      </c>
      <c r="B69" t="s">
        <v>860</v>
      </c>
      <c r="C69" t="s">
        <v>861</v>
      </c>
      <c r="D69" t="s">
        <v>862</v>
      </c>
    </row>
    <row r="70" spans="1:4" x14ac:dyDescent="0.25">
      <c r="A70" t="s">
        <v>278</v>
      </c>
      <c r="B70" t="s">
        <v>279</v>
      </c>
      <c r="C70" t="s">
        <v>280</v>
      </c>
      <c r="D70" t="s">
        <v>281</v>
      </c>
    </row>
    <row r="71" spans="1:4" x14ac:dyDescent="0.25">
      <c r="A71" t="s">
        <v>827</v>
      </c>
      <c r="B71" t="s">
        <v>828</v>
      </c>
      <c r="C71" t="s">
        <v>829</v>
      </c>
      <c r="D71" t="s">
        <v>830</v>
      </c>
    </row>
    <row r="72" spans="1:4" x14ac:dyDescent="0.25">
      <c r="A72" t="s">
        <v>282</v>
      </c>
      <c r="B72" t="s">
        <v>283</v>
      </c>
      <c r="D72" t="s">
        <v>767</v>
      </c>
    </row>
    <row r="73" spans="1:4" x14ac:dyDescent="0.25">
      <c r="A73" t="s">
        <v>284</v>
      </c>
      <c r="B73" t="s">
        <v>285</v>
      </c>
      <c r="C73" t="s">
        <v>286</v>
      </c>
      <c r="D73" t="s">
        <v>287</v>
      </c>
    </row>
    <row r="74" spans="1:4" x14ac:dyDescent="0.25">
      <c r="A74" t="s">
        <v>288</v>
      </c>
      <c r="B74" t="s">
        <v>289</v>
      </c>
      <c r="D74" t="s">
        <v>290</v>
      </c>
    </row>
    <row r="75" spans="1:4" x14ac:dyDescent="0.25">
      <c r="A75" t="s">
        <v>291</v>
      </c>
      <c r="B75" t="s">
        <v>175</v>
      </c>
      <c r="C75" t="s">
        <v>292</v>
      </c>
      <c r="D75" t="s">
        <v>293</v>
      </c>
    </row>
    <row r="76" spans="1:4" x14ac:dyDescent="0.25">
      <c r="A76" t="s">
        <v>294</v>
      </c>
      <c r="B76" t="s">
        <v>295</v>
      </c>
      <c r="C76" t="s">
        <v>296</v>
      </c>
      <c r="D76" t="s">
        <v>293</v>
      </c>
    </row>
    <row r="77" spans="1:4" x14ac:dyDescent="0.25">
      <c r="A77" t="s">
        <v>297</v>
      </c>
      <c r="B77" t="s">
        <v>298</v>
      </c>
      <c r="D77" t="s">
        <v>299</v>
      </c>
    </row>
    <row r="78" spans="1:4" x14ac:dyDescent="0.25">
      <c r="A78" t="s">
        <v>300</v>
      </c>
      <c r="B78" t="s">
        <v>301</v>
      </c>
      <c r="C78" t="s">
        <v>302</v>
      </c>
      <c r="D78" t="s">
        <v>303</v>
      </c>
    </row>
    <row r="79" spans="1:4" x14ac:dyDescent="0.25">
      <c r="A79" t="s">
        <v>304</v>
      </c>
      <c r="B79" t="s">
        <v>261</v>
      </c>
      <c r="C79" t="s">
        <v>202</v>
      </c>
      <c r="D79" t="s">
        <v>305</v>
      </c>
    </row>
    <row r="80" spans="1:4" x14ac:dyDescent="0.25">
      <c r="A80" t="s">
        <v>768</v>
      </c>
      <c r="B80" t="s">
        <v>769</v>
      </c>
      <c r="C80" t="s">
        <v>770</v>
      </c>
      <c r="D80" t="s">
        <v>771</v>
      </c>
    </row>
    <row r="81" spans="1:4" x14ac:dyDescent="0.25">
      <c r="A81" t="s">
        <v>772</v>
      </c>
      <c r="B81" t="s">
        <v>145</v>
      </c>
      <c r="D81" t="s">
        <v>773</v>
      </c>
    </row>
    <row r="82" spans="1:4" x14ac:dyDescent="0.25">
      <c r="A82" t="s">
        <v>306</v>
      </c>
      <c r="B82" t="s">
        <v>275</v>
      </c>
      <c r="C82" t="s">
        <v>208</v>
      </c>
      <c r="D82" t="s">
        <v>774</v>
      </c>
    </row>
    <row r="83" spans="1:4" x14ac:dyDescent="0.25">
      <c r="A83" t="s">
        <v>307</v>
      </c>
      <c r="B83" t="s">
        <v>283</v>
      </c>
      <c r="D83" t="s">
        <v>308</v>
      </c>
    </row>
    <row r="84" spans="1:4" x14ac:dyDescent="0.25">
      <c r="A84" t="s">
        <v>309</v>
      </c>
      <c r="B84" t="s">
        <v>310</v>
      </c>
      <c r="C84" t="s">
        <v>311</v>
      </c>
      <c r="D84" t="s">
        <v>312</v>
      </c>
    </row>
    <row r="85" spans="1:4" x14ac:dyDescent="0.25">
      <c r="A85" t="s">
        <v>775</v>
      </c>
      <c r="B85" t="s">
        <v>313</v>
      </c>
      <c r="C85" t="s">
        <v>314</v>
      </c>
      <c r="D85" t="s">
        <v>315</v>
      </c>
    </row>
    <row r="86" spans="1:4" x14ac:dyDescent="0.25">
      <c r="A86" t="s">
        <v>776</v>
      </c>
      <c r="B86" t="s">
        <v>364</v>
      </c>
      <c r="C86" t="s">
        <v>379</v>
      </c>
      <c r="D86" t="s">
        <v>777</v>
      </c>
    </row>
    <row r="87" spans="1:4" x14ac:dyDescent="0.25">
      <c r="A87" t="s">
        <v>316</v>
      </c>
      <c r="B87" t="s">
        <v>317</v>
      </c>
      <c r="C87" t="s">
        <v>318</v>
      </c>
      <c r="D87" t="s">
        <v>319</v>
      </c>
    </row>
    <row r="88" spans="1:4" x14ac:dyDescent="0.25">
      <c r="A88" t="s">
        <v>320</v>
      </c>
      <c r="B88" t="s">
        <v>321</v>
      </c>
      <c r="C88" t="s">
        <v>322</v>
      </c>
      <c r="D88" t="s">
        <v>323</v>
      </c>
    </row>
    <row r="89" spans="1:4" x14ac:dyDescent="0.25">
      <c r="A89" t="s">
        <v>324</v>
      </c>
      <c r="B89" t="s">
        <v>779</v>
      </c>
      <c r="C89" t="s">
        <v>325</v>
      </c>
      <c r="D89" t="s">
        <v>844</v>
      </c>
    </row>
    <row r="90" spans="1:4" x14ac:dyDescent="0.25">
      <c r="A90" t="s">
        <v>778</v>
      </c>
      <c r="B90" t="s">
        <v>779</v>
      </c>
      <c r="C90" t="s">
        <v>780</v>
      </c>
      <c r="D90" t="s">
        <v>781</v>
      </c>
    </row>
    <row r="91" spans="1:4" x14ac:dyDescent="0.25">
      <c r="A91" t="s">
        <v>326</v>
      </c>
      <c r="B91" t="s">
        <v>327</v>
      </c>
      <c r="C91" t="s">
        <v>328</v>
      </c>
      <c r="D91" t="s">
        <v>329</v>
      </c>
    </row>
    <row r="92" spans="1:4" x14ac:dyDescent="0.25">
      <c r="A92" t="s">
        <v>850</v>
      </c>
      <c r="B92" t="s">
        <v>851</v>
      </c>
      <c r="D92" t="s">
        <v>852</v>
      </c>
    </row>
    <row r="93" spans="1:4" x14ac:dyDescent="0.25">
      <c r="A93" t="s">
        <v>871</v>
      </c>
      <c r="B93" t="s">
        <v>872</v>
      </c>
      <c r="D93" t="s">
        <v>873</v>
      </c>
    </row>
    <row r="94" spans="1:4" x14ac:dyDescent="0.25">
      <c r="A94" t="s">
        <v>330</v>
      </c>
      <c r="B94" t="s">
        <v>175</v>
      </c>
      <c r="C94" t="s">
        <v>331</v>
      </c>
      <c r="D94" t="s">
        <v>332</v>
      </c>
    </row>
    <row r="95" spans="1:4" x14ac:dyDescent="0.25">
      <c r="A95" t="s">
        <v>333</v>
      </c>
      <c r="B95" t="s">
        <v>334</v>
      </c>
      <c r="C95" t="s">
        <v>335</v>
      </c>
      <c r="D95" t="s">
        <v>336</v>
      </c>
    </row>
    <row r="96" spans="1:4" x14ac:dyDescent="0.25">
      <c r="A96" t="s">
        <v>782</v>
      </c>
      <c r="B96" t="s">
        <v>742</v>
      </c>
      <c r="D96" t="s">
        <v>783</v>
      </c>
    </row>
    <row r="97" spans="1:4" x14ac:dyDescent="0.25">
      <c r="A97" t="s">
        <v>337</v>
      </c>
      <c r="B97" t="s">
        <v>338</v>
      </c>
      <c r="C97" t="s">
        <v>339</v>
      </c>
      <c r="D97" t="s">
        <v>340</v>
      </c>
    </row>
    <row r="98" spans="1:4" x14ac:dyDescent="0.25">
      <c r="A98" t="s">
        <v>341</v>
      </c>
      <c r="B98" t="s">
        <v>342</v>
      </c>
      <c r="C98" t="s">
        <v>343</v>
      </c>
      <c r="D98" t="s">
        <v>344</v>
      </c>
    </row>
    <row r="99" spans="1:4" x14ac:dyDescent="0.25">
      <c r="A99" t="s">
        <v>345</v>
      </c>
      <c r="B99" t="s">
        <v>183</v>
      </c>
      <c r="C99" t="s">
        <v>346</v>
      </c>
      <c r="D99" t="s">
        <v>347</v>
      </c>
    </row>
    <row r="100" spans="1:4" x14ac:dyDescent="0.25">
      <c r="A100" t="s">
        <v>2110</v>
      </c>
      <c r="B100" s="43">
        <v>0.12</v>
      </c>
      <c r="D100" t="s">
        <v>2111</v>
      </c>
    </row>
    <row r="101" spans="1:4" x14ac:dyDescent="0.25">
      <c r="A101" t="s">
        <v>2112</v>
      </c>
      <c r="B101" t="s">
        <v>2114</v>
      </c>
      <c r="D101" t="s">
        <v>2113</v>
      </c>
    </row>
    <row r="102" spans="1:4" x14ac:dyDescent="0.25">
      <c r="A102" t="s">
        <v>348</v>
      </c>
      <c r="B102" t="s">
        <v>349</v>
      </c>
      <c r="C102" t="s">
        <v>350</v>
      </c>
      <c r="D102" t="s">
        <v>351</v>
      </c>
    </row>
    <row r="103" spans="1:4" x14ac:dyDescent="0.25">
      <c r="A103" t="s">
        <v>352</v>
      </c>
      <c r="B103" t="s">
        <v>353</v>
      </c>
      <c r="C103" t="s">
        <v>184</v>
      </c>
      <c r="D103" t="s">
        <v>354</v>
      </c>
    </row>
    <row r="104" spans="1:4" x14ac:dyDescent="0.25">
      <c r="A104" t="s">
        <v>355</v>
      </c>
      <c r="B104" t="s">
        <v>356</v>
      </c>
      <c r="C104" t="s">
        <v>208</v>
      </c>
      <c r="D104" t="s">
        <v>357</v>
      </c>
    </row>
    <row r="105" spans="1:4" x14ac:dyDescent="0.25">
      <c r="A105" t="s">
        <v>863</v>
      </c>
      <c r="B105" t="s">
        <v>235</v>
      </c>
      <c r="C105" t="s">
        <v>864</v>
      </c>
      <c r="D105" t="s">
        <v>865</v>
      </c>
    </row>
    <row r="106" spans="1:4" x14ac:dyDescent="0.25">
      <c r="A106" t="s">
        <v>784</v>
      </c>
      <c r="B106" t="s">
        <v>283</v>
      </c>
      <c r="D106" t="s">
        <v>359</v>
      </c>
    </row>
    <row r="107" spans="1:4" x14ac:dyDescent="0.25">
      <c r="A107" t="s">
        <v>360</v>
      </c>
      <c r="B107" t="s">
        <v>310</v>
      </c>
      <c r="C107" t="s">
        <v>361</v>
      </c>
      <c r="D107" t="s">
        <v>362</v>
      </c>
    </row>
    <row r="108" spans="1:4" x14ac:dyDescent="0.25">
      <c r="A108" t="s">
        <v>874</v>
      </c>
      <c r="B108" t="s">
        <v>235</v>
      </c>
      <c r="D108" t="s">
        <v>875</v>
      </c>
    </row>
    <row r="109" spans="1:4" x14ac:dyDescent="0.25">
      <c r="A109" t="s">
        <v>363</v>
      </c>
      <c r="B109" t="s">
        <v>364</v>
      </c>
      <c r="D109" t="s">
        <v>365</v>
      </c>
    </row>
    <row r="110" spans="1:4" x14ac:dyDescent="0.25">
      <c r="A110" t="s">
        <v>2115</v>
      </c>
      <c r="B110" t="s">
        <v>2116</v>
      </c>
      <c r="D110" t="s">
        <v>2117</v>
      </c>
    </row>
    <row r="111" spans="1:4" x14ac:dyDescent="0.25">
      <c r="A111" t="s">
        <v>366</v>
      </c>
      <c r="B111" t="s">
        <v>239</v>
      </c>
      <c r="D111" t="s">
        <v>367</v>
      </c>
    </row>
    <row r="112" spans="1:4" x14ac:dyDescent="0.25">
      <c r="A112" t="s">
        <v>2118</v>
      </c>
      <c r="B112" t="s">
        <v>394</v>
      </c>
      <c r="D112" t="s">
        <v>2119</v>
      </c>
    </row>
    <row r="113" spans="1:4" x14ac:dyDescent="0.25">
      <c r="A113" t="s">
        <v>2120</v>
      </c>
      <c r="B113" t="s">
        <v>394</v>
      </c>
      <c r="D113" t="s">
        <v>2121</v>
      </c>
    </row>
    <row r="114" spans="1:4" x14ac:dyDescent="0.25">
      <c r="A114" t="s">
        <v>2122</v>
      </c>
      <c r="B114" t="s">
        <v>2123</v>
      </c>
      <c r="D114" t="s">
        <v>2124</v>
      </c>
    </row>
    <row r="115" spans="1:4" x14ac:dyDescent="0.25">
      <c r="A115" t="s">
        <v>2125</v>
      </c>
      <c r="B115" t="s">
        <v>239</v>
      </c>
      <c r="D115" t="s">
        <v>2126</v>
      </c>
    </row>
    <row r="116" spans="1:4" x14ac:dyDescent="0.25">
      <c r="A116" t="s">
        <v>785</v>
      </c>
      <c r="B116" t="s">
        <v>310</v>
      </c>
      <c r="C116" t="s">
        <v>786</v>
      </c>
      <c r="D116" t="s">
        <v>787</v>
      </c>
    </row>
    <row r="117" spans="1:4" x14ac:dyDescent="0.25">
      <c r="A117" t="s">
        <v>368</v>
      </c>
      <c r="B117" t="s">
        <v>222</v>
      </c>
      <c r="C117" t="s">
        <v>369</v>
      </c>
      <c r="D117" t="s">
        <v>370</v>
      </c>
    </row>
    <row r="118" spans="1:4" x14ac:dyDescent="0.25">
      <c r="A118" t="s">
        <v>371</v>
      </c>
      <c r="B118" t="s">
        <v>235</v>
      </c>
      <c r="C118" t="s">
        <v>372</v>
      </c>
      <c r="D118" t="s">
        <v>373</v>
      </c>
    </row>
    <row r="119" spans="1:4" x14ac:dyDescent="0.25">
      <c r="A119" t="s">
        <v>374</v>
      </c>
      <c r="B119" t="s">
        <v>183</v>
      </c>
      <c r="C119" t="s">
        <v>375</v>
      </c>
      <c r="D119" t="s">
        <v>376</v>
      </c>
    </row>
    <row r="120" spans="1:4" x14ac:dyDescent="0.25">
      <c r="A120" t="s">
        <v>377</v>
      </c>
      <c r="B120" t="s">
        <v>378</v>
      </c>
      <c r="C120" t="s">
        <v>379</v>
      </c>
      <c r="D120" t="s">
        <v>380</v>
      </c>
    </row>
    <row r="121" spans="1:4" x14ac:dyDescent="0.25">
      <c r="A121" t="s">
        <v>381</v>
      </c>
      <c r="B121" t="s">
        <v>183</v>
      </c>
      <c r="C121" t="s">
        <v>382</v>
      </c>
      <c r="D121" t="s">
        <v>383</v>
      </c>
    </row>
    <row r="122" spans="1:4" x14ac:dyDescent="0.25">
      <c r="A122" t="s">
        <v>788</v>
      </c>
      <c r="B122" t="s">
        <v>789</v>
      </c>
      <c r="C122" t="s">
        <v>790</v>
      </c>
      <c r="D122" t="s">
        <v>791</v>
      </c>
    </row>
    <row r="123" spans="1:4" x14ac:dyDescent="0.25">
      <c r="A123" t="s">
        <v>853</v>
      </c>
      <c r="B123" t="s">
        <v>843</v>
      </c>
      <c r="C123" t="s">
        <v>854</v>
      </c>
      <c r="D123" t="s">
        <v>855</v>
      </c>
    </row>
    <row r="124" spans="1:4" x14ac:dyDescent="0.25">
      <c r="A124" t="s">
        <v>856</v>
      </c>
      <c r="B124" t="s">
        <v>271</v>
      </c>
      <c r="C124" t="s">
        <v>857</v>
      </c>
      <c r="D124" t="s">
        <v>858</v>
      </c>
    </row>
    <row r="125" spans="1:4" x14ac:dyDescent="0.25">
      <c r="A125" t="s">
        <v>384</v>
      </c>
      <c r="B125" t="s">
        <v>385</v>
      </c>
      <c r="C125" t="s">
        <v>386</v>
      </c>
      <c r="D125" t="s">
        <v>387</v>
      </c>
    </row>
    <row r="126" spans="1:4" x14ac:dyDescent="0.25">
      <c r="A126" t="s">
        <v>792</v>
      </c>
      <c r="B126" t="s">
        <v>793</v>
      </c>
      <c r="D126" t="s">
        <v>794</v>
      </c>
    </row>
    <row r="127" spans="1:4" x14ac:dyDescent="0.25">
      <c r="A127" t="s">
        <v>795</v>
      </c>
      <c r="B127" t="s">
        <v>388</v>
      </c>
      <c r="C127" t="s">
        <v>358</v>
      </c>
      <c r="D127" t="s">
        <v>389</v>
      </c>
    </row>
    <row r="128" spans="1:4" x14ac:dyDescent="0.25">
      <c r="A128" t="s">
        <v>390</v>
      </c>
      <c r="B128" t="s">
        <v>391</v>
      </c>
      <c r="C128" t="s">
        <v>274</v>
      </c>
      <c r="D128" t="s">
        <v>392</v>
      </c>
    </row>
    <row r="129" spans="1:4" x14ac:dyDescent="0.25">
      <c r="A129" t="s">
        <v>393</v>
      </c>
      <c r="B129" t="s">
        <v>394</v>
      </c>
      <c r="D129" t="s">
        <v>395</v>
      </c>
    </row>
    <row r="130" spans="1:4" x14ac:dyDescent="0.25">
      <c r="A130" t="s">
        <v>396</v>
      </c>
      <c r="B130" s="43">
        <v>0.14000000000000001</v>
      </c>
      <c r="C130" t="s">
        <v>397</v>
      </c>
      <c r="D130" t="s">
        <v>398</v>
      </c>
    </row>
    <row r="131" spans="1:4" x14ac:dyDescent="0.25">
      <c r="A131" t="s">
        <v>399</v>
      </c>
      <c r="B131" t="s">
        <v>400</v>
      </c>
      <c r="C131" t="s">
        <v>401</v>
      </c>
      <c r="D131" t="s">
        <v>402</v>
      </c>
    </row>
    <row r="132" spans="1:4" x14ac:dyDescent="0.25">
      <c r="A132" t="s">
        <v>831</v>
      </c>
      <c r="B132" t="s">
        <v>821</v>
      </c>
      <c r="C132" t="s">
        <v>274</v>
      </c>
      <c r="D132" t="s">
        <v>832</v>
      </c>
    </row>
    <row r="133" spans="1:4" x14ac:dyDescent="0.25">
      <c r="A133" t="s">
        <v>403</v>
      </c>
      <c r="B133" t="s">
        <v>246</v>
      </c>
      <c r="C133" t="s">
        <v>404</v>
      </c>
      <c r="D133" t="s">
        <v>405</v>
      </c>
    </row>
    <row r="134" spans="1:4" x14ac:dyDescent="0.25">
      <c r="A134" t="s">
        <v>406</v>
      </c>
      <c r="B134" t="s">
        <v>407</v>
      </c>
      <c r="C134" t="s">
        <v>408</v>
      </c>
      <c r="D134" t="s">
        <v>409</v>
      </c>
    </row>
    <row r="135" spans="1:4" x14ac:dyDescent="0.25">
      <c r="A135" t="s">
        <v>796</v>
      </c>
      <c r="B135" t="s">
        <v>410</v>
      </c>
      <c r="C135" t="s">
        <v>210</v>
      </c>
      <c r="D135" t="s">
        <v>411</v>
      </c>
    </row>
    <row r="136" spans="1:4" x14ac:dyDescent="0.25">
      <c r="A136" t="s">
        <v>797</v>
      </c>
      <c r="B136" t="s">
        <v>798</v>
      </c>
      <c r="D136" t="s">
        <v>799</v>
      </c>
    </row>
    <row r="137" spans="1:4" x14ac:dyDescent="0.25">
      <c r="A137" t="s">
        <v>412</v>
      </c>
      <c r="B137" t="s">
        <v>164</v>
      </c>
      <c r="C137" t="s">
        <v>413</v>
      </c>
      <c r="D137" t="s">
        <v>414</v>
      </c>
    </row>
    <row r="138" spans="1:4" x14ac:dyDescent="0.25">
      <c r="A138" t="s">
        <v>415</v>
      </c>
      <c r="B138" t="s">
        <v>416</v>
      </c>
      <c r="C138" t="s">
        <v>417</v>
      </c>
      <c r="D138" t="s">
        <v>418</v>
      </c>
    </row>
    <row r="139" spans="1:4" x14ac:dyDescent="0.25">
      <c r="A139" t="s">
        <v>419</v>
      </c>
      <c r="B139" t="s">
        <v>420</v>
      </c>
      <c r="C139" t="s">
        <v>421</v>
      </c>
      <c r="D139" t="s">
        <v>422</v>
      </c>
    </row>
    <row r="140" spans="1:4" x14ac:dyDescent="0.25">
      <c r="A140" t="s">
        <v>800</v>
      </c>
      <c r="B140" t="s">
        <v>168</v>
      </c>
      <c r="D140" t="s">
        <v>801</v>
      </c>
    </row>
    <row r="141" spans="1:4" x14ac:dyDescent="0.25">
      <c r="A141" t="s">
        <v>802</v>
      </c>
      <c r="B141" s="44">
        <v>3.4000000000000002E-2</v>
      </c>
      <c r="C141" t="s">
        <v>379</v>
      </c>
      <c r="D141" t="s">
        <v>803</v>
      </c>
    </row>
    <row r="142" spans="1:4" x14ac:dyDescent="0.25">
      <c r="A142" t="s">
        <v>804</v>
      </c>
      <c r="B142" t="s">
        <v>805</v>
      </c>
      <c r="D142" t="s">
        <v>806</v>
      </c>
    </row>
    <row r="143" spans="1:4" x14ac:dyDescent="0.25">
      <c r="A143" t="s">
        <v>807</v>
      </c>
      <c r="B143" t="s">
        <v>145</v>
      </c>
      <c r="C143" t="s">
        <v>808</v>
      </c>
      <c r="D143" t="s">
        <v>809</v>
      </c>
    </row>
    <row r="144" spans="1:4" x14ac:dyDescent="0.25">
      <c r="A144" t="s">
        <v>810</v>
      </c>
      <c r="B144" t="s">
        <v>410</v>
      </c>
      <c r="C144" t="s">
        <v>300</v>
      </c>
      <c r="D144" t="s">
        <v>359</v>
      </c>
    </row>
    <row r="145" spans="1:4" x14ac:dyDescent="0.25">
      <c r="A145" s="20" t="s">
        <v>1534</v>
      </c>
      <c r="B145" t="s">
        <v>164</v>
      </c>
      <c r="C145" t="s">
        <v>845</v>
      </c>
      <c r="D145" t="s">
        <v>846</v>
      </c>
    </row>
    <row r="146" spans="1:4" x14ac:dyDescent="0.25">
      <c r="A146" t="s">
        <v>423</v>
      </c>
      <c r="B146" t="s">
        <v>424</v>
      </c>
      <c r="C146" t="s">
        <v>425</v>
      </c>
      <c r="D146" t="s">
        <v>426</v>
      </c>
    </row>
    <row r="147" spans="1:4" x14ac:dyDescent="0.25">
      <c r="A147" t="s">
        <v>427</v>
      </c>
      <c r="B147" t="s">
        <v>317</v>
      </c>
      <c r="D147" t="s">
        <v>428</v>
      </c>
    </row>
    <row r="148" spans="1:4" x14ac:dyDescent="0.25">
      <c r="A148" t="s">
        <v>161</v>
      </c>
      <c r="B148" t="s">
        <v>285</v>
      </c>
      <c r="C148" t="s">
        <v>210</v>
      </c>
      <c r="D148" t="s">
        <v>429</v>
      </c>
    </row>
  </sheetData>
  <sheetProtection sheet="1" objects="1" scenarios="1"/>
  <sortState xmlns:xlrd2="http://schemas.microsoft.com/office/spreadsheetml/2017/richdata2" ref="A2:D1218">
    <sortCondition ref="A2:A1218"/>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311"/>
  <sheetViews>
    <sheetView workbookViewId="0">
      <pane ySplit="1" topLeftCell="A72" activePane="bottomLeft" state="frozen"/>
      <selection pane="bottomLeft" activeCell="F96" sqref="F96"/>
    </sheetView>
  </sheetViews>
  <sheetFormatPr defaultRowHeight="13.2" x14ac:dyDescent="0.25"/>
  <cols>
    <col min="1" max="1" width="40.109375" bestFit="1" customWidth="1"/>
    <col min="2" max="2" width="7.44140625" bestFit="1" customWidth="1"/>
    <col min="3" max="3" width="17" bestFit="1" customWidth="1"/>
    <col min="4" max="4" width="9.109375" bestFit="1" customWidth="1"/>
    <col min="5" max="5" width="11.109375" customWidth="1"/>
    <col min="6" max="6" width="11.77734375" bestFit="1" customWidth="1"/>
    <col min="7" max="7" width="7.21875" style="4" customWidth="1"/>
    <col min="8" max="8" width="7.88671875" style="4" customWidth="1"/>
    <col min="9" max="9" width="136.21875" bestFit="1" customWidth="1"/>
  </cols>
  <sheetData>
    <row r="1" spans="1:9" ht="34.200000000000003" customHeight="1" x14ac:dyDescent="0.25">
      <c r="A1" s="42" t="s">
        <v>1115</v>
      </c>
      <c r="B1" s="42" t="s">
        <v>66</v>
      </c>
      <c r="C1" s="42" t="s">
        <v>430</v>
      </c>
      <c r="D1" s="42" t="s">
        <v>431</v>
      </c>
      <c r="E1" s="42" t="s">
        <v>1116</v>
      </c>
      <c r="F1" s="42" t="s">
        <v>1142</v>
      </c>
      <c r="G1" s="79" t="s">
        <v>1260</v>
      </c>
      <c r="H1" s="79" t="s">
        <v>1261</v>
      </c>
      <c r="I1" s="42" t="s">
        <v>67</v>
      </c>
    </row>
    <row r="2" spans="1:9" x14ac:dyDescent="0.25">
      <c r="A2" s="20" t="s">
        <v>1625</v>
      </c>
      <c r="B2" s="20" t="s">
        <v>432</v>
      </c>
      <c r="C2" s="20" t="s">
        <v>1626</v>
      </c>
      <c r="D2" s="20" t="s">
        <v>441</v>
      </c>
      <c r="E2" s="20" t="s">
        <v>1627</v>
      </c>
      <c r="F2" s="113">
        <v>0.74</v>
      </c>
      <c r="G2" s="4">
        <v>62</v>
      </c>
      <c r="H2" s="80">
        <v>70</v>
      </c>
      <c r="I2" s="20" t="s">
        <v>1628</v>
      </c>
    </row>
    <row r="3" spans="1:9" x14ac:dyDescent="0.25">
      <c r="A3" s="20" t="s">
        <v>1629</v>
      </c>
      <c r="B3" s="20" t="s">
        <v>432</v>
      </c>
      <c r="C3" s="20" t="s">
        <v>1626</v>
      </c>
      <c r="D3" s="20" t="s">
        <v>434</v>
      </c>
      <c r="E3" s="20" t="s">
        <v>1630</v>
      </c>
      <c r="F3" s="113">
        <v>0.73499999999999999</v>
      </c>
      <c r="G3" s="4">
        <v>62</v>
      </c>
      <c r="H3" s="80">
        <v>70</v>
      </c>
      <c r="I3" s="20" t="s">
        <v>1631</v>
      </c>
    </row>
    <row r="4" spans="1:9" x14ac:dyDescent="0.25">
      <c r="A4" s="20" t="s">
        <v>1632</v>
      </c>
      <c r="B4" s="20" t="s">
        <v>432</v>
      </c>
      <c r="C4" s="20" t="s">
        <v>1626</v>
      </c>
      <c r="D4" t="s">
        <v>448</v>
      </c>
      <c r="E4" s="20" t="s">
        <v>1199</v>
      </c>
      <c r="F4" s="113">
        <v>0.75</v>
      </c>
      <c r="G4" s="4">
        <v>60</v>
      </c>
      <c r="H4" s="80">
        <v>72</v>
      </c>
      <c r="I4" s="20" t="s">
        <v>1633</v>
      </c>
    </row>
    <row r="5" spans="1:9" x14ac:dyDescent="0.25">
      <c r="A5" s="20" t="s">
        <v>1634</v>
      </c>
      <c r="B5" s="20" t="s">
        <v>432</v>
      </c>
      <c r="C5" s="20" t="s">
        <v>1626</v>
      </c>
      <c r="D5" s="20" t="s">
        <v>555</v>
      </c>
      <c r="E5" s="20" t="s">
        <v>1635</v>
      </c>
      <c r="F5" s="113">
        <v>0.71499999999999997</v>
      </c>
      <c r="G5" s="4">
        <v>64</v>
      </c>
      <c r="H5" s="80">
        <v>70</v>
      </c>
      <c r="I5" s="20" t="s">
        <v>1636</v>
      </c>
    </row>
    <row r="6" spans="1:9" x14ac:dyDescent="0.25">
      <c r="A6" s="20" t="s">
        <v>1637</v>
      </c>
      <c r="B6" s="20" t="s">
        <v>432</v>
      </c>
      <c r="C6" s="20" t="s">
        <v>1626</v>
      </c>
      <c r="D6" s="20" t="s">
        <v>434</v>
      </c>
      <c r="E6" s="20" t="s">
        <v>574</v>
      </c>
      <c r="F6" s="113">
        <v>0.73</v>
      </c>
      <c r="G6" s="4">
        <v>62</v>
      </c>
      <c r="H6" s="80">
        <v>72</v>
      </c>
      <c r="I6" s="20" t="s">
        <v>1638</v>
      </c>
    </row>
    <row r="7" spans="1:9" x14ac:dyDescent="0.25">
      <c r="A7" s="20" t="s">
        <v>1639</v>
      </c>
      <c r="B7" s="20" t="s">
        <v>432</v>
      </c>
      <c r="C7" s="20" t="s">
        <v>1626</v>
      </c>
      <c r="D7" s="20" t="s">
        <v>434</v>
      </c>
      <c r="E7" s="20" t="s">
        <v>454</v>
      </c>
      <c r="F7" s="113">
        <v>0.74</v>
      </c>
      <c r="G7" s="4">
        <v>60</v>
      </c>
      <c r="H7" s="80">
        <v>72</v>
      </c>
      <c r="I7" s="20" t="s">
        <v>1640</v>
      </c>
    </row>
    <row r="8" spans="1:9" x14ac:dyDescent="0.25">
      <c r="A8" s="20" t="s">
        <v>1641</v>
      </c>
      <c r="B8" s="20" t="s">
        <v>432</v>
      </c>
      <c r="C8" s="20" t="s">
        <v>1626</v>
      </c>
      <c r="D8" s="20" t="s">
        <v>437</v>
      </c>
      <c r="E8" s="20" t="s">
        <v>449</v>
      </c>
      <c r="F8" s="113">
        <v>0.75</v>
      </c>
      <c r="G8" s="4">
        <v>60</v>
      </c>
      <c r="H8" s="80">
        <v>70</v>
      </c>
      <c r="I8" s="20" t="s">
        <v>1642</v>
      </c>
    </row>
    <row r="9" spans="1:9" x14ac:dyDescent="0.25">
      <c r="A9" s="20" t="s">
        <v>1643</v>
      </c>
      <c r="B9" s="20" t="s">
        <v>432</v>
      </c>
      <c r="C9" s="20" t="s">
        <v>1626</v>
      </c>
      <c r="D9" s="20" t="s">
        <v>443</v>
      </c>
      <c r="E9" s="20" t="s">
        <v>460</v>
      </c>
      <c r="F9" s="113">
        <v>0.76</v>
      </c>
      <c r="G9" s="4">
        <v>67</v>
      </c>
      <c r="H9" s="80">
        <v>80</v>
      </c>
      <c r="I9" s="20" t="s">
        <v>1644</v>
      </c>
    </row>
    <row r="10" spans="1:9" x14ac:dyDescent="0.25">
      <c r="A10" s="20" t="s">
        <v>1645</v>
      </c>
      <c r="B10" s="20" t="s">
        <v>432</v>
      </c>
      <c r="C10" s="20" t="s">
        <v>1626</v>
      </c>
      <c r="D10" s="20" t="s">
        <v>434</v>
      </c>
      <c r="E10" s="20" t="s">
        <v>460</v>
      </c>
      <c r="F10" s="113">
        <v>0.76</v>
      </c>
      <c r="G10" s="4">
        <v>64</v>
      </c>
      <c r="H10" s="80">
        <v>74</v>
      </c>
      <c r="I10" s="20" t="s">
        <v>1646</v>
      </c>
    </row>
    <row r="11" spans="1:9" x14ac:dyDescent="0.25">
      <c r="A11" s="20" t="s">
        <v>1647</v>
      </c>
      <c r="B11" s="20" t="s">
        <v>432</v>
      </c>
      <c r="C11" s="20" t="s">
        <v>1626</v>
      </c>
      <c r="D11" s="20" t="s">
        <v>434</v>
      </c>
      <c r="E11" s="20" t="s">
        <v>444</v>
      </c>
      <c r="F11" s="113">
        <v>0.72499999999999998</v>
      </c>
      <c r="G11" s="4">
        <v>65</v>
      </c>
      <c r="H11" s="80">
        <v>70</v>
      </c>
      <c r="I11" s="20" t="s">
        <v>1648</v>
      </c>
    </row>
    <row r="12" spans="1:9" x14ac:dyDescent="0.25">
      <c r="A12" s="20" t="s">
        <v>1649</v>
      </c>
      <c r="B12" s="20" t="s">
        <v>432</v>
      </c>
      <c r="C12" s="20" t="s">
        <v>1626</v>
      </c>
      <c r="D12" s="20" t="s">
        <v>434</v>
      </c>
      <c r="E12" s="20" t="s">
        <v>1650</v>
      </c>
      <c r="F12" s="113">
        <v>0.74</v>
      </c>
      <c r="G12" s="4">
        <v>64</v>
      </c>
      <c r="H12" s="80">
        <v>74</v>
      </c>
      <c r="I12" s="20" t="s">
        <v>1651</v>
      </c>
    </row>
    <row r="13" spans="1:9" x14ac:dyDescent="0.25">
      <c r="A13" t="s">
        <v>945</v>
      </c>
      <c r="B13" t="s">
        <v>507</v>
      </c>
      <c r="C13" t="s">
        <v>883</v>
      </c>
      <c r="D13" t="s">
        <v>443</v>
      </c>
      <c r="E13" t="s">
        <v>441</v>
      </c>
      <c r="F13" s="53"/>
      <c r="G13" s="41">
        <v>63</v>
      </c>
      <c r="H13" s="80">
        <v>77</v>
      </c>
      <c r="I13" t="s">
        <v>946</v>
      </c>
    </row>
    <row r="14" spans="1:9" x14ac:dyDescent="0.25">
      <c r="A14" t="s">
        <v>436</v>
      </c>
      <c r="B14" t="s">
        <v>432</v>
      </c>
      <c r="C14" t="s">
        <v>433</v>
      </c>
      <c r="D14" t="s">
        <v>437</v>
      </c>
      <c r="E14" t="s">
        <v>435</v>
      </c>
      <c r="F14" s="53">
        <v>0.77500000000000002</v>
      </c>
      <c r="G14" s="4">
        <v>66</v>
      </c>
      <c r="H14" s="80">
        <v>72</v>
      </c>
      <c r="I14" t="s">
        <v>438</v>
      </c>
    </row>
    <row r="15" spans="1:9" x14ac:dyDescent="0.25">
      <c r="A15" t="s">
        <v>947</v>
      </c>
      <c r="B15" t="s">
        <v>432</v>
      </c>
      <c r="C15" t="s">
        <v>433</v>
      </c>
      <c r="D15" t="s">
        <v>434</v>
      </c>
      <c r="E15" t="s">
        <v>434</v>
      </c>
      <c r="F15" s="53">
        <v>0.78</v>
      </c>
      <c r="G15" s="4">
        <v>66</v>
      </c>
      <c r="H15" s="80">
        <v>72</v>
      </c>
      <c r="I15" t="s">
        <v>948</v>
      </c>
    </row>
    <row r="16" spans="1:9" x14ac:dyDescent="0.25">
      <c r="A16" s="20" t="s">
        <v>2080</v>
      </c>
      <c r="B16" t="s">
        <v>432</v>
      </c>
      <c r="C16" t="s">
        <v>2024</v>
      </c>
      <c r="D16" t="s">
        <v>443</v>
      </c>
      <c r="E16" s="20" t="s">
        <v>2043</v>
      </c>
      <c r="F16" s="113">
        <v>0.92500000000000004</v>
      </c>
      <c r="G16" s="4">
        <v>68</v>
      </c>
      <c r="H16" s="80">
        <v>85</v>
      </c>
      <c r="I16" s="20" t="s">
        <v>2081</v>
      </c>
    </row>
    <row r="17" spans="1:9" x14ac:dyDescent="0.25">
      <c r="A17" t="s">
        <v>439</v>
      </c>
      <c r="B17" t="s">
        <v>432</v>
      </c>
      <c r="C17" t="s">
        <v>440</v>
      </c>
      <c r="D17" t="s">
        <v>434</v>
      </c>
      <c r="E17" t="s">
        <v>441</v>
      </c>
      <c r="F17" s="53"/>
      <c r="G17" s="4">
        <v>59</v>
      </c>
      <c r="H17" s="80">
        <v>68</v>
      </c>
      <c r="I17" t="s">
        <v>1105</v>
      </c>
    </row>
    <row r="18" spans="1:9" x14ac:dyDescent="0.25">
      <c r="A18" t="s">
        <v>442</v>
      </c>
      <c r="B18" t="s">
        <v>432</v>
      </c>
      <c r="C18" t="s">
        <v>433</v>
      </c>
      <c r="D18" t="s">
        <v>443</v>
      </c>
      <c r="E18" t="s">
        <v>444</v>
      </c>
      <c r="F18" s="53">
        <v>0.72499999999999998</v>
      </c>
      <c r="G18" s="4">
        <v>65</v>
      </c>
      <c r="H18" s="80">
        <v>69</v>
      </c>
      <c r="I18" t="s">
        <v>445</v>
      </c>
    </row>
    <row r="19" spans="1:9" x14ac:dyDescent="0.25">
      <c r="A19" t="s">
        <v>446</v>
      </c>
      <c r="B19" t="s">
        <v>432</v>
      </c>
      <c r="C19" t="s">
        <v>447</v>
      </c>
      <c r="D19" t="s">
        <v>448</v>
      </c>
      <c r="E19" t="s">
        <v>449</v>
      </c>
      <c r="F19" s="53">
        <v>0.75</v>
      </c>
      <c r="G19" s="4">
        <v>60</v>
      </c>
      <c r="H19" s="80">
        <v>72</v>
      </c>
      <c r="I19" t="s">
        <v>450</v>
      </c>
    </row>
    <row r="20" spans="1:9" x14ac:dyDescent="0.25">
      <c r="A20" t="s">
        <v>451</v>
      </c>
      <c r="B20" t="s">
        <v>432</v>
      </c>
      <c r="C20" t="s">
        <v>440</v>
      </c>
      <c r="D20" t="s">
        <v>434</v>
      </c>
      <c r="E20" t="s">
        <v>441</v>
      </c>
      <c r="F20" s="53"/>
      <c r="G20" s="4">
        <v>64</v>
      </c>
      <c r="H20" s="80">
        <v>72</v>
      </c>
      <c r="I20" t="s">
        <v>881</v>
      </c>
    </row>
    <row r="21" spans="1:9" x14ac:dyDescent="0.25">
      <c r="A21" t="s">
        <v>453</v>
      </c>
      <c r="B21" t="s">
        <v>432</v>
      </c>
      <c r="C21" t="s">
        <v>447</v>
      </c>
      <c r="D21" t="s">
        <v>434</v>
      </c>
      <c r="E21" t="s">
        <v>454</v>
      </c>
      <c r="F21" s="53">
        <v>0.74</v>
      </c>
      <c r="G21" s="4">
        <v>60</v>
      </c>
      <c r="H21" s="80">
        <v>72</v>
      </c>
      <c r="I21" t="s">
        <v>455</v>
      </c>
    </row>
    <row r="22" spans="1:9" x14ac:dyDescent="0.25">
      <c r="A22" t="s">
        <v>456</v>
      </c>
      <c r="B22" t="s">
        <v>432</v>
      </c>
      <c r="C22" t="s">
        <v>433</v>
      </c>
      <c r="D22" t="s">
        <v>434</v>
      </c>
      <c r="E22" t="s">
        <v>457</v>
      </c>
      <c r="F22" s="53">
        <v>0.75</v>
      </c>
      <c r="G22" s="4">
        <v>68</v>
      </c>
      <c r="H22" s="80">
        <v>72</v>
      </c>
      <c r="I22" t="s">
        <v>458</v>
      </c>
    </row>
    <row r="23" spans="1:9" x14ac:dyDescent="0.25">
      <c r="A23" t="s">
        <v>949</v>
      </c>
      <c r="B23" t="s">
        <v>432</v>
      </c>
      <c r="C23" t="s">
        <v>433</v>
      </c>
      <c r="D23" t="s">
        <v>434</v>
      </c>
      <c r="E23" t="s">
        <v>434</v>
      </c>
      <c r="F23" s="53">
        <v>0.78500000000000003</v>
      </c>
      <c r="G23" s="4">
        <v>68</v>
      </c>
      <c r="H23" s="80">
        <v>72</v>
      </c>
      <c r="I23" t="s">
        <v>950</v>
      </c>
    </row>
    <row r="24" spans="1:9" x14ac:dyDescent="0.25">
      <c r="A24" t="s">
        <v>2183</v>
      </c>
      <c r="B24" t="s">
        <v>432</v>
      </c>
      <c r="C24" t="s">
        <v>433</v>
      </c>
      <c r="D24" t="s">
        <v>443</v>
      </c>
      <c r="E24" t="s">
        <v>2184</v>
      </c>
      <c r="F24" s="53">
        <v>0.72499999999999998</v>
      </c>
      <c r="G24" s="548">
        <v>65</v>
      </c>
      <c r="H24" s="80">
        <v>69</v>
      </c>
      <c r="I24" t="s">
        <v>2185</v>
      </c>
    </row>
    <row r="25" spans="1:9" x14ac:dyDescent="0.25">
      <c r="A25" t="s">
        <v>914</v>
      </c>
      <c r="B25" t="s">
        <v>432</v>
      </c>
      <c r="C25" t="s">
        <v>440</v>
      </c>
      <c r="D25" t="s">
        <v>441</v>
      </c>
      <c r="E25" t="s">
        <v>434</v>
      </c>
      <c r="F25" s="53"/>
      <c r="G25" s="4">
        <v>68</v>
      </c>
      <c r="H25" s="80">
        <v>72</v>
      </c>
      <c r="I25" t="s">
        <v>915</v>
      </c>
    </row>
    <row r="26" spans="1:9" x14ac:dyDescent="0.25">
      <c r="A26" t="s">
        <v>916</v>
      </c>
      <c r="B26" t="s">
        <v>432</v>
      </c>
      <c r="C26" t="s">
        <v>447</v>
      </c>
      <c r="D26" t="s">
        <v>434</v>
      </c>
      <c r="E26" t="s">
        <v>435</v>
      </c>
      <c r="F26" s="53">
        <v>0.77500000000000002</v>
      </c>
      <c r="G26" s="4">
        <v>48</v>
      </c>
      <c r="H26" s="80">
        <v>58</v>
      </c>
      <c r="I26" t="s">
        <v>917</v>
      </c>
    </row>
    <row r="27" spans="1:9" x14ac:dyDescent="0.25">
      <c r="A27" t="s">
        <v>918</v>
      </c>
      <c r="B27" t="s">
        <v>432</v>
      </c>
      <c r="C27" t="s">
        <v>433</v>
      </c>
      <c r="D27" t="s">
        <v>434</v>
      </c>
      <c r="E27" t="s">
        <v>435</v>
      </c>
      <c r="F27" s="53">
        <v>0.77500000000000002</v>
      </c>
      <c r="G27" s="4">
        <v>50</v>
      </c>
      <c r="H27" s="80">
        <v>55</v>
      </c>
      <c r="I27" t="s">
        <v>919</v>
      </c>
    </row>
    <row r="28" spans="1:9" x14ac:dyDescent="0.25">
      <c r="A28" t="s">
        <v>882</v>
      </c>
      <c r="B28" t="s">
        <v>507</v>
      </c>
      <c r="C28" t="s">
        <v>883</v>
      </c>
      <c r="D28" t="s">
        <v>434</v>
      </c>
      <c r="E28" t="s">
        <v>434</v>
      </c>
      <c r="F28" s="53"/>
      <c r="G28" s="4">
        <v>59</v>
      </c>
      <c r="H28" s="80">
        <v>72</v>
      </c>
      <c r="I28" t="s">
        <v>452</v>
      </c>
    </row>
    <row r="29" spans="1:9" x14ac:dyDescent="0.25">
      <c r="A29" t="s">
        <v>459</v>
      </c>
      <c r="B29" t="s">
        <v>432</v>
      </c>
      <c r="C29" t="s">
        <v>447</v>
      </c>
      <c r="D29" t="s">
        <v>443</v>
      </c>
      <c r="E29" t="s">
        <v>460</v>
      </c>
      <c r="F29" s="53">
        <v>0.76</v>
      </c>
      <c r="G29" s="4">
        <v>58</v>
      </c>
      <c r="H29" s="80">
        <v>74</v>
      </c>
      <c r="I29" t="s">
        <v>461</v>
      </c>
    </row>
    <row r="30" spans="1:9" x14ac:dyDescent="0.25">
      <c r="A30" t="s">
        <v>1058</v>
      </c>
      <c r="B30" t="s">
        <v>432</v>
      </c>
      <c r="C30" t="s">
        <v>433</v>
      </c>
      <c r="D30" t="s">
        <v>434</v>
      </c>
      <c r="E30" t="s">
        <v>1059</v>
      </c>
      <c r="F30" s="53">
        <v>0.79</v>
      </c>
      <c r="G30" s="4">
        <v>75</v>
      </c>
      <c r="H30" s="80">
        <v>82</v>
      </c>
      <c r="I30" t="s">
        <v>1060</v>
      </c>
    </row>
    <row r="31" spans="1:9" x14ac:dyDescent="0.25">
      <c r="A31" t="s">
        <v>951</v>
      </c>
      <c r="B31" t="s">
        <v>432</v>
      </c>
      <c r="C31" t="s">
        <v>433</v>
      </c>
      <c r="D31" t="s">
        <v>434</v>
      </c>
      <c r="E31" t="s">
        <v>434</v>
      </c>
      <c r="F31" s="53">
        <v>0.76500000000000001</v>
      </c>
      <c r="G31" s="4">
        <v>67</v>
      </c>
      <c r="H31" s="80">
        <v>70</v>
      </c>
      <c r="I31" t="s">
        <v>952</v>
      </c>
    </row>
    <row r="32" spans="1:9" x14ac:dyDescent="0.25">
      <c r="A32" t="s">
        <v>2240</v>
      </c>
      <c r="B32" t="s">
        <v>432</v>
      </c>
      <c r="C32" t="s">
        <v>433</v>
      </c>
      <c r="D32" t="s">
        <v>448</v>
      </c>
      <c r="E32" t="s">
        <v>1234</v>
      </c>
      <c r="F32" s="53">
        <v>0.77500000000000002</v>
      </c>
      <c r="G32" s="548">
        <v>70</v>
      </c>
      <c r="H32" s="80">
        <v>82</v>
      </c>
      <c r="I32" t="s">
        <v>2174</v>
      </c>
    </row>
    <row r="33" spans="1:9" x14ac:dyDescent="0.25">
      <c r="A33" t="s">
        <v>462</v>
      </c>
      <c r="B33" t="s">
        <v>432</v>
      </c>
      <c r="C33" t="s">
        <v>433</v>
      </c>
      <c r="D33" t="s">
        <v>441</v>
      </c>
      <c r="E33" t="s">
        <v>444</v>
      </c>
      <c r="F33" s="53">
        <v>0.72499999999999998</v>
      </c>
      <c r="G33" s="4">
        <v>65</v>
      </c>
      <c r="H33" s="80">
        <v>70</v>
      </c>
      <c r="I33" t="s">
        <v>463</v>
      </c>
    </row>
    <row r="34" spans="1:9" x14ac:dyDescent="0.25">
      <c r="A34" s="20" t="s">
        <v>1658</v>
      </c>
      <c r="B34" s="20" t="s">
        <v>432</v>
      </c>
      <c r="C34" s="20" t="s">
        <v>1626</v>
      </c>
      <c r="D34" s="20" t="s">
        <v>448</v>
      </c>
      <c r="E34" s="20" t="s">
        <v>1650</v>
      </c>
      <c r="F34" s="113">
        <v>0.74</v>
      </c>
      <c r="G34" s="4">
        <v>62</v>
      </c>
      <c r="H34" s="80">
        <v>72</v>
      </c>
      <c r="I34" s="20" t="s">
        <v>1659</v>
      </c>
    </row>
    <row r="35" spans="1:9" x14ac:dyDescent="0.25">
      <c r="A35" s="20" t="s">
        <v>1660</v>
      </c>
      <c r="B35" s="20" t="s">
        <v>432</v>
      </c>
      <c r="C35" s="20" t="s">
        <v>1626</v>
      </c>
      <c r="D35" s="20" t="s">
        <v>437</v>
      </c>
      <c r="E35" s="20" t="s">
        <v>1650</v>
      </c>
      <c r="F35" s="113">
        <v>0.74</v>
      </c>
      <c r="G35" s="4">
        <v>65</v>
      </c>
      <c r="H35" s="80">
        <v>75</v>
      </c>
      <c r="I35" s="20" t="s">
        <v>1661</v>
      </c>
    </row>
    <row r="36" spans="1:9" x14ac:dyDescent="0.25">
      <c r="A36" s="20" t="s">
        <v>1662</v>
      </c>
      <c r="B36" s="20" t="s">
        <v>432</v>
      </c>
      <c r="C36" s="20" t="s">
        <v>1626</v>
      </c>
      <c r="D36" s="20" t="s">
        <v>434</v>
      </c>
      <c r="E36" s="20" t="s">
        <v>1214</v>
      </c>
      <c r="F36" s="113">
        <v>0.76</v>
      </c>
      <c r="G36" s="4">
        <v>65</v>
      </c>
      <c r="H36" s="80">
        <v>77</v>
      </c>
      <c r="I36" s="20" t="s">
        <v>1663</v>
      </c>
    </row>
    <row r="37" spans="1:9" x14ac:dyDescent="0.25">
      <c r="A37" s="20" t="s">
        <v>1664</v>
      </c>
      <c r="B37" s="20" t="s">
        <v>432</v>
      </c>
      <c r="C37" s="20" t="s">
        <v>1626</v>
      </c>
      <c r="D37" s="20" t="s">
        <v>434</v>
      </c>
      <c r="E37" s="20" t="s">
        <v>1665</v>
      </c>
      <c r="F37" s="113">
        <v>0.745</v>
      </c>
      <c r="G37" s="4">
        <v>65</v>
      </c>
      <c r="H37" s="80">
        <v>75</v>
      </c>
      <c r="I37" s="20" t="s">
        <v>1666</v>
      </c>
    </row>
    <row r="38" spans="1:9" x14ac:dyDescent="0.25">
      <c r="A38" s="20" t="s">
        <v>1667</v>
      </c>
      <c r="B38" s="20" t="s">
        <v>432</v>
      </c>
      <c r="C38" s="20" t="s">
        <v>1626</v>
      </c>
      <c r="D38" s="20" t="s">
        <v>434</v>
      </c>
      <c r="E38" s="20" t="s">
        <v>1650</v>
      </c>
      <c r="F38" s="113">
        <v>0.74</v>
      </c>
      <c r="G38" s="4">
        <v>68</v>
      </c>
      <c r="H38" s="80">
        <v>80</v>
      </c>
      <c r="I38" s="20" t="s">
        <v>1668</v>
      </c>
    </row>
    <row r="39" spans="1:9" x14ac:dyDescent="0.25">
      <c r="A39" s="20" t="s">
        <v>1669</v>
      </c>
      <c r="B39" s="20" t="s">
        <v>432</v>
      </c>
      <c r="C39" s="20" t="s">
        <v>1626</v>
      </c>
      <c r="D39" s="20" t="s">
        <v>434</v>
      </c>
      <c r="E39" s="20" t="s">
        <v>1214</v>
      </c>
      <c r="F39" s="113">
        <v>0.76</v>
      </c>
      <c r="G39" s="4">
        <v>68</v>
      </c>
      <c r="H39" s="80">
        <v>78</v>
      </c>
      <c r="I39" s="20" t="s">
        <v>1670</v>
      </c>
    </row>
    <row r="40" spans="1:9" x14ac:dyDescent="0.25">
      <c r="A40" s="20" t="s">
        <v>1671</v>
      </c>
      <c r="B40" s="20" t="s">
        <v>432</v>
      </c>
      <c r="C40" s="20" t="s">
        <v>1626</v>
      </c>
      <c r="D40" s="20" t="s">
        <v>443</v>
      </c>
      <c r="E40" s="20" t="s">
        <v>1216</v>
      </c>
      <c r="F40" s="113">
        <v>0.8</v>
      </c>
      <c r="G40" s="4">
        <v>65</v>
      </c>
      <c r="H40" s="80">
        <v>78</v>
      </c>
      <c r="I40" s="20" t="s">
        <v>1672</v>
      </c>
    </row>
    <row r="41" spans="1:9" x14ac:dyDescent="0.25">
      <c r="A41" t="s">
        <v>1098</v>
      </c>
      <c r="B41" t="s">
        <v>432</v>
      </c>
      <c r="C41" t="s">
        <v>898</v>
      </c>
      <c r="D41" t="s">
        <v>434</v>
      </c>
      <c r="E41" t="s">
        <v>434</v>
      </c>
      <c r="F41" s="53"/>
      <c r="G41" s="4">
        <v>75</v>
      </c>
      <c r="H41" s="80">
        <v>78</v>
      </c>
      <c r="I41" t="s">
        <v>1099</v>
      </c>
    </row>
    <row r="42" spans="1:9" x14ac:dyDescent="0.25">
      <c r="A42" t="s">
        <v>464</v>
      </c>
      <c r="B42" t="s">
        <v>432</v>
      </c>
      <c r="C42" t="s">
        <v>433</v>
      </c>
      <c r="D42" t="s">
        <v>434</v>
      </c>
      <c r="E42" t="s">
        <v>465</v>
      </c>
      <c r="F42" s="53">
        <v>0.77</v>
      </c>
      <c r="G42" s="4">
        <v>66</v>
      </c>
      <c r="H42" s="80">
        <v>72</v>
      </c>
      <c r="I42" t="s">
        <v>466</v>
      </c>
    </row>
    <row r="43" spans="1:9" x14ac:dyDescent="0.25">
      <c r="A43" t="s">
        <v>1026</v>
      </c>
      <c r="B43" t="s">
        <v>432</v>
      </c>
      <c r="C43" t="s">
        <v>447</v>
      </c>
      <c r="D43" t="s">
        <v>434</v>
      </c>
      <c r="E43" t="s">
        <v>449</v>
      </c>
      <c r="F43" s="53">
        <v>0.75</v>
      </c>
      <c r="G43" s="4">
        <v>46</v>
      </c>
      <c r="H43" s="80">
        <v>58</v>
      </c>
      <c r="I43" t="s">
        <v>1027</v>
      </c>
    </row>
    <row r="44" spans="1:9" x14ac:dyDescent="0.25">
      <c r="A44" t="s">
        <v>467</v>
      </c>
      <c r="B44" t="s">
        <v>432</v>
      </c>
      <c r="C44" t="s">
        <v>433</v>
      </c>
      <c r="D44" t="s">
        <v>443</v>
      </c>
      <c r="E44" t="s">
        <v>449</v>
      </c>
      <c r="F44" s="53">
        <v>0.75</v>
      </c>
      <c r="G44" s="4">
        <v>66</v>
      </c>
      <c r="H44" s="80">
        <v>70</v>
      </c>
      <c r="I44" t="s">
        <v>468</v>
      </c>
    </row>
    <row r="45" spans="1:9" x14ac:dyDescent="0.25">
      <c r="A45" t="s">
        <v>469</v>
      </c>
      <c r="B45" t="s">
        <v>432</v>
      </c>
      <c r="C45" t="s">
        <v>440</v>
      </c>
      <c r="D45" t="s">
        <v>441</v>
      </c>
      <c r="E45" t="s">
        <v>434</v>
      </c>
      <c r="F45" s="53"/>
      <c r="G45" s="4">
        <v>50</v>
      </c>
      <c r="H45" s="80">
        <v>57</v>
      </c>
      <c r="I45" t="s">
        <v>470</v>
      </c>
    </row>
    <row r="46" spans="1:9" x14ac:dyDescent="0.25">
      <c r="A46" t="s">
        <v>472</v>
      </c>
      <c r="B46" t="s">
        <v>432</v>
      </c>
      <c r="C46" t="s">
        <v>447</v>
      </c>
      <c r="D46" t="s">
        <v>443</v>
      </c>
      <c r="E46" t="s">
        <v>473</v>
      </c>
      <c r="F46" s="53">
        <v>0.73</v>
      </c>
      <c r="G46" s="4">
        <v>64</v>
      </c>
      <c r="H46" s="80">
        <v>75</v>
      </c>
      <c r="I46" t="s">
        <v>474</v>
      </c>
    </row>
    <row r="47" spans="1:9" x14ac:dyDescent="0.25">
      <c r="A47" t="s">
        <v>1108</v>
      </c>
      <c r="B47" t="s">
        <v>432</v>
      </c>
      <c r="C47" t="s">
        <v>447</v>
      </c>
      <c r="D47" t="s">
        <v>434</v>
      </c>
      <c r="E47" t="s">
        <v>449</v>
      </c>
      <c r="F47" s="53">
        <v>0.75</v>
      </c>
      <c r="G47" s="4">
        <v>64</v>
      </c>
      <c r="H47" s="80">
        <v>74</v>
      </c>
      <c r="I47" t="s">
        <v>471</v>
      </c>
    </row>
    <row r="48" spans="1:9" x14ac:dyDescent="0.25">
      <c r="A48" t="s">
        <v>1109</v>
      </c>
      <c r="B48" t="s">
        <v>507</v>
      </c>
      <c r="C48" t="s">
        <v>910</v>
      </c>
      <c r="D48" t="s">
        <v>443</v>
      </c>
      <c r="E48" t="s">
        <v>434</v>
      </c>
      <c r="F48" s="53"/>
      <c r="G48" s="4">
        <v>59</v>
      </c>
      <c r="H48" s="80">
        <v>86</v>
      </c>
      <c r="I48" t="s">
        <v>1110</v>
      </c>
    </row>
    <row r="49" spans="1:9" x14ac:dyDescent="0.25">
      <c r="A49" s="20" t="s">
        <v>2069</v>
      </c>
      <c r="B49" t="s">
        <v>432</v>
      </c>
      <c r="C49" t="s">
        <v>2024</v>
      </c>
      <c r="D49" t="s">
        <v>434</v>
      </c>
      <c r="E49" s="20" t="s">
        <v>1650</v>
      </c>
      <c r="F49" s="113">
        <v>0.74</v>
      </c>
      <c r="G49" s="4">
        <v>51</v>
      </c>
      <c r="H49" s="80">
        <v>62</v>
      </c>
      <c r="I49" s="20" t="s">
        <v>2070</v>
      </c>
    </row>
    <row r="50" spans="1:9" x14ac:dyDescent="0.25">
      <c r="A50" t="s">
        <v>475</v>
      </c>
      <c r="B50" t="s">
        <v>432</v>
      </c>
      <c r="C50" t="s">
        <v>433</v>
      </c>
      <c r="D50" t="s">
        <v>441</v>
      </c>
      <c r="E50" t="s">
        <v>457</v>
      </c>
      <c r="F50" s="53">
        <v>0.75</v>
      </c>
      <c r="G50" s="4">
        <v>65</v>
      </c>
      <c r="H50" s="80">
        <v>70</v>
      </c>
      <c r="I50" t="s">
        <v>476</v>
      </c>
    </row>
    <row r="51" spans="1:9" x14ac:dyDescent="0.25">
      <c r="A51" t="s">
        <v>1177</v>
      </c>
      <c r="B51" t="s">
        <v>432</v>
      </c>
      <c r="C51" t="s">
        <v>898</v>
      </c>
      <c r="D51" t="s">
        <v>434</v>
      </c>
      <c r="E51" t="s">
        <v>434</v>
      </c>
      <c r="F51" s="53">
        <v>0.75</v>
      </c>
      <c r="G51" s="4">
        <v>66</v>
      </c>
      <c r="H51" s="80">
        <v>72</v>
      </c>
      <c r="I51" t="s">
        <v>1185</v>
      </c>
    </row>
    <row r="52" spans="1:9" x14ac:dyDescent="0.25">
      <c r="A52" t="s">
        <v>953</v>
      </c>
      <c r="B52" t="s">
        <v>432</v>
      </c>
      <c r="C52" t="s">
        <v>898</v>
      </c>
      <c r="D52" t="s">
        <v>434</v>
      </c>
      <c r="E52" t="s">
        <v>1176</v>
      </c>
      <c r="F52" s="53">
        <v>0.75</v>
      </c>
      <c r="G52" s="4">
        <v>66</v>
      </c>
      <c r="H52" s="80">
        <v>72</v>
      </c>
      <c r="I52" t="s">
        <v>1182</v>
      </c>
    </row>
    <row r="53" spans="1:9" x14ac:dyDescent="0.25">
      <c r="A53" t="s">
        <v>1023</v>
      </c>
      <c r="B53" t="s">
        <v>432</v>
      </c>
      <c r="C53" t="s">
        <v>447</v>
      </c>
      <c r="D53" t="s">
        <v>448</v>
      </c>
      <c r="E53" t="s">
        <v>460</v>
      </c>
      <c r="F53" s="53">
        <v>0.76</v>
      </c>
      <c r="G53" s="4">
        <v>68</v>
      </c>
      <c r="H53" s="80">
        <v>78</v>
      </c>
      <c r="I53" t="s">
        <v>479</v>
      </c>
    </row>
    <row r="54" spans="1:9" x14ac:dyDescent="0.25">
      <c r="A54" t="s">
        <v>477</v>
      </c>
      <c r="B54" t="s">
        <v>432</v>
      </c>
      <c r="C54" t="s">
        <v>447</v>
      </c>
      <c r="D54" t="s">
        <v>434</v>
      </c>
      <c r="E54" t="s">
        <v>449</v>
      </c>
      <c r="F54" s="53">
        <v>0.75</v>
      </c>
      <c r="G54" s="4">
        <v>65</v>
      </c>
      <c r="H54" s="80">
        <v>75</v>
      </c>
      <c r="I54" t="s">
        <v>478</v>
      </c>
    </row>
    <row r="55" spans="1:9" x14ac:dyDescent="0.25">
      <c r="A55" s="20" t="s">
        <v>2058</v>
      </c>
      <c r="B55" t="s">
        <v>432</v>
      </c>
      <c r="C55" t="s">
        <v>2024</v>
      </c>
      <c r="D55" t="s">
        <v>441</v>
      </c>
      <c r="E55" s="20" t="s">
        <v>2059</v>
      </c>
      <c r="F55" s="113">
        <v>0.78500000000000003</v>
      </c>
      <c r="G55" s="4">
        <v>65</v>
      </c>
      <c r="H55" s="80">
        <v>78</v>
      </c>
      <c r="I55" s="20" t="s">
        <v>2060</v>
      </c>
    </row>
    <row r="56" spans="1:9" x14ac:dyDescent="0.25">
      <c r="A56" s="20" t="s">
        <v>2061</v>
      </c>
      <c r="B56" t="s">
        <v>432</v>
      </c>
      <c r="C56" t="s">
        <v>2024</v>
      </c>
      <c r="D56" t="s">
        <v>434</v>
      </c>
      <c r="E56" s="20" t="s">
        <v>1214</v>
      </c>
      <c r="F56" s="113">
        <v>0.76</v>
      </c>
      <c r="G56" s="4">
        <v>64</v>
      </c>
      <c r="H56" s="80">
        <v>78</v>
      </c>
      <c r="I56" s="20" t="s">
        <v>2062</v>
      </c>
    </row>
    <row r="57" spans="1:9" x14ac:dyDescent="0.25">
      <c r="A57" t="s">
        <v>480</v>
      </c>
      <c r="B57" t="s">
        <v>432</v>
      </c>
      <c r="C57" t="s">
        <v>433</v>
      </c>
      <c r="D57" t="s">
        <v>434</v>
      </c>
      <c r="E57" t="s">
        <v>481</v>
      </c>
      <c r="F57" s="53">
        <v>0.81499999999999995</v>
      </c>
      <c r="G57" s="4">
        <v>68</v>
      </c>
      <c r="H57" s="80">
        <v>78</v>
      </c>
      <c r="I57" t="s">
        <v>482</v>
      </c>
    </row>
    <row r="58" spans="1:9" x14ac:dyDescent="0.25">
      <c r="A58" t="s">
        <v>954</v>
      </c>
      <c r="B58" t="s">
        <v>507</v>
      </c>
      <c r="C58" t="s">
        <v>910</v>
      </c>
      <c r="D58" t="s">
        <v>434</v>
      </c>
      <c r="E58" t="s">
        <v>441</v>
      </c>
      <c r="F58" s="53"/>
      <c r="G58" s="4">
        <v>79</v>
      </c>
      <c r="H58" s="80">
        <v>90</v>
      </c>
      <c r="I58" t="s">
        <v>955</v>
      </c>
    </row>
    <row r="59" spans="1:9" x14ac:dyDescent="0.25">
      <c r="A59" t="s">
        <v>483</v>
      </c>
      <c r="B59" t="s">
        <v>432</v>
      </c>
      <c r="C59" t="s">
        <v>447</v>
      </c>
      <c r="D59" t="s">
        <v>441</v>
      </c>
      <c r="E59" t="s">
        <v>454</v>
      </c>
      <c r="F59" s="53">
        <v>0.74</v>
      </c>
      <c r="G59" s="4">
        <v>65</v>
      </c>
      <c r="H59" s="80">
        <v>85</v>
      </c>
      <c r="I59" t="s">
        <v>484</v>
      </c>
    </row>
    <row r="60" spans="1:9" x14ac:dyDescent="0.25">
      <c r="A60" t="s">
        <v>956</v>
      </c>
      <c r="B60" t="s">
        <v>432</v>
      </c>
      <c r="C60" t="s">
        <v>447</v>
      </c>
      <c r="D60" t="s">
        <v>434</v>
      </c>
      <c r="E60" t="s">
        <v>1193</v>
      </c>
      <c r="F60" s="53">
        <v>0.76500000000000001</v>
      </c>
      <c r="G60" s="4">
        <v>65</v>
      </c>
      <c r="H60" s="80">
        <v>80</v>
      </c>
      <c r="I60" t="s">
        <v>1194</v>
      </c>
    </row>
    <row r="61" spans="1:9" x14ac:dyDescent="0.25">
      <c r="A61" t="s">
        <v>485</v>
      </c>
      <c r="B61" t="s">
        <v>432</v>
      </c>
      <c r="C61" t="s">
        <v>433</v>
      </c>
      <c r="D61" t="s">
        <v>443</v>
      </c>
      <c r="E61" t="s">
        <v>486</v>
      </c>
      <c r="F61" s="53">
        <v>0.755</v>
      </c>
      <c r="G61" s="4">
        <v>68</v>
      </c>
      <c r="H61" s="80">
        <v>75</v>
      </c>
      <c r="I61" t="s">
        <v>487</v>
      </c>
    </row>
    <row r="62" spans="1:9" x14ac:dyDescent="0.25">
      <c r="A62" t="s">
        <v>920</v>
      </c>
      <c r="B62" t="s">
        <v>432</v>
      </c>
      <c r="C62" t="s">
        <v>433</v>
      </c>
      <c r="D62" t="s">
        <v>434</v>
      </c>
      <c r="E62" t="s">
        <v>434</v>
      </c>
      <c r="F62" s="53">
        <v>0.75</v>
      </c>
      <c r="G62" s="4">
        <v>50</v>
      </c>
      <c r="H62" s="80">
        <v>55</v>
      </c>
      <c r="I62" t="s">
        <v>921</v>
      </c>
    </row>
    <row r="63" spans="1:9" x14ac:dyDescent="0.25">
      <c r="A63" t="s">
        <v>982</v>
      </c>
      <c r="B63" t="s">
        <v>432</v>
      </c>
      <c r="C63" t="s">
        <v>447</v>
      </c>
      <c r="D63" t="s">
        <v>448</v>
      </c>
      <c r="E63" t="s">
        <v>492</v>
      </c>
      <c r="F63" s="53">
        <v>0.7</v>
      </c>
      <c r="G63" s="4">
        <v>63</v>
      </c>
      <c r="H63" s="80">
        <v>75</v>
      </c>
      <c r="I63" t="s">
        <v>983</v>
      </c>
    </row>
    <row r="64" spans="1:9" x14ac:dyDescent="0.25">
      <c r="A64" t="s">
        <v>488</v>
      </c>
      <c r="B64" t="s">
        <v>432</v>
      </c>
      <c r="C64" t="s">
        <v>447</v>
      </c>
      <c r="D64" t="s">
        <v>443</v>
      </c>
      <c r="E64" t="s">
        <v>489</v>
      </c>
      <c r="F64" s="53">
        <v>0.78</v>
      </c>
      <c r="G64" s="4">
        <v>70</v>
      </c>
      <c r="H64" s="80">
        <v>95</v>
      </c>
      <c r="I64" t="s">
        <v>490</v>
      </c>
    </row>
    <row r="65" spans="1:9" x14ac:dyDescent="0.25">
      <c r="A65" t="s">
        <v>491</v>
      </c>
      <c r="B65" t="s">
        <v>432</v>
      </c>
      <c r="C65" t="s">
        <v>433</v>
      </c>
      <c r="D65" t="s">
        <v>434</v>
      </c>
      <c r="E65" t="s">
        <v>492</v>
      </c>
      <c r="F65" s="53">
        <v>0.7</v>
      </c>
      <c r="G65" s="4">
        <v>68</v>
      </c>
      <c r="H65" s="80">
        <v>75</v>
      </c>
      <c r="I65" t="s">
        <v>493</v>
      </c>
    </row>
    <row r="66" spans="1:9" x14ac:dyDescent="0.25">
      <c r="A66" s="20" t="s">
        <v>2065</v>
      </c>
      <c r="B66" t="s">
        <v>432</v>
      </c>
      <c r="C66" t="s">
        <v>2024</v>
      </c>
      <c r="D66" t="s">
        <v>434</v>
      </c>
      <c r="E66" s="20" t="s">
        <v>1193</v>
      </c>
      <c r="F66" s="113">
        <v>0.76500000000000001</v>
      </c>
      <c r="G66" s="4">
        <v>70</v>
      </c>
      <c r="H66" s="80">
        <v>84</v>
      </c>
      <c r="I66" s="20" t="s">
        <v>2064</v>
      </c>
    </row>
    <row r="67" spans="1:9" x14ac:dyDescent="0.25">
      <c r="A67" t="s">
        <v>957</v>
      </c>
      <c r="B67" t="s">
        <v>432</v>
      </c>
      <c r="C67" t="s">
        <v>433</v>
      </c>
      <c r="D67" t="s">
        <v>434</v>
      </c>
      <c r="E67" t="s">
        <v>441</v>
      </c>
      <c r="F67" s="53">
        <v>0.81499999999999995</v>
      </c>
      <c r="G67" s="4">
        <v>68</v>
      </c>
      <c r="H67" s="80">
        <v>78</v>
      </c>
      <c r="I67" t="s">
        <v>958</v>
      </c>
    </row>
    <row r="68" spans="1:9" x14ac:dyDescent="0.25">
      <c r="A68" t="s">
        <v>959</v>
      </c>
      <c r="B68" t="s">
        <v>432</v>
      </c>
      <c r="C68" t="s">
        <v>433</v>
      </c>
      <c r="D68" t="s">
        <v>448</v>
      </c>
      <c r="E68" t="s">
        <v>434</v>
      </c>
      <c r="F68" s="53"/>
      <c r="G68" s="4">
        <v>68</v>
      </c>
      <c r="H68" s="80">
        <v>75</v>
      </c>
      <c r="I68" t="s">
        <v>960</v>
      </c>
    </row>
    <row r="69" spans="1:9" x14ac:dyDescent="0.25">
      <c r="A69" t="s">
        <v>961</v>
      </c>
      <c r="B69" t="s">
        <v>432</v>
      </c>
      <c r="C69" t="s">
        <v>447</v>
      </c>
      <c r="D69" t="s">
        <v>434</v>
      </c>
      <c r="E69" s="53" t="s">
        <v>449</v>
      </c>
      <c r="F69" s="53">
        <v>0.75</v>
      </c>
      <c r="G69" s="4">
        <v>62</v>
      </c>
      <c r="H69" s="80">
        <v>74</v>
      </c>
      <c r="I69" t="s">
        <v>1195</v>
      </c>
    </row>
    <row r="70" spans="1:9" x14ac:dyDescent="0.25">
      <c r="A70" t="s">
        <v>984</v>
      </c>
      <c r="B70" t="s">
        <v>432</v>
      </c>
      <c r="C70" t="s">
        <v>433</v>
      </c>
      <c r="D70" t="s">
        <v>448</v>
      </c>
      <c r="E70" t="s">
        <v>527</v>
      </c>
      <c r="F70" s="53">
        <v>0.75</v>
      </c>
      <c r="G70" s="4">
        <v>80</v>
      </c>
      <c r="H70" s="80">
        <v>85</v>
      </c>
      <c r="I70" t="s">
        <v>985</v>
      </c>
    </row>
    <row r="71" spans="1:9" x14ac:dyDescent="0.25">
      <c r="A71" t="s">
        <v>962</v>
      </c>
      <c r="B71" t="s">
        <v>432</v>
      </c>
      <c r="C71" t="s">
        <v>447</v>
      </c>
      <c r="D71" t="s">
        <v>434</v>
      </c>
      <c r="E71" t="s">
        <v>1196</v>
      </c>
      <c r="F71" s="53">
        <v>0.77500000000000002</v>
      </c>
      <c r="G71" s="4">
        <v>65</v>
      </c>
      <c r="H71" s="80">
        <v>75</v>
      </c>
      <c r="I71" t="s">
        <v>1197</v>
      </c>
    </row>
    <row r="72" spans="1:9" x14ac:dyDescent="0.25">
      <c r="A72" t="s">
        <v>494</v>
      </c>
      <c r="B72" t="s">
        <v>432</v>
      </c>
      <c r="C72" t="s">
        <v>447</v>
      </c>
      <c r="D72" t="s">
        <v>443</v>
      </c>
      <c r="E72" t="s">
        <v>460</v>
      </c>
      <c r="F72" s="53">
        <v>0.76</v>
      </c>
      <c r="G72" s="4">
        <v>64</v>
      </c>
      <c r="H72" s="80">
        <v>80</v>
      </c>
      <c r="I72" t="s">
        <v>495</v>
      </c>
    </row>
    <row r="73" spans="1:9" x14ac:dyDescent="0.25">
      <c r="A73" t="s">
        <v>1024</v>
      </c>
      <c r="B73" t="s">
        <v>432</v>
      </c>
      <c r="C73" t="s">
        <v>433</v>
      </c>
      <c r="D73" t="s">
        <v>434</v>
      </c>
      <c r="E73" t="s">
        <v>441</v>
      </c>
      <c r="F73" s="53">
        <v>0.81499999999999995</v>
      </c>
      <c r="G73" s="4">
        <v>66</v>
      </c>
      <c r="H73" s="80">
        <v>72</v>
      </c>
      <c r="I73" t="s">
        <v>1025</v>
      </c>
    </row>
    <row r="74" spans="1:9" x14ac:dyDescent="0.25">
      <c r="A74" t="s">
        <v>496</v>
      </c>
      <c r="B74" t="s">
        <v>432</v>
      </c>
      <c r="C74" t="s">
        <v>433</v>
      </c>
      <c r="D74" t="s">
        <v>434</v>
      </c>
      <c r="E74" t="s">
        <v>465</v>
      </c>
      <c r="F74" s="53">
        <v>0.77</v>
      </c>
      <c r="G74" s="4">
        <v>68</v>
      </c>
      <c r="H74" s="80">
        <v>75</v>
      </c>
      <c r="I74" t="s">
        <v>497</v>
      </c>
    </row>
    <row r="75" spans="1:9" x14ac:dyDescent="0.25">
      <c r="A75" t="s">
        <v>963</v>
      </c>
      <c r="B75" t="s">
        <v>432</v>
      </c>
      <c r="C75" t="s">
        <v>433</v>
      </c>
      <c r="D75" t="s">
        <v>434</v>
      </c>
      <c r="E75" t="s">
        <v>527</v>
      </c>
      <c r="F75" s="53">
        <v>0.75</v>
      </c>
      <c r="G75" s="4">
        <v>70</v>
      </c>
      <c r="H75" s="80">
        <v>80</v>
      </c>
      <c r="I75" t="s">
        <v>964</v>
      </c>
    </row>
    <row r="76" spans="1:9" x14ac:dyDescent="0.25">
      <c r="A76" t="s">
        <v>498</v>
      </c>
      <c r="B76" t="s">
        <v>432</v>
      </c>
      <c r="C76" t="s">
        <v>447</v>
      </c>
      <c r="D76" t="s">
        <v>434</v>
      </c>
      <c r="E76" t="s">
        <v>454</v>
      </c>
      <c r="F76" s="53">
        <v>0.74</v>
      </c>
      <c r="G76" s="4">
        <v>64</v>
      </c>
      <c r="H76" s="80">
        <v>74</v>
      </c>
      <c r="I76" t="s">
        <v>499</v>
      </c>
    </row>
    <row r="77" spans="1:9" x14ac:dyDescent="0.25">
      <c r="A77" t="s">
        <v>965</v>
      </c>
      <c r="B77" t="s">
        <v>432</v>
      </c>
      <c r="C77" t="s">
        <v>898</v>
      </c>
      <c r="D77" t="s">
        <v>443</v>
      </c>
      <c r="E77" t="s">
        <v>434</v>
      </c>
      <c r="F77" s="53">
        <v>0.76</v>
      </c>
      <c r="G77" s="4">
        <v>72</v>
      </c>
      <c r="H77" s="80">
        <v>75</v>
      </c>
      <c r="I77" t="s">
        <v>1184</v>
      </c>
    </row>
    <row r="78" spans="1:9" x14ac:dyDescent="0.25">
      <c r="A78" t="s">
        <v>500</v>
      </c>
      <c r="B78" t="s">
        <v>432</v>
      </c>
      <c r="C78" t="s">
        <v>433</v>
      </c>
      <c r="D78" t="s">
        <v>448</v>
      </c>
      <c r="E78" t="s">
        <v>460</v>
      </c>
      <c r="F78" s="53">
        <v>0.76</v>
      </c>
      <c r="G78" s="4">
        <v>67</v>
      </c>
      <c r="H78" s="80">
        <v>74</v>
      </c>
      <c r="I78" t="s">
        <v>501</v>
      </c>
    </row>
    <row r="79" spans="1:9" x14ac:dyDescent="0.25">
      <c r="A79" t="s">
        <v>502</v>
      </c>
      <c r="B79" t="s">
        <v>432</v>
      </c>
      <c r="C79" t="s">
        <v>433</v>
      </c>
      <c r="D79" t="s">
        <v>448</v>
      </c>
      <c r="E79" t="s">
        <v>444</v>
      </c>
      <c r="F79" s="53">
        <v>0.72499999999999998</v>
      </c>
      <c r="G79" s="4">
        <v>67</v>
      </c>
      <c r="H79" s="80">
        <v>74</v>
      </c>
      <c r="I79" t="s">
        <v>503</v>
      </c>
    </row>
    <row r="80" spans="1:9" x14ac:dyDescent="0.25">
      <c r="A80" t="s">
        <v>504</v>
      </c>
      <c r="B80" t="s">
        <v>432</v>
      </c>
      <c r="C80" t="s">
        <v>447</v>
      </c>
      <c r="D80" t="s">
        <v>434</v>
      </c>
      <c r="E80" t="s">
        <v>454</v>
      </c>
      <c r="F80" s="53">
        <v>0.74</v>
      </c>
      <c r="G80" s="4">
        <v>60</v>
      </c>
      <c r="H80" s="80">
        <v>75</v>
      </c>
      <c r="I80" t="s">
        <v>505</v>
      </c>
    </row>
    <row r="81" spans="1:9" x14ac:dyDescent="0.25">
      <c r="A81" t="s">
        <v>966</v>
      </c>
      <c r="B81" t="s">
        <v>507</v>
      </c>
      <c r="C81" t="s">
        <v>883</v>
      </c>
      <c r="D81" t="s">
        <v>443</v>
      </c>
      <c r="E81" t="s">
        <v>441</v>
      </c>
      <c r="F81" s="53">
        <v>0.8</v>
      </c>
      <c r="G81" s="4">
        <v>59</v>
      </c>
      <c r="H81" s="80">
        <v>95</v>
      </c>
      <c r="I81" t="s">
        <v>967</v>
      </c>
    </row>
    <row r="82" spans="1:9" x14ac:dyDescent="0.25">
      <c r="A82" t="s">
        <v>986</v>
      </c>
      <c r="B82" t="s">
        <v>432</v>
      </c>
      <c r="C82" t="s">
        <v>898</v>
      </c>
      <c r="E82" t="s">
        <v>145</v>
      </c>
      <c r="F82" s="53"/>
      <c r="G82" s="4">
        <v>70</v>
      </c>
      <c r="H82" s="80">
        <v>74</v>
      </c>
      <c r="I82" t="s">
        <v>987</v>
      </c>
    </row>
    <row r="83" spans="1:9" x14ac:dyDescent="0.25">
      <c r="A83" t="s">
        <v>1198</v>
      </c>
      <c r="B83" t="s">
        <v>432</v>
      </c>
      <c r="C83" t="s">
        <v>447</v>
      </c>
      <c r="D83" t="s">
        <v>443</v>
      </c>
      <c r="E83" t="s">
        <v>1199</v>
      </c>
      <c r="F83" s="53">
        <v>0.75</v>
      </c>
      <c r="G83" s="4">
        <v>68</v>
      </c>
      <c r="H83" s="80">
        <v>72</v>
      </c>
      <c r="I83" t="s">
        <v>1200</v>
      </c>
    </row>
    <row r="84" spans="1:9" x14ac:dyDescent="0.25">
      <c r="A84" t="s">
        <v>988</v>
      </c>
      <c r="B84" t="s">
        <v>432</v>
      </c>
      <c r="C84" t="s">
        <v>433</v>
      </c>
      <c r="D84" t="s">
        <v>434</v>
      </c>
      <c r="E84" t="s">
        <v>989</v>
      </c>
      <c r="F84" s="53">
        <v>0.71499999999999997</v>
      </c>
      <c r="G84" s="4">
        <v>68</v>
      </c>
      <c r="H84" s="80">
        <v>72</v>
      </c>
      <c r="I84" t="s">
        <v>990</v>
      </c>
    </row>
    <row r="85" spans="1:9" x14ac:dyDescent="0.25">
      <c r="A85" t="s">
        <v>1201</v>
      </c>
      <c r="B85" t="s">
        <v>432</v>
      </c>
      <c r="C85" t="s">
        <v>447</v>
      </c>
      <c r="D85" t="s">
        <v>443</v>
      </c>
      <c r="E85" t="s">
        <v>1193</v>
      </c>
      <c r="F85" s="53">
        <v>0.76500000000000001</v>
      </c>
      <c r="G85" s="4">
        <v>70</v>
      </c>
      <c r="H85" s="80">
        <v>84</v>
      </c>
      <c r="I85" t="s">
        <v>1202</v>
      </c>
    </row>
    <row r="86" spans="1:9" x14ac:dyDescent="0.25">
      <c r="A86" t="s">
        <v>1028</v>
      </c>
      <c r="B86" t="s">
        <v>432</v>
      </c>
      <c r="C86" t="s">
        <v>447</v>
      </c>
      <c r="D86" t="s">
        <v>434</v>
      </c>
      <c r="E86" t="s">
        <v>449</v>
      </c>
      <c r="F86" s="53">
        <v>0.75</v>
      </c>
      <c r="G86" s="4">
        <v>45</v>
      </c>
      <c r="H86" s="80">
        <v>68</v>
      </c>
      <c r="I86" t="s">
        <v>1029</v>
      </c>
    </row>
    <row r="87" spans="1:9" x14ac:dyDescent="0.25">
      <c r="A87" t="s">
        <v>1078</v>
      </c>
      <c r="B87" t="s">
        <v>507</v>
      </c>
      <c r="C87" t="s">
        <v>910</v>
      </c>
      <c r="D87" t="s">
        <v>441</v>
      </c>
      <c r="E87" t="s">
        <v>441</v>
      </c>
      <c r="F87" s="53"/>
      <c r="G87" s="4">
        <v>50</v>
      </c>
      <c r="H87" s="80">
        <v>59</v>
      </c>
      <c r="I87" t="s">
        <v>1079</v>
      </c>
    </row>
    <row r="88" spans="1:9" x14ac:dyDescent="0.25">
      <c r="A88" t="s">
        <v>939</v>
      </c>
      <c r="B88" t="s">
        <v>432</v>
      </c>
      <c r="C88" t="s">
        <v>433</v>
      </c>
      <c r="D88" t="s">
        <v>434</v>
      </c>
      <c r="E88" t="s">
        <v>435</v>
      </c>
      <c r="F88" s="53">
        <v>0.77500000000000002</v>
      </c>
      <c r="G88" s="4">
        <v>72</v>
      </c>
      <c r="H88" s="80">
        <v>77</v>
      </c>
      <c r="I88" t="s">
        <v>940</v>
      </c>
    </row>
    <row r="89" spans="1:9" x14ac:dyDescent="0.25">
      <c r="A89" t="s">
        <v>991</v>
      </c>
      <c r="B89" t="s">
        <v>432</v>
      </c>
      <c r="C89" t="s">
        <v>898</v>
      </c>
      <c r="E89" t="s">
        <v>145</v>
      </c>
      <c r="F89" s="53"/>
      <c r="G89" s="4" t="s">
        <v>145</v>
      </c>
      <c r="H89" s="80"/>
      <c r="I89" t="s">
        <v>992</v>
      </c>
    </row>
    <row r="90" spans="1:9" x14ac:dyDescent="0.25">
      <c r="A90" s="20" t="s">
        <v>2075</v>
      </c>
      <c r="B90" t="s">
        <v>432</v>
      </c>
      <c r="C90" t="s">
        <v>2024</v>
      </c>
      <c r="D90" s="20" t="s">
        <v>1111</v>
      </c>
      <c r="E90" s="20" t="s">
        <v>2073</v>
      </c>
      <c r="F90" s="113">
        <v>0.83</v>
      </c>
      <c r="G90" s="4">
        <v>68</v>
      </c>
      <c r="H90" s="80">
        <v>80</v>
      </c>
      <c r="I90" s="20" t="s">
        <v>2074</v>
      </c>
    </row>
    <row r="91" spans="1:9" x14ac:dyDescent="0.25">
      <c r="A91" s="20" t="s">
        <v>2076</v>
      </c>
      <c r="B91" s="20" t="s">
        <v>432</v>
      </c>
      <c r="C91" t="s">
        <v>2024</v>
      </c>
      <c r="D91" s="20" t="s">
        <v>1111</v>
      </c>
      <c r="E91" s="20" t="s">
        <v>2043</v>
      </c>
      <c r="F91" s="113">
        <v>0.92500000000000004</v>
      </c>
      <c r="G91" s="4">
        <v>68</v>
      </c>
      <c r="H91" s="80">
        <v>80</v>
      </c>
      <c r="I91" s="20" t="s">
        <v>2077</v>
      </c>
    </row>
    <row r="92" spans="1:9" x14ac:dyDescent="0.25">
      <c r="A92" s="20" t="s">
        <v>2078</v>
      </c>
      <c r="B92" t="s">
        <v>432</v>
      </c>
      <c r="C92" t="s">
        <v>2024</v>
      </c>
      <c r="D92" s="20" t="s">
        <v>1111</v>
      </c>
      <c r="E92" s="20" t="s">
        <v>2043</v>
      </c>
      <c r="F92" s="113">
        <v>0.92500000000000004</v>
      </c>
      <c r="G92" s="4">
        <v>68</v>
      </c>
      <c r="H92" s="80">
        <v>80</v>
      </c>
      <c r="I92" s="20" t="s">
        <v>2079</v>
      </c>
    </row>
    <row r="93" spans="1:9" x14ac:dyDescent="0.25">
      <c r="A93" t="s">
        <v>993</v>
      </c>
      <c r="B93" t="s">
        <v>432</v>
      </c>
      <c r="C93" t="s">
        <v>898</v>
      </c>
      <c r="E93" t="s">
        <v>145</v>
      </c>
      <c r="F93" s="53"/>
      <c r="G93" s="4" t="s">
        <v>145</v>
      </c>
      <c r="H93" s="80"/>
      <c r="I93" t="s">
        <v>994</v>
      </c>
    </row>
    <row r="94" spans="1:9" x14ac:dyDescent="0.25">
      <c r="A94" t="s">
        <v>995</v>
      </c>
      <c r="B94" t="s">
        <v>432</v>
      </c>
      <c r="C94" t="s">
        <v>898</v>
      </c>
      <c r="E94" t="s">
        <v>145</v>
      </c>
      <c r="F94" s="53"/>
      <c r="G94" s="4">
        <v>60</v>
      </c>
      <c r="H94" s="80">
        <v>74</v>
      </c>
      <c r="I94" t="s">
        <v>996</v>
      </c>
    </row>
    <row r="95" spans="1:9" x14ac:dyDescent="0.25">
      <c r="A95" t="s">
        <v>997</v>
      </c>
      <c r="B95" t="s">
        <v>432</v>
      </c>
      <c r="C95" t="s">
        <v>898</v>
      </c>
      <c r="E95" t="s">
        <v>145</v>
      </c>
      <c r="F95" s="53"/>
      <c r="G95" s="4" t="s">
        <v>145</v>
      </c>
      <c r="H95" s="80"/>
      <c r="I95" t="s">
        <v>998</v>
      </c>
    </row>
    <row r="96" spans="1:9" x14ac:dyDescent="0.25">
      <c r="A96" t="s">
        <v>999</v>
      </c>
      <c r="B96" t="s">
        <v>432</v>
      </c>
      <c r="C96" t="s">
        <v>447</v>
      </c>
      <c r="D96" t="s">
        <v>434</v>
      </c>
      <c r="E96" t="s">
        <v>441</v>
      </c>
      <c r="F96" s="53"/>
      <c r="G96" s="4">
        <v>60</v>
      </c>
      <c r="H96" s="80">
        <v>75</v>
      </c>
      <c r="I96" t="s">
        <v>1000</v>
      </c>
    </row>
    <row r="97" spans="1:9" x14ac:dyDescent="0.25">
      <c r="A97" t="s">
        <v>1001</v>
      </c>
      <c r="B97" t="s">
        <v>432</v>
      </c>
      <c r="C97" t="s">
        <v>447</v>
      </c>
      <c r="D97" t="s">
        <v>434</v>
      </c>
      <c r="E97" t="s">
        <v>441</v>
      </c>
      <c r="F97" s="53"/>
      <c r="G97" s="4">
        <v>60</v>
      </c>
      <c r="H97" s="80">
        <v>75</v>
      </c>
      <c r="I97" t="s">
        <v>1002</v>
      </c>
    </row>
    <row r="98" spans="1:9" x14ac:dyDescent="0.25">
      <c r="A98" t="s">
        <v>2206</v>
      </c>
      <c r="B98" t="s">
        <v>432</v>
      </c>
      <c r="C98" t="s">
        <v>433</v>
      </c>
      <c r="D98" t="s">
        <v>443</v>
      </c>
      <c r="E98" t="s">
        <v>1196</v>
      </c>
      <c r="F98" s="53">
        <v>0.77500000000000002</v>
      </c>
      <c r="G98" s="548">
        <v>70</v>
      </c>
      <c r="H98" s="80">
        <v>85</v>
      </c>
      <c r="I98" t="s">
        <v>2207</v>
      </c>
    </row>
    <row r="99" spans="1:9" x14ac:dyDescent="0.25">
      <c r="A99" t="s">
        <v>1003</v>
      </c>
      <c r="B99" t="s">
        <v>432</v>
      </c>
      <c r="C99" t="s">
        <v>433</v>
      </c>
      <c r="D99" t="s">
        <v>443</v>
      </c>
      <c r="E99" s="43">
        <v>0.85</v>
      </c>
      <c r="F99" s="53">
        <v>0.85</v>
      </c>
      <c r="G99" s="4">
        <v>70</v>
      </c>
      <c r="H99" s="80">
        <v>85</v>
      </c>
      <c r="I99" t="s">
        <v>968</v>
      </c>
    </row>
    <row r="100" spans="1:9" x14ac:dyDescent="0.25">
      <c r="A100" t="s">
        <v>2210</v>
      </c>
      <c r="B100" t="s">
        <v>432</v>
      </c>
      <c r="C100" t="s">
        <v>433</v>
      </c>
      <c r="D100" t="s">
        <v>443</v>
      </c>
      <c r="E100" s="43">
        <v>0.85</v>
      </c>
      <c r="F100" s="53">
        <v>0.85</v>
      </c>
      <c r="G100" s="548">
        <v>70</v>
      </c>
      <c r="H100" s="80">
        <v>85</v>
      </c>
      <c r="I100" t="s">
        <v>2211</v>
      </c>
    </row>
    <row r="101" spans="1:9" x14ac:dyDescent="0.25">
      <c r="A101" t="s">
        <v>1004</v>
      </c>
      <c r="B101" t="s">
        <v>432</v>
      </c>
      <c r="C101" t="s">
        <v>433</v>
      </c>
      <c r="D101" t="s">
        <v>443</v>
      </c>
      <c r="E101" t="s">
        <v>1005</v>
      </c>
      <c r="F101" s="53">
        <v>0.77500000000000002</v>
      </c>
      <c r="G101" s="4">
        <v>85</v>
      </c>
      <c r="H101" s="80">
        <v>85</v>
      </c>
      <c r="I101" t="s">
        <v>1006</v>
      </c>
    </row>
    <row r="102" spans="1:9" x14ac:dyDescent="0.25">
      <c r="A102" t="s">
        <v>1007</v>
      </c>
      <c r="B102" t="s">
        <v>432</v>
      </c>
      <c r="C102" t="s">
        <v>433</v>
      </c>
      <c r="D102" t="s">
        <v>443</v>
      </c>
      <c r="E102" t="s">
        <v>1005</v>
      </c>
      <c r="F102" s="53">
        <v>0.77500000000000002</v>
      </c>
      <c r="G102" s="4">
        <v>85</v>
      </c>
      <c r="H102" s="80">
        <v>85</v>
      </c>
      <c r="I102" t="s">
        <v>1008</v>
      </c>
    </row>
    <row r="103" spans="1:9" x14ac:dyDescent="0.25">
      <c r="A103" t="s">
        <v>1009</v>
      </c>
      <c r="B103" t="s">
        <v>432</v>
      </c>
      <c r="C103" t="s">
        <v>433</v>
      </c>
      <c r="D103" t="s">
        <v>443</v>
      </c>
      <c r="E103" t="s">
        <v>1005</v>
      </c>
      <c r="F103" s="53">
        <v>0.77500000000000002</v>
      </c>
      <c r="G103" s="4">
        <v>85</v>
      </c>
      <c r="H103" s="80">
        <v>85</v>
      </c>
      <c r="I103" t="s">
        <v>1010</v>
      </c>
    </row>
    <row r="104" spans="1:9" x14ac:dyDescent="0.25">
      <c r="A104" t="s">
        <v>506</v>
      </c>
      <c r="B104" t="s">
        <v>507</v>
      </c>
      <c r="C104" t="s">
        <v>508</v>
      </c>
      <c r="D104" t="s">
        <v>443</v>
      </c>
      <c r="E104" t="s">
        <v>441</v>
      </c>
      <c r="F104" s="53"/>
      <c r="G104" s="4">
        <v>64</v>
      </c>
      <c r="H104" s="80">
        <v>73</v>
      </c>
      <c r="I104" t="s">
        <v>509</v>
      </c>
    </row>
    <row r="105" spans="1:9" x14ac:dyDescent="0.25">
      <c r="A105" t="s">
        <v>510</v>
      </c>
      <c r="B105" t="s">
        <v>507</v>
      </c>
      <c r="C105" t="s">
        <v>508</v>
      </c>
      <c r="D105" t="s">
        <v>441</v>
      </c>
      <c r="E105" t="s">
        <v>441</v>
      </c>
      <c r="F105" s="53"/>
      <c r="G105" s="4">
        <v>50</v>
      </c>
      <c r="H105" s="80">
        <v>59</v>
      </c>
      <c r="I105" t="s">
        <v>511</v>
      </c>
    </row>
    <row r="106" spans="1:9" x14ac:dyDescent="0.25">
      <c r="A106" t="s">
        <v>884</v>
      </c>
      <c r="B106" t="s">
        <v>507</v>
      </c>
      <c r="C106" t="s">
        <v>508</v>
      </c>
      <c r="D106" t="s">
        <v>437</v>
      </c>
      <c r="E106" t="s">
        <v>145</v>
      </c>
      <c r="F106" s="53"/>
      <c r="G106" s="4">
        <v>64</v>
      </c>
      <c r="H106" s="80">
        <v>77</v>
      </c>
      <c r="I106" t="s">
        <v>885</v>
      </c>
    </row>
    <row r="107" spans="1:9" x14ac:dyDescent="0.25">
      <c r="A107" t="s">
        <v>512</v>
      </c>
      <c r="B107" t="s">
        <v>432</v>
      </c>
      <c r="C107" t="s">
        <v>447</v>
      </c>
      <c r="D107" t="s">
        <v>434</v>
      </c>
      <c r="E107" t="s">
        <v>513</v>
      </c>
      <c r="F107" s="53">
        <v>0.74</v>
      </c>
      <c r="G107" s="4">
        <v>64</v>
      </c>
      <c r="H107" s="80">
        <v>72</v>
      </c>
      <c r="I107" t="s">
        <v>514</v>
      </c>
    </row>
    <row r="108" spans="1:9" x14ac:dyDescent="0.25">
      <c r="A108" s="20" t="s">
        <v>2048</v>
      </c>
      <c r="B108" t="s">
        <v>432</v>
      </c>
      <c r="C108" t="s">
        <v>2024</v>
      </c>
      <c r="D108" t="s">
        <v>437</v>
      </c>
      <c r="E108" s="20" t="s">
        <v>2049</v>
      </c>
      <c r="F108" s="113">
        <v>0.75</v>
      </c>
      <c r="G108" s="4">
        <v>64</v>
      </c>
      <c r="H108" s="80">
        <v>72</v>
      </c>
      <c r="I108" s="20" t="s">
        <v>2050</v>
      </c>
    </row>
    <row r="109" spans="1:9" x14ac:dyDescent="0.25">
      <c r="A109" t="s">
        <v>515</v>
      </c>
      <c r="B109" t="s">
        <v>432</v>
      </c>
      <c r="C109" t="s">
        <v>447</v>
      </c>
      <c r="D109" t="s">
        <v>441</v>
      </c>
      <c r="E109" t="s">
        <v>513</v>
      </c>
      <c r="F109" s="53">
        <v>0.74</v>
      </c>
      <c r="G109" s="4">
        <v>63</v>
      </c>
      <c r="H109" s="80">
        <v>75</v>
      </c>
      <c r="I109" t="s">
        <v>516</v>
      </c>
    </row>
    <row r="110" spans="1:9" x14ac:dyDescent="0.25">
      <c r="A110" s="20" t="s">
        <v>2051</v>
      </c>
      <c r="B110" t="s">
        <v>432</v>
      </c>
      <c r="C110" t="s">
        <v>2024</v>
      </c>
      <c r="D110" t="s">
        <v>441</v>
      </c>
      <c r="E110" s="20" t="s">
        <v>1674</v>
      </c>
      <c r="F110" s="113">
        <v>0.73</v>
      </c>
      <c r="G110" s="4">
        <v>64</v>
      </c>
      <c r="H110" s="80">
        <v>74</v>
      </c>
      <c r="I110" s="20" t="s">
        <v>2052</v>
      </c>
    </row>
    <row r="111" spans="1:9" x14ac:dyDescent="0.25">
      <c r="A111" s="20" t="s">
        <v>2053</v>
      </c>
      <c r="B111" t="s">
        <v>432</v>
      </c>
      <c r="C111" t="s">
        <v>2024</v>
      </c>
      <c r="D111" s="20" t="s">
        <v>555</v>
      </c>
      <c r="E111" s="20" t="s">
        <v>1236</v>
      </c>
      <c r="F111" s="113">
        <v>0.69</v>
      </c>
      <c r="G111" s="4">
        <v>64</v>
      </c>
      <c r="H111" s="80">
        <v>72</v>
      </c>
      <c r="I111" s="20" t="s">
        <v>2054</v>
      </c>
    </row>
    <row r="112" spans="1:9" x14ac:dyDescent="0.25">
      <c r="A112" t="s">
        <v>517</v>
      </c>
      <c r="B112" t="s">
        <v>432</v>
      </c>
      <c r="C112" t="s">
        <v>433</v>
      </c>
      <c r="D112" t="s">
        <v>441</v>
      </c>
      <c r="E112" t="s">
        <v>435</v>
      </c>
      <c r="F112" s="53">
        <v>0.77500000000000002</v>
      </c>
      <c r="G112" s="4">
        <v>68</v>
      </c>
      <c r="H112" s="80">
        <v>75</v>
      </c>
      <c r="I112" t="s">
        <v>518</v>
      </c>
    </row>
    <row r="113" spans="1:9" x14ac:dyDescent="0.25">
      <c r="A113" t="s">
        <v>1061</v>
      </c>
      <c r="B113" t="s">
        <v>507</v>
      </c>
      <c r="C113" t="s">
        <v>910</v>
      </c>
      <c r="D113" t="s">
        <v>441</v>
      </c>
      <c r="E113" t="s">
        <v>441</v>
      </c>
      <c r="F113" s="53"/>
      <c r="G113" s="4">
        <v>57</v>
      </c>
      <c r="H113" s="80">
        <v>72</v>
      </c>
      <c r="I113" t="s">
        <v>1062</v>
      </c>
    </row>
    <row r="114" spans="1:9" x14ac:dyDescent="0.25">
      <c r="A114" t="s">
        <v>1046</v>
      </c>
      <c r="B114" t="s">
        <v>432</v>
      </c>
      <c r="C114" t="s">
        <v>447</v>
      </c>
      <c r="D114" t="s">
        <v>437</v>
      </c>
      <c r="E114" t="s">
        <v>1203</v>
      </c>
      <c r="F114" s="53">
        <v>0.755</v>
      </c>
      <c r="G114" s="4">
        <v>63</v>
      </c>
      <c r="H114" s="80">
        <v>72</v>
      </c>
      <c r="I114" t="s">
        <v>1204</v>
      </c>
    </row>
    <row r="115" spans="1:9" x14ac:dyDescent="0.25">
      <c r="A115" t="s">
        <v>1047</v>
      </c>
      <c r="B115" t="s">
        <v>432</v>
      </c>
      <c r="C115" t="s">
        <v>898</v>
      </c>
      <c r="D115" t="s">
        <v>443</v>
      </c>
      <c r="E115" t="s">
        <v>443</v>
      </c>
      <c r="F115" s="53"/>
      <c r="G115" s="4">
        <v>60</v>
      </c>
      <c r="H115" s="80">
        <v>68</v>
      </c>
      <c r="I115" t="s">
        <v>1048</v>
      </c>
    </row>
    <row r="116" spans="1:9" x14ac:dyDescent="0.25">
      <c r="A116" t="s">
        <v>2168</v>
      </c>
      <c r="B116" t="s">
        <v>432</v>
      </c>
      <c r="C116" t="s">
        <v>433</v>
      </c>
      <c r="D116" t="s">
        <v>434</v>
      </c>
      <c r="E116" t="s">
        <v>1231</v>
      </c>
      <c r="F116" s="53">
        <v>0.75</v>
      </c>
      <c r="G116" s="548">
        <v>67</v>
      </c>
      <c r="H116" s="80">
        <v>72</v>
      </c>
      <c r="I116" t="s">
        <v>2169</v>
      </c>
    </row>
    <row r="117" spans="1:9" x14ac:dyDescent="0.25">
      <c r="A117" t="s">
        <v>1074</v>
      </c>
      <c r="B117" t="s">
        <v>432</v>
      </c>
      <c r="C117" t="s">
        <v>447</v>
      </c>
      <c r="D117" t="s">
        <v>437</v>
      </c>
      <c r="E117" t="s">
        <v>574</v>
      </c>
      <c r="F117" s="53">
        <v>0.73</v>
      </c>
      <c r="G117" s="4">
        <v>48</v>
      </c>
      <c r="H117" s="80">
        <v>56</v>
      </c>
      <c r="I117" t="s">
        <v>1075</v>
      </c>
    </row>
    <row r="118" spans="1:9" x14ac:dyDescent="0.25">
      <c r="A118" t="s">
        <v>1011</v>
      </c>
      <c r="B118" t="s">
        <v>432</v>
      </c>
      <c r="C118" t="s">
        <v>898</v>
      </c>
      <c r="E118" t="s">
        <v>145</v>
      </c>
      <c r="F118" s="53"/>
      <c r="G118" s="4" t="s">
        <v>145</v>
      </c>
      <c r="H118" s="80"/>
      <c r="I118" t="s">
        <v>1012</v>
      </c>
    </row>
    <row r="119" spans="1:9" x14ac:dyDescent="0.25">
      <c r="A119" t="s">
        <v>1013</v>
      </c>
      <c r="B119" t="s">
        <v>432</v>
      </c>
      <c r="C119" t="s">
        <v>898</v>
      </c>
      <c r="E119" t="s">
        <v>145</v>
      </c>
      <c r="F119" s="53"/>
      <c r="G119" s="4">
        <v>60</v>
      </c>
      <c r="H119" s="80">
        <v>74</v>
      </c>
      <c r="I119" t="s">
        <v>1014</v>
      </c>
    </row>
    <row r="120" spans="1:9" x14ac:dyDescent="0.25">
      <c r="A120" t="s">
        <v>2180</v>
      </c>
      <c r="B120" t="s">
        <v>432</v>
      </c>
      <c r="C120" t="s">
        <v>433</v>
      </c>
      <c r="D120" t="s">
        <v>434</v>
      </c>
      <c r="E120" t="s">
        <v>1234</v>
      </c>
      <c r="F120" s="53">
        <v>0.77500000000000002</v>
      </c>
      <c r="G120" s="548">
        <v>67</v>
      </c>
      <c r="H120" s="80">
        <v>70</v>
      </c>
      <c r="I120" t="s">
        <v>2179</v>
      </c>
    </row>
    <row r="121" spans="1:9" x14ac:dyDescent="0.25">
      <c r="A121" t="s">
        <v>519</v>
      </c>
      <c r="B121" t="s">
        <v>432</v>
      </c>
      <c r="C121" t="s">
        <v>433</v>
      </c>
      <c r="D121" t="s">
        <v>434</v>
      </c>
      <c r="E121" t="s">
        <v>1049</v>
      </c>
      <c r="F121" s="53">
        <v>0.72</v>
      </c>
      <c r="G121" s="4">
        <v>68</v>
      </c>
      <c r="H121" s="80">
        <v>73</v>
      </c>
      <c r="I121" t="s">
        <v>520</v>
      </c>
    </row>
    <row r="122" spans="1:9" x14ac:dyDescent="0.25">
      <c r="A122" t="s">
        <v>1065</v>
      </c>
      <c r="B122" t="s">
        <v>432</v>
      </c>
      <c r="C122" t="s">
        <v>898</v>
      </c>
      <c r="D122" t="s">
        <v>434</v>
      </c>
      <c r="E122" t="s">
        <v>434</v>
      </c>
      <c r="F122" s="53">
        <v>0.74</v>
      </c>
      <c r="G122" s="4">
        <v>64</v>
      </c>
      <c r="H122" s="80">
        <v>69</v>
      </c>
      <c r="I122" t="s">
        <v>1187</v>
      </c>
    </row>
    <row r="123" spans="1:9" x14ac:dyDescent="0.25">
      <c r="A123" t="s">
        <v>1066</v>
      </c>
      <c r="B123" t="s">
        <v>507</v>
      </c>
      <c r="C123" t="s">
        <v>910</v>
      </c>
      <c r="D123" t="s">
        <v>441</v>
      </c>
      <c r="E123" t="s">
        <v>441</v>
      </c>
      <c r="F123" s="53"/>
      <c r="G123" s="4">
        <v>62</v>
      </c>
      <c r="H123" s="80">
        <v>74</v>
      </c>
      <c r="I123" t="s">
        <v>1067</v>
      </c>
    </row>
    <row r="124" spans="1:9" x14ac:dyDescent="0.25">
      <c r="A124" s="20" t="s">
        <v>2071</v>
      </c>
      <c r="B124" t="s">
        <v>432</v>
      </c>
      <c r="C124" t="s">
        <v>2024</v>
      </c>
      <c r="D124" t="s">
        <v>443</v>
      </c>
      <c r="E124" s="20" t="s">
        <v>1196</v>
      </c>
      <c r="F124" s="113">
        <v>0.77500000000000002</v>
      </c>
      <c r="G124" s="4">
        <v>68</v>
      </c>
      <c r="H124" s="80">
        <v>80</v>
      </c>
      <c r="I124" s="20" t="s">
        <v>2072</v>
      </c>
    </row>
    <row r="125" spans="1:9" x14ac:dyDescent="0.25">
      <c r="A125" t="s">
        <v>2166</v>
      </c>
      <c r="B125" t="s">
        <v>432</v>
      </c>
      <c r="C125" t="s">
        <v>433</v>
      </c>
      <c r="D125" t="s">
        <v>437</v>
      </c>
      <c r="E125" t="s">
        <v>444</v>
      </c>
      <c r="F125" s="53">
        <v>0.72499999999999998</v>
      </c>
      <c r="G125" s="4">
        <v>66</v>
      </c>
      <c r="H125" s="80">
        <v>70</v>
      </c>
      <c r="I125" t="s">
        <v>521</v>
      </c>
    </row>
    <row r="126" spans="1:9" x14ac:dyDescent="0.25">
      <c r="A126" t="s">
        <v>522</v>
      </c>
      <c r="B126" t="s">
        <v>432</v>
      </c>
      <c r="C126" t="s">
        <v>433</v>
      </c>
      <c r="D126" t="s">
        <v>434</v>
      </c>
      <c r="E126" t="s">
        <v>563</v>
      </c>
      <c r="F126" s="53">
        <v>0.76500000000000001</v>
      </c>
      <c r="G126" s="4">
        <v>68</v>
      </c>
      <c r="H126" s="80">
        <v>73</v>
      </c>
      <c r="I126" t="s">
        <v>523</v>
      </c>
    </row>
    <row r="127" spans="1:9" x14ac:dyDescent="0.25">
      <c r="A127" t="s">
        <v>2154</v>
      </c>
      <c r="B127" t="s">
        <v>432</v>
      </c>
      <c r="C127" t="s">
        <v>433</v>
      </c>
      <c r="F127" s="53"/>
      <c r="G127" s="548"/>
      <c r="H127" s="80"/>
      <c r="I127" t="s">
        <v>2155</v>
      </c>
    </row>
    <row r="128" spans="1:9" x14ac:dyDescent="0.25">
      <c r="A128" t="s">
        <v>922</v>
      </c>
      <c r="B128" t="s">
        <v>432</v>
      </c>
      <c r="C128" t="s">
        <v>447</v>
      </c>
      <c r="D128" t="s">
        <v>441</v>
      </c>
      <c r="E128" t="s">
        <v>545</v>
      </c>
      <c r="F128" s="53">
        <v>0.69</v>
      </c>
      <c r="G128" s="4">
        <v>58</v>
      </c>
      <c r="H128" s="80">
        <v>68</v>
      </c>
      <c r="I128" t="s">
        <v>923</v>
      </c>
    </row>
    <row r="129" spans="1:9" x14ac:dyDescent="0.25">
      <c r="A129" t="s">
        <v>969</v>
      </c>
      <c r="B129" t="s">
        <v>432</v>
      </c>
      <c r="C129" t="s">
        <v>447</v>
      </c>
      <c r="D129" t="s">
        <v>434</v>
      </c>
      <c r="E129" t="s">
        <v>1205</v>
      </c>
      <c r="F129" s="53">
        <v>0.77</v>
      </c>
      <c r="G129" s="4">
        <v>65</v>
      </c>
      <c r="H129" s="80">
        <v>80</v>
      </c>
      <c r="I129" t="s">
        <v>1206</v>
      </c>
    </row>
    <row r="130" spans="1:9" x14ac:dyDescent="0.25">
      <c r="A130" t="s">
        <v>886</v>
      </c>
      <c r="B130" t="s">
        <v>507</v>
      </c>
      <c r="C130" t="s">
        <v>883</v>
      </c>
      <c r="D130" t="s">
        <v>448</v>
      </c>
      <c r="E130" t="s">
        <v>145</v>
      </c>
      <c r="F130" s="53"/>
      <c r="G130" s="4">
        <v>59</v>
      </c>
      <c r="H130" s="80">
        <v>77</v>
      </c>
      <c r="I130" t="s">
        <v>887</v>
      </c>
    </row>
    <row r="131" spans="1:9" x14ac:dyDescent="0.25">
      <c r="A131" t="s">
        <v>2181</v>
      </c>
      <c r="B131" t="s">
        <v>432</v>
      </c>
      <c r="C131" t="s">
        <v>433</v>
      </c>
      <c r="D131" t="s">
        <v>443</v>
      </c>
      <c r="E131" t="s">
        <v>1231</v>
      </c>
      <c r="F131" s="53">
        <v>0.75</v>
      </c>
      <c r="G131" s="548">
        <v>55</v>
      </c>
      <c r="H131" s="80">
        <v>73</v>
      </c>
      <c r="I131" t="s">
        <v>2182</v>
      </c>
    </row>
    <row r="132" spans="1:9" x14ac:dyDescent="0.25">
      <c r="A132" t="s">
        <v>2241</v>
      </c>
      <c r="B132" t="s">
        <v>432</v>
      </c>
      <c r="C132" t="s">
        <v>433</v>
      </c>
      <c r="D132" t="s">
        <v>448</v>
      </c>
      <c r="E132" t="s">
        <v>2028</v>
      </c>
      <c r="F132" s="53">
        <v>0.78500000000000003</v>
      </c>
      <c r="G132" s="548">
        <v>68</v>
      </c>
      <c r="H132" s="80">
        <v>72</v>
      </c>
      <c r="I132" t="s">
        <v>2170</v>
      </c>
    </row>
    <row r="133" spans="1:9" x14ac:dyDescent="0.25">
      <c r="A133" t="s">
        <v>888</v>
      </c>
      <c r="B133" t="s">
        <v>507</v>
      </c>
      <c r="C133" t="s">
        <v>524</v>
      </c>
      <c r="D133" t="s">
        <v>441</v>
      </c>
      <c r="E133" t="s">
        <v>441</v>
      </c>
      <c r="F133" s="53"/>
      <c r="G133" s="4">
        <v>68</v>
      </c>
      <c r="H133" s="80">
        <v>80</v>
      </c>
      <c r="I133" t="s">
        <v>525</v>
      </c>
    </row>
    <row r="134" spans="1:9" x14ac:dyDescent="0.25">
      <c r="A134" t="s">
        <v>2235</v>
      </c>
      <c r="B134" t="s">
        <v>432</v>
      </c>
      <c r="C134" t="s">
        <v>433</v>
      </c>
      <c r="D134" t="s">
        <v>434</v>
      </c>
      <c r="E134" t="s">
        <v>1231</v>
      </c>
      <c r="F134" s="53">
        <v>0.75</v>
      </c>
      <c r="G134" s="548">
        <v>50</v>
      </c>
      <c r="H134" s="80">
        <v>58</v>
      </c>
      <c r="I134" t="s">
        <v>2234</v>
      </c>
    </row>
    <row r="135" spans="1:9" x14ac:dyDescent="0.25">
      <c r="A135" t="s">
        <v>924</v>
      </c>
      <c r="B135" t="s">
        <v>432</v>
      </c>
      <c r="C135" t="s">
        <v>433</v>
      </c>
      <c r="D135" t="s">
        <v>434</v>
      </c>
      <c r="E135" t="s">
        <v>435</v>
      </c>
      <c r="F135" s="53">
        <v>0.77500000000000002</v>
      </c>
      <c r="G135" s="4">
        <v>65</v>
      </c>
      <c r="H135" s="80">
        <v>70</v>
      </c>
      <c r="I135" t="s">
        <v>925</v>
      </c>
    </row>
    <row r="136" spans="1:9" x14ac:dyDescent="0.25">
      <c r="A136" t="s">
        <v>926</v>
      </c>
      <c r="B136" t="s">
        <v>432</v>
      </c>
      <c r="C136" t="s">
        <v>433</v>
      </c>
      <c r="D136" t="s">
        <v>443</v>
      </c>
      <c r="E136" t="s">
        <v>443</v>
      </c>
      <c r="F136" s="53">
        <v>0.68</v>
      </c>
      <c r="G136" s="4">
        <v>55</v>
      </c>
      <c r="H136" s="80">
        <v>58</v>
      </c>
      <c r="I136" t="s">
        <v>927</v>
      </c>
    </row>
    <row r="137" spans="1:9" x14ac:dyDescent="0.25">
      <c r="A137" t="s">
        <v>1080</v>
      </c>
      <c r="B137" t="s">
        <v>432</v>
      </c>
      <c r="C137" t="s">
        <v>433</v>
      </c>
      <c r="D137" t="s">
        <v>434</v>
      </c>
      <c r="E137" t="s">
        <v>435</v>
      </c>
      <c r="F137" s="53">
        <v>0.77500000000000002</v>
      </c>
      <c r="G137" s="4">
        <v>50</v>
      </c>
      <c r="H137" s="80">
        <v>55</v>
      </c>
      <c r="I137" t="s">
        <v>1081</v>
      </c>
    </row>
    <row r="138" spans="1:9" x14ac:dyDescent="0.25">
      <c r="A138" t="s">
        <v>1082</v>
      </c>
      <c r="B138" t="s">
        <v>432</v>
      </c>
      <c r="C138" t="s">
        <v>447</v>
      </c>
      <c r="D138" t="s">
        <v>434</v>
      </c>
      <c r="E138" t="s">
        <v>1035</v>
      </c>
      <c r="F138" s="53">
        <v>0.72</v>
      </c>
      <c r="G138" s="4">
        <v>50</v>
      </c>
      <c r="H138" s="80">
        <v>58</v>
      </c>
      <c r="I138" t="s">
        <v>1083</v>
      </c>
    </row>
    <row r="139" spans="1:9" x14ac:dyDescent="0.25">
      <c r="A139" t="s">
        <v>1084</v>
      </c>
      <c r="B139" t="s">
        <v>432</v>
      </c>
      <c r="C139" t="s">
        <v>447</v>
      </c>
      <c r="D139" t="s">
        <v>443</v>
      </c>
      <c r="E139" t="s">
        <v>449</v>
      </c>
      <c r="F139" s="53">
        <v>0.75</v>
      </c>
      <c r="G139" s="4">
        <v>46</v>
      </c>
      <c r="H139" s="80">
        <v>56</v>
      </c>
      <c r="I139" t="s">
        <v>1085</v>
      </c>
    </row>
    <row r="140" spans="1:9" x14ac:dyDescent="0.25">
      <c r="A140" t="s">
        <v>2242</v>
      </c>
      <c r="B140" t="s">
        <v>432</v>
      </c>
      <c r="C140" t="s">
        <v>433</v>
      </c>
      <c r="F140" s="53"/>
      <c r="G140" s="548"/>
      <c r="H140" s="80"/>
      <c r="I140" t="s">
        <v>2226</v>
      </c>
    </row>
    <row r="141" spans="1:9" x14ac:dyDescent="0.25">
      <c r="A141" t="s">
        <v>1207</v>
      </c>
      <c r="B141" t="s">
        <v>432</v>
      </c>
      <c r="C141" t="s">
        <v>447</v>
      </c>
      <c r="D141" t="s">
        <v>443</v>
      </c>
      <c r="E141" t="s">
        <v>1176</v>
      </c>
      <c r="F141" s="53">
        <v>0.75</v>
      </c>
      <c r="G141" s="4">
        <v>60</v>
      </c>
      <c r="H141" s="80">
        <v>70</v>
      </c>
      <c r="I141" t="s">
        <v>1208</v>
      </c>
    </row>
    <row r="142" spans="1:9" x14ac:dyDescent="0.25">
      <c r="A142" t="s">
        <v>2083</v>
      </c>
      <c r="B142" t="s">
        <v>507</v>
      </c>
      <c r="C142" t="s">
        <v>883</v>
      </c>
      <c r="D142" t="s">
        <v>441</v>
      </c>
      <c r="E142" t="s">
        <v>441</v>
      </c>
      <c r="F142" s="53"/>
      <c r="G142" s="4">
        <v>50</v>
      </c>
      <c r="H142" s="80">
        <v>59</v>
      </c>
      <c r="I142" t="s">
        <v>2084</v>
      </c>
    </row>
    <row r="143" spans="1:9" x14ac:dyDescent="0.25">
      <c r="A143" s="20" t="s">
        <v>2039</v>
      </c>
      <c r="B143" t="s">
        <v>432</v>
      </c>
      <c r="C143" t="s">
        <v>2024</v>
      </c>
      <c r="D143" t="s">
        <v>448</v>
      </c>
      <c r="E143" s="20" t="s">
        <v>2035</v>
      </c>
      <c r="F143" s="53">
        <v>0.76</v>
      </c>
      <c r="G143" s="4">
        <v>65</v>
      </c>
      <c r="H143" s="80">
        <v>72</v>
      </c>
      <c r="I143" s="20" t="s">
        <v>2036</v>
      </c>
    </row>
    <row r="144" spans="1:9" x14ac:dyDescent="0.25">
      <c r="A144" t="s">
        <v>526</v>
      </c>
      <c r="B144" t="s">
        <v>432</v>
      </c>
      <c r="C144" t="s">
        <v>433</v>
      </c>
      <c r="D144" t="s">
        <v>441</v>
      </c>
      <c r="E144" t="s">
        <v>527</v>
      </c>
      <c r="F144" s="53">
        <v>0.75</v>
      </c>
      <c r="G144" s="4">
        <v>65</v>
      </c>
      <c r="H144" s="80">
        <v>70</v>
      </c>
      <c r="I144" t="s">
        <v>528</v>
      </c>
    </row>
    <row r="145" spans="1:9" x14ac:dyDescent="0.25">
      <c r="A145" t="s">
        <v>529</v>
      </c>
      <c r="B145" t="s">
        <v>432</v>
      </c>
      <c r="C145" t="s">
        <v>433</v>
      </c>
      <c r="D145" t="s">
        <v>434</v>
      </c>
      <c r="E145" t="s">
        <v>530</v>
      </c>
      <c r="F145" s="53">
        <v>0.68500000000000005</v>
      </c>
      <c r="G145" s="4">
        <v>65</v>
      </c>
      <c r="H145" s="80">
        <v>69</v>
      </c>
      <c r="I145" t="s">
        <v>531</v>
      </c>
    </row>
    <row r="146" spans="1:9" x14ac:dyDescent="0.25">
      <c r="A146" t="s">
        <v>533</v>
      </c>
      <c r="B146" t="s">
        <v>432</v>
      </c>
      <c r="C146" t="s">
        <v>433</v>
      </c>
      <c r="D146" t="s">
        <v>448</v>
      </c>
      <c r="E146" t="s">
        <v>444</v>
      </c>
      <c r="F146" s="53">
        <v>0.72499999999999998</v>
      </c>
      <c r="G146" s="4">
        <v>68</v>
      </c>
      <c r="H146" s="80">
        <v>73</v>
      </c>
      <c r="I146" t="s">
        <v>534</v>
      </c>
    </row>
    <row r="147" spans="1:9" x14ac:dyDescent="0.25">
      <c r="A147" t="s">
        <v>889</v>
      </c>
      <c r="B147" t="s">
        <v>432</v>
      </c>
      <c r="C147" t="s">
        <v>433</v>
      </c>
      <c r="D147" t="s">
        <v>437</v>
      </c>
      <c r="E147" t="s">
        <v>434</v>
      </c>
      <c r="F147" s="53">
        <v>0.77500000000000002</v>
      </c>
      <c r="G147" s="4">
        <v>66</v>
      </c>
      <c r="H147" s="80">
        <v>70</v>
      </c>
      <c r="I147" t="s">
        <v>890</v>
      </c>
    </row>
    <row r="148" spans="1:9" x14ac:dyDescent="0.25">
      <c r="A148" t="s">
        <v>535</v>
      </c>
      <c r="B148" t="s">
        <v>432</v>
      </c>
      <c r="C148" t="s">
        <v>433</v>
      </c>
      <c r="D148" t="s">
        <v>434</v>
      </c>
      <c r="E148" t="s">
        <v>444</v>
      </c>
      <c r="F148" s="53">
        <v>0.72499999999999998</v>
      </c>
      <c r="G148" s="4">
        <v>65</v>
      </c>
      <c r="H148" s="80">
        <v>70</v>
      </c>
      <c r="I148" t="s">
        <v>536</v>
      </c>
    </row>
    <row r="149" spans="1:9" x14ac:dyDescent="0.25">
      <c r="A149" t="s">
        <v>1068</v>
      </c>
      <c r="B149" t="s">
        <v>432</v>
      </c>
      <c r="C149" t="s">
        <v>433</v>
      </c>
      <c r="D149" t="s">
        <v>437</v>
      </c>
      <c r="E149" t="s">
        <v>1069</v>
      </c>
      <c r="F149" s="53">
        <v>0.72499999999999998</v>
      </c>
      <c r="G149" s="4">
        <v>68</v>
      </c>
      <c r="H149" s="80">
        <v>72</v>
      </c>
      <c r="I149" t="s">
        <v>1070</v>
      </c>
    </row>
    <row r="150" spans="1:9" x14ac:dyDescent="0.25">
      <c r="A150" t="s">
        <v>537</v>
      </c>
      <c r="B150" t="s">
        <v>432</v>
      </c>
      <c r="C150" t="s">
        <v>440</v>
      </c>
      <c r="D150" t="s">
        <v>434</v>
      </c>
      <c r="E150" t="s">
        <v>441</v>
      </c>
      <c r="F150" s="53"/>
      <c r="G150" s="4">
        <v>59</v>
      </c>
      <c r="H150" s="80">
        <v>68</v>
      </c>
      <c r="I150" t="s">
        <v>538</v>
      </c>
    </row>
    <row r="151" spans="1:9" x14ac:dyDescent="0.25">
      <c r="A151" t="s">
        <v>539</v>
      </c>
      <c r="B151" t="s">
        <v>432</v>
      </c>
      <c r="C151" t="s">
        <v>433</v>
      </c>
      <c r="D151" t="s">
        <v>555</v>
      </c>
      <c r="E151" t="s">
        <v>1050</v>
      </c>
      <c r="F151" s="53">
        <v>0.66500000000000004</v>
      </c>
      <c r="G151" s="4">
        <v>65</v>
      </c>
      <c r="H151" s="80">
        <v>68</v>
      </c>
      <c r="I151" t="s">
        <v>540</v>
      </c>
    </row>
    <row r="152" spans="1:9" x14ac:dyDescent="0.25">
      <c r="A152" t="s">
        <v>1051</v>
      </c>
      <c r="B152" t="s">
        <v>432</v>
      </c>
      <c r="C152" t="s">
        <v>447</v>
      </c>
      <c r="D152" t="s">
        <v>441</v>
      </c>
      <c r="E152" t="s">
        <v>1209</v>
      </c>
      <c r="F152" s="53">
        <v>0.7</v>
      </c>
      <c r="G152" s="4">
        <v>64</v>
      </c>
      <c r="H152" s="80">
        <v>72</v>
      </c>
      <c r="I152" t="s">
        <v>1210</v>
      </c>
    </row>
    <row r="153" spans="1:9" x14ac:dyDescent="0.25">
      <c r="A153" t="s">
        <v>542</v>
      </c>
      <c r="B153" t="s">
        <v>432</v>
      </c>
      <c r="C153" t="s">
        <v>433</v>
      </c>
      <c r="D153" t="s">
        <v>437</v>
      </c>
      <c r="E153" t="s">
        <v>543</v>
      </c>
      <c r="F153" s="53">
        <v>0.73499999999999999</v>
      </c>
      <c r="G153" s="4">
        <v>66</v>
      </c>
      <c r="H153" s="80">
        <v>70</v>
      </c>
      <c r="I153" t="s">
        <v>544</v>
      </c>
    </row>
    <row r="154" spans="1:9" x14ac:dyDescent="0.25">
      <c r="A154" t="s">
        <v>546</v>
      </c>
      <c r="B154" t="s">
        <v>432</v>
      </c>
      <c r="C154" t="s">
        <v>433</v>
      </c>
      <c r="D154" t="s">
        <v>434</v>
      </c>
      <c r="E154" t="s">
        <v>547</v>
      </c>
      <c r="F154" s="53">
        <v>0.67500000000000004</v>
      </c>
      <c r="G154" s="4">
        <v>65</v>
      </c>
      <c r="H154" s="80">
        <v>70</v>
      </c>
      <c r="I154" t="s">
        <v>548</v>
      </c>
    </row>
    <row r="155" spans="1:9" x14ac:dyDescent="0.25">
      <c r="A155" t="s">
        <v>928</v>
      </c>
      <c r="B155" t="s">
        <v>432</v>
      </c>
      <c r="C155" t="s">
        <v>447</v>
      </c>
      <c r="D155" t="s">
        <v>443</v>
      </c>
      <c r="E155" t="s">
        <v>1199</v>
      </c>
      <c r="F155" s="53">
        <v>0.75</v>
      </c>
      <c r="G155" s="4">
        <v>46</v>
      </c>
      <c r="H155" s="80">
        <v>56</v>
      </c>
      <c r="I155" t="s">
        <v>1211</v>
      </c>
    </row>
    <row r="156" spans="1:9" x14ac:dyDescent="0.25">
      <c r="A156" s="20" t="s">
        <v>1682</v>
      </c>
      <c r="B156" s="20" t="s">
        <v>432</v>
      </c>
      <c r="C156" s="20" t="s">
        <v>1626</v>
      </c>
      <c r="D156" s="20" t="s">
        <v>443</v>
      </c>
      <c r="E156" s="20" t="s">
        <v>1683</v>
      </c>
      <c r="F156" s="113">
        <v>0.8</v>
      </c>
      <c r="G156" s="4">
        <v>68</v>
      </c>
      <c r="H156" s="80">
        <v>76</v>
      </c>
      <c r="I156" s="20" t="s">
        <v>1684</v>
      </c>
    </row>
    <row r="157" spans="1:9" x14ac:dyDescent="0.25">
      <c r="A157" t="s">
        <v>1212</v>
      </c>
      <c r="B157" t="s">
        <v>432</v>
      </c>
      <c r="C157" t="s">
        <v>447</v>
      </c>
      <c r="D157" t="s">
        <v>434</v>
      </c>
      <c r="E157" t="s">
        <v>1193</v>
      </c>
      <c r="F157" s="53">
        <v>0.76500000000000001</v>
      </c>
      <c r="G157" s="4">
        <v>70</v>
      </c>
      <c r="H157" s="80">
        <v>84</v>
      </c>
      <c r="I157" t="s">
        <v>1213</v>
      </c>
    </row>
    <row r="158" spans="1:9" x14ac:dyDescent="0.25">
      <c r="A158" t="s">
        <v>970</v>
      </c>
      <c r="B158" t="s">
        <v>432</v>
      </c>
      <c r="C158" t="s">
        <v>898</v>
      </c>
      <c r="E158" t="s">
        <v>145</v>
      </c>
      <c r="F158" s="53"/>
      <c r="G158" s="4" t="s">
        <v>145</v>
      </c>
      <c r="H158" s="80"/>
      <c r="I158" t="s">
        <v>971</v>
      </c>
    </row>
    <row r="159" spans="1:9" x14ac:dyDescent="0.25">
      <c r="A159" t="s">
        <v>2236</v>
      </c>
      <c r="B159" t="s">
        <v>432</v>
      </c>
      <c r="C159" t="s">
        <v>433</v>
      </c>
      <c r="E159" t="s">
        <v>2232</v>
      </c>
      <c r="F159" s="53">
        <v>0.76500000000000001</v>
      </c>
      <c r="G159" s="548"/>
      <c r="H159" s="80"/>
      <c r="I159" t="s">
        <v>2233</v>
      </c>
    </row>
    <row r="160" spans="1:9" x14ac:dyDescent="0.25">
      <c r="A160" t="s">
        <v>972</v>
      </c>
      <c r="B160" t="s">
        <v>432</v>
      </c>
      <c r="C160" t="s">
        <v>447</v>
      </c>
      <c r="D160" t="s">
        <v>448</v>
      </c>
      <c r="E160" t="s">
        <v>1214</v>
      </c>
      <c r="F160" s="53">
        <v>0.76</v>
      </c>
      <c r="G160" s="4">
        <v>64</v>
      </c>
      <c r="H160" s="80">
        <v>80</v>
      </c>
      <c r="I160" t="s">
        <v>1215</v>
      </c>
    </row>
    <row r="161" spans="1:9" x14ac:dyDescent="0.25">
      <c r="A161" t="s">
        <v>973</v>
      </c>
      <c r="B161" t="s">
        <v>432</v>
      </c>
      <c r="C161" t="s">
        <v>433</v>
      </c>
      <c r="D161" t="s">
        <v>448</v>
      </c>
      <c r="E161" t="s">
        <v>441</v>
      </c>
      <c r="F161" s="53"/>
      <c r="G161" s="4">
        <v>68</v>
      </c>
      <c r="H161" s="80">
        <v>80</v>
      </c>
      <c r="I161" t="s">
        <v>974</v>
      </c>
    </row>
    <row r="162" spans="1:9" x14ac:dyDescent="0.25">
      <c r="A162" t="s">
        <v>1015</v>
      </c>
      <c r="B162" t="s">
        <v>432</v>
      </c>
      <c r="C162" t="s">
        <v>898</v>
      </c>
      <c r="E162" t="s">
        <v>145</v>
      </c>
      <c r="F162" s="53"/>
      <c r="G162" s="4">
        <v>60</v>
      </c>
      <c r="H162" s="80">
        <v>74</v>
      </c>
      <c r="I162" t="s">
        <v>1016</v>
      </c>
    </row>
    <row r="163" spans="1:9" x14ac:dyDescent="0.25">
      <c r="A163" t="s">
        <v>2227</v>
      </c>
      <c r="B163" t="s">
        <v>432</v>
      </c>
      <c r="C163" t="s">
        <v>433</v>
      </c>
      <c r="E163" t="s">
        <v>2228</v>
      </c>
      <c r="F163" s="53">
        <v>0.9</v>
      </c>
      <c r="G163" s="548">
        <v>70</v>
      </c>
      <c r="H163" s="80">
        <v>100</v>
      </c>
      <c r="I163" t="s">
        <v>2229</v>
      </c>
    </row>
    <row r="164" spans="1:9" x14ac:dyDescent="0.25">
      <c r="A164" t="s">
        <v>550</v>
      </c>
      <c r="B164" t="s">
        <v>432</v>
      </c>
      <c r="C164" t="s">
        <v>447</v>
      </c>
      <c r="D164" t="s">
        <v>443</v>
      </c>
      <c r="E164" t="s">
        <v>449</v>
      </c>
      <c r="F164" s="53">
        <v>0.75</v>
      </c>
      <c r="G164" s="4">
        <v>63</v>
      </c>
      <c r="H164" s="80">
        <v>76</v>
      </c>
      <c r="I164" t="s">
        <v>551</v>
      </c>
    </row>
    <row r="165" spans="1:9" x14ac:dyDescent="0.25">
      <c r="A165" t="s">
        <v>975</v>
      </c>
      <c r="B165" t="s">
        <v>432</v>
      </c>
      <c r="C165" t="s">
        <v>433</v>
      </c>
      <c r="D165" t="s">
        <v>437</v>
      </c>
      <c r="E165" t="s">
        <v>443</v>
      </c>
      <c r="F165" s="53"/>
      <c r="G165" s="4">
        <v>63</v>
      </c>
      <c r="H165" s="80">
        <v>73</v>
      </c>
      <c r="I165" t="s">
        <v>976</v>
      </c>
    </row>
    <row r="166" spans="1:9" x14ac:dyDescent="0.25">
      <c r="A166" t="s">
        <v>977</v>
      </c>
      <c r="B166" t="s">
        <v>432</v>
      </c>
      <c r="C166" t="s">
        <v>447</v>
      </c>
      <c r="D166" t="s">
        <v>443</v>
      </c>
      <c r="E166" t="s">
        <v>1216</v>
      </c>
      <c r="F166" s="53">
        <v>0.8</v>
      </c>
      <c r="G166" s="4">
        <v>65</v>
      </c>
      <c r="H166" s="80">
        <v>77</v>
      </c>
      <c r="I166" t="s">
        <v>1217</v>
      </c>
    </row>
    <row r="167" spans="1:9" x14ac:dyDescent="0.25">
      <c r="A167" t="s">
        <v>2195</v>
      </c>
      <c r="B167" t="s">
        <v>432</v>
      </c>
      <c r="C167" t="s">
        <v>433</v>
      </c>
      <c r="D167" t="s">
        <v>434</v>
      </c>
      <c r="E167" t="s">
        <v>2196</v>
      </c>
      <c r="F167" s="53">
        <v>0.81499999999999995</v>
      </c>
      <c r="G167" s="548">
        <v>69</v>
      </c>
      <c r="H167" s="80">
        <v>75</v>
      </c>
      <c r="I167" t="s">
        <v>2197</v>
      </c>
    </row>
    <row r="168" spans="1:9" x14ac:dyDescent="0.25">
      <c r="A168" t="s">
        <v>2205</v>
      </c>
      <c r="B168" t="s">
        <v>432</v>
      </c>
      <c r="C168" t="s">
        <v>433</v>
      </c>
      <c r="F168" s="53"/>
      <c r="G168" s="548"/>
      <c r="H168" s="80"/>
    </row>
    <row r="169" spans="1:9" x14ac:dyDescent="0.25">
      <c r="A169" s="20" t="s">
        <v>1652</v>
      </c>
      <c r="B169" s="20" t="s">
        <v>432</v>
      </c>
      <c r="C169" s="20" t="s">
        <v>1626</v>
      </c>
      <c r="D169" s="20" t="s">
        <v>443</v>
      </c>
      <c r="E169" s="20" t="s">
        <v>1199</v>
      </c>
      <c r="F169" s="113">
        <v>0.75</v>
      </c>
      <c r="G169" s="4">
        <v>63</v>
      </c>
      <c r="H169" s="80">
        <v>73</v>
      </c>
      <c r="I169" s="20" t="s">
        <v>1653</v>
      </c>
    </row>
    <row r="170" spans="1:9" x14ac:dyDescent="0.25">
      <c r="A170" s="20" t="s">
        <v>1654</v>
      </c>
      <c r="B170" s="20" t="s">
        <v>432</v>
      </c>
      <c r="C170" s="20" t="s">
        <v>1626</v>
      </c>
      <c r="D170" s="20" t="s">
        <v>443</v>
      </c>
      <c r="E170" s="20" t="s">
        <v>1199</v>
      </c>
      <c r="F170" s="113">
        <v>0.75</v>
      </c>
      <c r="G170" s="4">
        <v>56</v>
      </c>
      <c r="H170" s="80">
        <v>65</v>
      </c>
      <c r="I170" s="20" t="s">
        <v>1655</v>
      </c>
    </row>
    <row r="171" spans="1:9" x14ac:dyDescent="0.25">
      <c r="A171" s="20" t="s">
        <v>1656</v>
      </c>
      <c r="B171" s="20" t="s">
        <v>432</v>
      </c>
      <c r="C171" s="20" t="s">
        <v>1626</v>
      </c>
      <c r="D171" s="20" t="s">
        <v>434</v>
      </c>
      <c r="E171" s="20" t="s">
        <v>1199</v>
      </c>
      <c r="F171" s="113">
        <v>0.75</v>
      </c>
      <c r="G171" s="4">
        <v>60</v>
      </c>
      <c r="H171" s="80">
        <v>69</v>
      </c>
      <c r="I171" s="20" t="s">
        <v>1657</v>
      </c>
    </row>
    <row r="172" spans="1:9" x14ac:dyDescent="0.25">
      <c r="A172" t="s">
        <v>552</v>
      </c>
      <c r="B172" t="s">
        <v>432</v>
      </c>
      <c r="C172" t="s">
        <v>447</v>
      </c>
      <c r="D172" t="s">
        <v>443</v>
      </c>
      <c r="E172" t="s">
        <v>449</v>
      </c>
      <c r="F172" s="53">
        <v>0.75</v>
      </c>
      <c r="G172" s="4">
        <v>55</v>
      </c>
      <c r="H172" s="80">
        <v>68</v>
      </c>
      <c r="I172" t="s">
        <v>553</v>
      </c>
    </row>
    <row r="173" spans="1:9" x14ac:dyDescent="0.25">
      <c r="A173" t="s">
        <v>2151</v>
      </c>
      <c r="B173" t="s">
        <v>432</v>
      </c>
      <c r="C173" t="s">
        <v>433</v>
      </c>
      <c r="D173" t="s">
        <v>434</v>
      </c>
      <c r="E173" t="s">
        <v>563</v>
      </c>
      <c r="F173" s="53">
        <v>0.76500000000000001</v>
      </c>
      <c r="G173" s="548">
        <v>65</v>
      </c>
      <c r="H173" s="80">
        <v>70</v>
      </c>
      <c r="I173" t="s">
        <v>2152</v>
      </c>
    </row>
    <row r="174" spans="1:9" x14ac:dyDescent="0.25">
      <c r="A174" t="s">
        <v>554</v>
      </c>
      <c r="B174" t="s">
        <v>432</v>
      </c>
      <c r="C174" t="s">
        <v>433</v>
      </c>
      <c r="D174" t="s">
        <v>434</v>
      </c>
      <c r="E174" t="s">
        <v>556</v>
      </c>
      <c r="F174" s="53">
        <v>0.75</v>
      </c>
      <c r="G174" s="4">
        <v>65</v>
      </c>
      <c r="H174" s="80">
        <v>69</v>
      </c>
      <c r="I174" t="s">
        <v>557</v>
      </c>
    </row>
    <row r="175" spans="1:9" x14ac:dyDescent="0.25">
      <c r="A175" t="s">
        <v>1030</v>
      </c>
      <c r="B175" t="s">
        <v>432</v>
      </c>
      <c r="C175" t="s">
        <v>433</v>
      </c>
      <c r="D175" t="s">
        <v>434</v>
      </c>
      <c r="E175" t="s">
        <v>473</v>
      </c>
      <c r="F175" s="53">
        <v>0.73</v>
      </c>
      <c r="G175" s="4">
        <v>48</v>
      </c>
      <c r="H175" s="80">
        <v>55</v>
      </c>
      <c r="I175" t="s">
        <v>1031</v>
      </c>
    </row>
    <row r="176" spans="1:9" x14ac:dyDescent="0.25">
      <c r="A176" t="s">
        <v>1032</v>
      </c>
      <c r="B176" t="s">
        <v>432</v>
      </c>
      <c r="C176" t="s">
        <v>433</v>
      </c>
      <c r="D176" t="s">
        <v>434</v>
      </c>
      <c r="E176" t="s">
        <v>532</v>
      </c>
      <c r="F176" s="53">
        <v>0.76500000000000001</v>
      </c>
      <c r="G176" s="4">
        <v>50</v>
      </c>
      <c r="H176" s="80">
        <v>55</v>
      </c>
      <c r="I176" t="s">
        <v>1033</v>
      </c>
    </row>
    <row r="177" spans="1:9" x14ac:dyDescent="0.25">
      <c r="A177" t="s">
        <v>2230</v>
      </c>
      <c r="B177" t="s">
        <v>432</v>
      </c>
      <c r="C177" t="s">
        <v>433</v>
      </c>
      <c r="D177" t="s">
        <v>434</v>
      </c>
      <c r="E177" t="s">
        <v>1223</v>
      </c>
      <c r="F177" s="53">
        <v>0.73</v>
      </c>
      <c r="G177" s="548">
        <v>50</v>
      </c>
      <c r="H177" s="80">
        <v>54</v>
      </c>
      <c r="I177" t="s">
        <v>2231</v>
      </c>
    </row>
    <row r="178" spans="1:9" x14ac:dyDescent="0.25">
      <c r="A178" t="s">
        <v>558</v>
      </c>
      <c r="B178" t="s">
        <v>432</v>
      </c>
      <c r="C178" t="s">
        <v>447</v>
      </c>
      <c r="D178" t="s">
        <v>441</v>
      </c>
      <c r="E178" t="s">
        <v>449</v>
      </c>
      <c r="F178" s="53">
        <v>0.75</v>
      </c>
      <c r="G178" s="4">
        <v>63</v>
      </c>
      <c r="H178" s="80">
        <v>75</v>
      </c>
      <c r="I178" t="s">
        <v>559</v>
      </c>
    </row>
    <row r="179" spans="1:9" x14ac:dyDescent="0.25">
      <c r="A179" t="s">
        <v>2176</v>
      </c>
      <c r="B179" t="s">
        <v>432</v>
      </c>
      <c r="C179" t="s">
        <v>433</v>
      </c>
      <c r="D179" t="s">
        <v>437</v>
      </c>
      <c r="E179" t="s">
        <v>1234</v>
      </c>
      <c r="F179" s="53">
        <v>0.77500000000000002</v>
      </c>
      <c r="G179" s="548">
        <v>66</v>
      </c>
      <c r="H179" s="80">
        <v>70</v>
      </c>
      <c r="I179" t="s">
        <v>2175</v>
      </c>
    </row>
    <row r="180" spans="1:9" x14ac:dyDescent="0.25">
      <c r="A180" s="20" t="s">
        <v>2037</v>
      </c>
      <c r="B180" t="s">
        <v>432</v>
      </c>
      <c r="C180" t="s">
        <v>2024</v>
      </c>
      <c r="D180" t="s">
        <v>443</v>
      </c>
      <c r="E180" s="20" t="s">
        <v>1199</v>
      </c>
      <c r="F180" s="53">
        <v>0.75</v>
      </c>
      <c r="G180" s="4">
        <v>64</v>
      </c>
      <c r="H180" s="80">
        <v>75</v>
      </c>
      <c r="I180" s="20" t="s">
        <v>2038</v>
      </c>
    </row>
    <row r="181" spans="1:9" x14ac:dyDescent="0.25">
      <c r="A181" t="s">
        <v>560</v>
      </c>
      <c r="B181" t="s">
        <v>432</v>
      </c>
      <c r="C181" t="s">
        <v>433</v>
      </c>
      <c r="D181" t="s">
        <v>448</v>
      </c>
      <c r="E181" t="s">
        <v>454</v>
      </c>
      <c r="F181" s="53">
        <v>0.74</v>
      </c>
      <c r="G181" s="4">
        <v>68</v>
      </c>
      <c r="H181" s="80">
        <v>72</v>
      </c>
      <c r="I181" t="s">
        <v>561</v>
      </c>
    </row>
    <row r="182" spans="1:9" x14ac:dyDescent="0.25">
      <c r="A182" t="s">
        <v>562</v>
      </c>
      <c r="B182" t="s">
        <v>432</v>
      </c>
      <c r="C182" t="s">
        <v>433</v>
      </c>
      <c r="D182" t="s">
        <v>443</v>
      </c>
      <c r="E182" t="s">
        <v>563</v>
      </c>
      <c r="F182" s="53">
        <v>0.76500000000000001</v>
      </c>
      <c r="G182" s="4">
        <v>66</v>
      </c>
      <c r="H182" s="80">
        <v>70</v>
      </c>
      <c r="I182" t="s">
        <v>564</v>
      </c>
    </row>
    <row r="183" spans="1:9" x14ac:dyDescent="0.25">
      <c r="A183" t="s">
        <v>1218</v>
      </c>
      <c r="B183" t="s">
        <v>432</v>
      </c>
      <c r="C183" t="s">
        <v>447</v>
      </c>
      <c r="D183" t="s">
        <v>434</v>
      </c>
      <c r="E183" t="s">
        <v>1219</v>
      </c>
      <c r="F183" s="53">
        <v>0.72</v>
      </c>
      <c r="G183" s="4">
        <v>48</v>
      </c>
      <c r="H183" s="80">
        <v>56</v>
      </c>
      <c r="I183" t="s">
        <v>1220</v>
      </c>
    </row>
    <row r="184" spans="1:9" x14ac:dyDescent="0.25">
      <c r="A184" t="s">
        <v>2237</v>
      </c>
      <c r="B184" t="s">
        <v>432</v>
      </c>
      <c r="C184" t="s">
        <v>433</v>
      </c>
      <c r="D184" t="s">
        <v>434</v>
      </c>
      <c r="E184" t="s">
        <v>2238</v>
      </c>
      <c r="F184" s="53">
        <v>0.77500000000000002</v>
      </c>
      <c r="G184" s="548">
        <v>62</v>
      </c>
      <c r="H184" s="80">
        <v>68</v>
      </c>
      <c r="I184" t="s">
        <v>2239</v>
      </c>
    </row>
    <row r="185" spans="1:9" x14ac:dyDescent="0.25">
      <c r="A185" t="s">
        <v>2030</v>
      </c>
      <c r="B185" t="s">
        <v>432</v>
      </c>
      <c r="C185" t="s">
        <v>2024</v>
      </c>
      <c r="D185" t="s">
        <v>441</v>
      </c>
      <c r="E185" t="s">
        <v>2028</v>
      </c>
      <c r="F185" s="53">
        <v>0.78500000000000003</v>
      </c>
      <c r="G185" s="4">
        <v>72</v>
      </c>
      <c r="H185" s="80">
        <v>98</v>
      </c>
      <c r="I185" t="s">
        <v>2031</v>
      </c>
    </row>
    <row r="186" spans="1:9" x14ac:dyDescent="0.25">
      <c r="A186" t="s">
        <v>2023</v>
      </c>
      <c r="B186" t="s">
        <v>432</v>
      </c>
      <c r="C186" t="s">
        <v>2024</v>
      </c>
      <c r="D186" t="s">
        <v>437</v>
      </c>
      <c r="E186" t="s">
        <v>2025</v>
      </c>
      <c r="F186" s="53">
        <v>0.8</v>
      </c>
      <c r="G186" s="4">
        <v>72</v>
      </c>
      <c r="H186" s="80">
        <v>98</v>
      </c>
      <c r="I186" t="s">
        <v>2026</v>
      </c>
    </row>
    <row r="187" spans="1:9" x14ac:dyDescent="0.25">
      <c r="A187" t="s">
        <v>565</v>
      </c>
      <c r="B187" t="s">
        <v>432</v>
      </c>
      <c r="C187" t="s">
        <v>447</v>
      </c>
      <c r="D187" t="s">
        <v>434</v>
      </c>
      <c r="E187" t="s">
        <v>574</v>
      </c>
      <c r="F187" s="53">
        <v>0.73</v>
      </c>
      <c r="G187" s="4">
        <v>62</v>
      </c>
      <c r="H187" s="80">
        <v>72</v>
      </c>
      <c r="I187" t="s">
        <v>566</v>
      </c>
    </row>
    <row r="188" spans="1:9" x14ac:dyDescent="0.25">
      <c r="A188" s="20" t="s">
        <v>2055</v>
      </c>
      <c r="B188" t="s">
        <v>432</v>
      </c>
      <c r="C188" t="s">
        <v>2024</v>
      </c>
      <c r="D188" t="s">
        <v>434</v>
      </c>
      <c r="E188" s="20" t="s">
        <v>2056</v>
      </c>
      <c r="F188" s="113">
        <v>0.72</v>
      </c>
      <c r="G188" s="4">
        <v>62</v>
      </c>
      <c r="H188" s="80">
        <v>72</v>
      </c>
      <c r="I188" s="20" t="s">
        <v>2057</v>
      </c>
    </row>
    <row r="189" spans="1:9" x14ac:dyDescent="0.25">
      <c r="A189" t="s">
        <v>567</v>
      </c>
      <c r="B189" t="s">
        <v>432</v>
      </c>
      <c r="C189" t="s">
        <v>433</v>
      </c>
      <c r="D189" t="s">
        <v>437</v>
      </c>
      <c r="E189" t="s">
        <v>1071</v>
      </c>
      <c r="F189" s="53">
        <v>0.71499999999999997</v>
      </c>
      <c r="G189" s="4">
        <v>65</v>
      </c>
      <c r="H189" s="80">
        <v>68</v>
      </c>
      <c r="I189" t="s">
        <v>568</v>
      </c>
    </row>
    <row r="190" spans="1:9" x14ac:dyDescent="0.25">
      <c r="A190" t="s">
        <v>2032</v>
      </c>
      <c r="B190" t="s">
        <v>432</v>
      </c>
      <c r="C190" t="s">
        <v>2024</v>
      </c>
      <c r="D190" t="s">
        <v>448</v>
      </c>
      <c r="E190" t="s">
        <v>2033</v>
      </c>
      <c r="F190" s="53">
        <v>0.82499999999999996</v>
      </c>
      <c r="G190" s="4">
        <v>70</v>
      </c>
      <c r="H190" s="80">
        <v>95</v>
      </c>
      <c r="I190" t="s">
        <v>2034</v>
      </c>
    </row>
    <row r="191" spans="1:9" x14ac:dyDescent="0.25">
      <c r="A191" t="s">
        <v>1191</v>
      </c>
      <c r="B191" t="s">
        <v>432</v>
      </c>
      <c r="C191" t="s">
        <v>898</v>
      </c>
      <c r="D191" t="s">
        <v>441</v>
      </c>
      <c r="F191" s="53">
        <v>0.75</v>
      </c>
      <c r="G191" s="4">
        <v>46</v>
      </c>
      <c r="H191" s="80">
        <v>54</v>
      </c>
      <c r="I191" t="s">
        <v>1192</v>
      </c>
    </row>
    <row r="192" spans="1:9" x14ac:dyDescent="0.25">
      <c r="A192" t="s">
        <v>2172</v>
      </c>
      <c r="B192" t="s">
        <v>432</v>
      </c>
      <c r="C192" t="s">
        <v>433</v>
      </c>
      <c r="D192" t="s">
        <v>434</v>
      </c>
      <c r="E192" t="s">
        <v>1234</v>
      </c>
      <c r="F192" s="53">
        <v>0.77500000000000002</v>
      </c>
      <c r="G192" s="548">
        <v>72</v>
      </c>
      <c r="H192" s="80">
        <v>77</v>
      </c>
      <c r="I192" t="s">
        <v>2171</v>
      </c>
    </row>
    <row r="193" spans="1:9" x14ac:dyDescent="0.25">
      <c r="A193" t="s">
        <v>2173</v>
      </c>
      <c r="B193" t="s">
        <v>432</v>
      </c>
      <c r="C193" t="s">
        <v>433</v>
      </c>
      <c r="D193" t="s">
        <v>434</v>
      </c>
      <c r="E193" t="s">
        <v>2163</v>
      </c>
      <c r="F193" s="53">
        <v>0.7</v>
      </c>
      <c r="G193" s="548">
        <v>66</v>
      </c>
      <c r="H193" s="80">
        <v>70</v>
      </c>
      <c r="I193" t="s">
        <v>2164</v>
      </c>
    </row>
    <row r="194" spans="1:9" x14ac:dyDescent="0.25">
      <c r="A194" t="s">
        <v>569</v>
      </c>
      <c r="B194" t="s">
        <v>432</v>
      </c>
      <c r="C194" t="s">
        <v>447</v>
      </c>
      <c r="D194" t="s">
        <v>443</v>
      </c>
      <c r="E194" t="s">
        <v>449</v>
      </c>
      <c r="F194" s="53">
        <v>0.75</v>
      </c>
      <c r="G194" s="4">
        <v>56</v>
      </c>
      <c r="H194" s="80">
        <v>70</v>
      </c>
      <c r="I194" t="s">
        <v>570</v>
      </c>
    </row>
    <row r="195" spans="1:9" x14ac:dyDescent="0.25">
      <c r="A195" s="20" t="s">
        <v>2040</v>
      </c>
      <c r="B195" t="s">
        <v>432</v>
      </c>
      <c r="C195" t="s">
        <v>2024</v>
      </c>
      <c r="D195" t="s">
        <v>434</v>
      </c>
      <c r="E195" s="20" t="s">
        <v>1231</v>
      </c>
      <c r="F195" s="53">
        <v>0.75</v>
      </c>
      <c r="G195" s="4">
        <v>65</v>
      </c>
      <c r="H195" s="80">
        <v>69</v>
      </c>
      <c r="I195" s="20" t="s">
        <v>2041</v>
      </c>
    </row>
    <row r="196" spans="1:9" x14ac:dyDescent="0.25">
      <c r="A196" t="s">
        <v>1221</v>
      </c>
      <c r="B196" t="s">
        <v>432</v>
      </c>
      <c r="C196" t="s">
        <v>447</v>
      </c>
      <c r="D196" t="s">
        <v>443</v>
      </c>
      <c r="E196" t="s">
        <v>1199</v>
      </c>
      <c r="F196" s="53">
        <v>0.75</v>
      </c>
      <c r="G196" s="4">
        <v>56</v>
      </c>
      <c r="H196" s="80">
        <v>70</v>
      </c>
      <c r="I196" t="s">
        <v>1222</v>
      </c>
    </row>
    <row r="197" spans="1:9" x14ac:dyDescent="0.25">
      <c r="A197" t="s">
        <v>1106</v>
      </c>
      <c r="B197" t="s">
        <v>432</v>
      </c>
      <c r="C197" t="s">
        <v>898</v>
      </c>
      <c r="D197" t="s">
        <v>441</v>
      </c>
      <c r="E197" t="s">
        <v>434</v>
      </c>
      <c r="F197" s="53">
        <v>0.76500000000000001</v>
      </c>
      <c r="G197" s="4">
        <v>58</v>
      </c>
      <c r="H197" s="80">
        <v>66</v>
      </c>
      <c r="I197" t="s">
        <v>1188</v>
      </c>
    </row>
    <row r="198" spans="1:9" x14ac:dyDescent="0.25">
      <c r="A198" t="s">
        <v>2243</v>
      </c>
      <c r="B198" t="s">
        <v>432</v>
      </c>
      <c r="C198" t="s">
        <v>433</v>
      </c>
      <c r="F198" s="53"/>
      <c r="G198" s="548"/>
      <c r="H198" s="80"/>
      <c r="I198" t="s">
        <v>2198</v>
      </c>
    </row>
    <row r="199" spans="1:9" x14ac:dyDescent="0.25">
      <c r="A199" s="20" t="s">
        <v>1673</v>
      </c>
      <c r="B199" s="20" t="s">
        <v>432</v>
      </c>
      <c r="C199" s="20" t="s">
        <v>1626</v>
      </c>
      <c r="D199" s="20" t="s">
        <v>437</v>
      </c>
      <c r="E199" s="20" t="s">
        <v>1674</v>
      </c>
      <c r="F199" s="113">
        <v>0.73</v>
      </c>
      <c r="G199" s="4">
        <v>55</v>
      </c>
      <c r="H199" s="80">
        <v>65</v>
      </c>
      <c r="I199" s="20" t="s">
        <v>1675</v>
      </c>
    </row>
    <row r="200" spans="1:9" x14ac:dyDescent="0.25">
      <c r="A200" s="20" t="s">
        <v>1676</v>
      </c>
      <c r="B200" s="20" t="s">
        <v>432</v>
      </c>
      <c r="C200" s="20" t="s">
        <v>1626</v>
      </c>
      <c r="D200" s="20" t="s">
        <v>448</v>
      </c>
      <c r="E200" s="20" t="s">
        <v>1199</v>
      </c>
      <c r="F200" s="113">
        <v>0.75</v>
      </c>
      <c r="G200" s="4">
        <v>46</v>
      </c>
      <c r="H200" s="80">
        <v>56</v>
      </c>
      <c r="I200" s="20" t="s">
        <v>1677</v>
      </c>
    </row>
    <row r="201" spans="1:9" x14ac:dyDescent="0.25">
      <c r="A201" s="20" t="s">
        <v>1678</v>
      </c>
      <c r="B201" s="20" t="s">
        <v>432</v>
      </c>
      <c r="C201" s="20" t="s">
        <v>1626</v>
      </c>
      <c r="D201" s="20" t="s">
        <v>434</v>
      </c>
      <c r="E201" s="20" t="s">
        <v>1219</v>
      </c>
      <c r="F201" s="113">
        <v>0.72</v>
      </c>
      <c r="G201" s="4">
        <v>50</v>
      </c>
      <c r="H201" s="80">
        <v>60</v>
      </c>
      <c r="I201" s="20" t="s">
        <v>1679</v>
      </c>
    </row>
    <row r="202" spans="1:9" x14ac:dyDescent="0.25">
      <c r="A202" s="20" t="s">
        <v>1680</v>
      </c>
      <c r="B202" s="20" t="s">
        <v>432</v>
      </c>
      <c r="C202" s="20" t="s">
        <v>1626</v>
      </c>
      <c r="D202" s="20" t="s">
        <v>434</v>
      </c>
      <c r="E202" s="20" t="s">
        <v>1674</v>
      </c>
      <c r="F202" s="113">
        <v>0.73</v>
      </c>
      <c r="G202" s="4">
        <v>52</v>
      </c>
      <c r="H202" s="80">
        <v>58</v>
      </c>
      <c r="I202" s="20" t="s">
        <v>1681</v>
      </c>
    </row>
    <row r="203" spans="1:9" x14ac:dyDescent="0.25">
      <c r="A203" t="s">
        <v>1017</v>
      </c>
      <c r="B203" t="s">
        <v>432</v>
      </c>
      <c r="C203" t="s">
        <v>447</v>
      </c>
      <c r="E203" t="s">
        <v>145</v>
      </c>
      <c r="F203" s="53"/>
      <c r="G203" s="4">
        <v>60</v>
      </c>
      <c r="H203" s="80">
        <v>95</v>
      </c>
      <c r="I203" t="s">
        <v>1018</v>
      </c>
    </row>
    <row r="204" spans="1:9" x14ac:dyDescent="0.25">
      <c r="A204" t="s">
        <v>2218</v>
      </c>
      <c r="B204" t="s">
        <v>432</v>
      </c>
      <c r="C204" t="s">
        <v>433</v>
      </c>
      <c r="D204" t="s">
        <v>443</v>
      </c>
      <c r="F204" s="53"/>
      <c r="G204" s="548"/>
      <c r="H204" s="80"/>
      <c r="I204" t="s">
        <v>2217</v>
      </c>
    </row>
    <row r="205" spans="1:9" x14ac:dyDescent="0.25">
      <c r="A205" t="s">
        <v>2219</v>
      </c>
      <c r="B205" t="s">
        <v>432</v>
      </c>
      <c r="C205" t="s">
        <v>433</v>
      </c>
      <c r="F205" s="53"/>
      <c r="G205" s="548"/>
      <c r="H205" s="80"/>
      <c r="I205" t="s">
        <v>2220</v>
      </c>
    </row>
    <row r="206" spans="1:9" x14ac:dyDescent="0.25">
      <c r="A206" t="s">
        <v>2222</v>
      </c>
      <c r="B206" t="s">
        <v>432</v>
      </c>
      <c r="C206" t="s">
        <v>433</v>
      </c>
      <c r="D206" t="s">
        <v>2213</v>
      </c>
      <c r="F206" s="53"/>
      <c r="G206" s="548">
        <v>70</v>
      </c>
      <c r="H206" s="80">
        <v>75</v>
      </c>
      <c r="I206" t="s">
        <v>2223</v>
      </c>
    </row>
    <row r="207" spans="1:9" x14ac:dyDescent="0.25">
      <c r="A207" t="s">
        <v>2224</v>
      </c>
      <c r="B207" t="s">
        <v>432</v>
      </c>
      <c r="C207" t="s">
        <v>433</v>
      </c>
      <c r="F207" s="53"/>
      <c r="G207" s="548"/>
      <c r="H207" s="80"/>
      <c r="I207" t="s">
        <v>2225</v>
      </c>
    </row>
    <row r="208" spans="1:9" x14ac:dyDescent="0.25">
      <c r="A208" t="s">
        <v>2215</v>
      </c>
      <c r="B208" t="s">
        <v>432</v>
      </c>
      <c r="C208" t="s">
        <v>433</v>
      </c>
      <c r="F208" s="53"/>
      <c r="G208" s="548"/>
      <c r="H208" s="80"/>
      <c r="I208" t="s">
        <v>2216</v>
      </c>
    </row>
    <row r="209" spans="1:9" x14ac:dyDescent="0.25">
      <c r="A209" t="s">
        <v>2244</v>
      </c>
      <c r="B209" t="s">
        <v>432</v>
      </c>
      <c r="C209" t="s">
        <v>433</v>
      </c>
      <c r="D209" t="s">
        <v>443</v>
      </c>
      <c r="E209" t="s">
        <v>2193</v>
      </c>
      <c r="F209" s="53">
        <v>0.79</v>
      </c>
      <c r="G209" s="548">
        <v>66</v>
      </c>
      <c r="H209" s="80">
        <v>75</v>
      </c>
      <c r="I209" t="s">
        <v>2194</v>
      </c>
    </row>
    <row r="210" spans="1:9" x14ac:dyDescent="0.25">
      <c r="A210" t="s">
        <v>978</v>
      </c>
      <c r="B210" t="s">
        <v>432</v>
      </c>
      <c r="C210" t="s">
        <v>447</v>
      </c>
      <c r="D210" t="s">
        <v>443</v>
      </c>
      <c r="E210" t="s">
        <v>1223</v>
      </c>
      <c r="F210" s="53">
        <v>0.73</v>
      </c>
      <c r="G210" s="4">
        <v>64</v>
      </c>
      <c r="H210" s="80">
        <v>75</v>
      </c>
      <c r="I210" t="s">
        <v>1224</v>
      </c>
    </row>
    <row r="211" spans="1:9" x14ac:dyDescent="0.25">
      <c r="A211" t="s">
        <v>571</v>
      </c>
      <c r="B211" t="s">
        <v>432</v>
      </c>
      <c r="C211" t="s">
        <v>447</v>
      </c>
      <c r="D211" t="s">
        <v>448</v>
      </c>
      <c r="E211" t="s">
        <v>449</v>
      </c>
      <c r="F211" s="53">
        <v>0.75</v>
      </c>
      <c r="G211" s="4">
        <v>60</v>
      </c>
      <c r="H211" s="80">
        <v>72</v>
      </c>
      <c r="I211" t="s">
        <v>572</v>
      </c>
    </row>
    <row r="212" spans="1:9" x14ac:dyDescent="0.25">
      <c r="A212" t="s">
        <v>573</v>
      </c>
      <c r="B212" t="s">
        <v>432</v>
      </c>
      <c r="C212" t="s">
        <v>447</v>
      </c>
      <c r="D212" t="s">
        <v>441</v>
      </c>
      <c r="E212" t="s">
        <v>574</v>
      </c>
      <c r="F212" s="53">
        <v>0.73</v>
      </c>
      <c r="G212" s="4">
        <v>64</v>
      </c>
      <c r="H212" s="80">
        <v>74</v>
      </c>
      <c r="I212" t="s">
        <v>575</v>
      </c>
    </row>
    <row r="213" spans="1:9" x14ac:dyDescent="0.25">
      <c r="A213" t="s">
        <v>576</v>
      </c>
      <c r="B213" t="s">
        <v>432</v>
      </c>
      <c r="C213" t="s">
        <v>433</v>
      </c>
      <c r="D213" t="s">
        <v>434</v>
      </c>
      <c r="E213" t="s">
        <v>577</v>
      </c>
      <c r="F213" s="53">
        <v>0.71</v>
      </c>
      <c r="G213" s="4">
        <v>66</v>
      </c>
      <c r="H213" s="80">
        <v>71</v>
      </c>
      <c r="I213" t="s">
        <v>578</v>
      </c>
    </row>
    <row r="214" spans="1:9" x14ac:dyDescent="0.25">
      <c r="A214" t="s">
        <v>2085</v>
      </c>
      <c r="B214" t="s">
        <v>507</v>
      </c>
      <c r="C214" t="s">
        <v>883</v>
      </c>
      <c r="D214" t="s">
        <v>443</v>
      </c>
      <c r="E214" t="s">
        <v>434</v>
      </c>
      <c r="F214" s="53"/>
      <c r="G214" s="41">
        <v>65</v>
      </c>
      <c r="H214" s="524">
        <v>72</v>
      </c>
      <c r="I214" t="s">
        <v>2086</v>
      </c>
    </row>
    <row r="215" spans="1:9" x14ac:dyDescent="0.25">
      <c r="A215" t="s">
        <v>579</v>
      </c>
      <c r="B215" t="s">
        <v>432</v>
      </c>
      <c r="C215" t="s">
        <v>447</v>
      </c>
      <c r="D215" t="s">
        <v>441</v>
      </c>
      <c r="E215" t="s">
        <v>545</v>
      </c>
      <c r="F215" s="53">
        <v>0.69</v>
      </c>
      <c r="G215" s="41">
        <v>64</v>
      </c>
      <c r="H215" s="81">
        <v>72</v>
      </c>
      <c r="I215" t="s">
        <v>580</v>
      </c>
    </row>
    <row r="216" spans="1:9" x14ac:dyDescent="0.25">
      <c r="A216" t="s">
        <v>2148</v>
      </c>
      <c r="B216" t="s">
        <v>432</v>
      </c>
      <c r="C216" t="s">
        <v>433</v>
      </c>
      <c r="D216" t="s">
        <v>448</v>
      </c>
      <c r="E216" t="s">
        <v>2149</v>
      </c>
      <c r="F216" s="53">
        <v>0.78500000000000003</v>
      </c>
      <c r="G216" s="549">
        <v>64</v>
      </c>
      <c r="H216" s="524">
        <v>72</v>
      </c>
      <c r="I216" t="s">
        <v>2150</v>
      </c>
    </row>
    <row r="217" spans="1:9" x14ac:dyDescent="0.25">
      <c r="A217" t="s">
        <v>891</v>
      </c>
      <c r="B217" t="s">
        <v>432</v>
      </c>
      <c r="C217" t="s">
        <v>892</v>
      </c>
      <c r="D217" t="s">
        <v>441</v>
      </c>
      <c r="E217" t="s">
        <v>527</v>
      </c>
      <c r="F217" s="53">
        <v>0.75</v>
      </c>
      <c r="G217" s="4">
        <v>68</v>
      </c>
      <c r="H217" s="80">
        <v>75</v>
      </c>
      <c r="I217" t="s">
        <v>893</v>
      </c>
    </row>
    <row r="218" spans="1:9" x14ac:dyDescent="0.25">
      <c r="A218" t="s">
        <v>2221</v>
      </c>
      <c r="B218" t="s">
        <v>432</v>
      </c>
      <c r="C218" t="s">
        <v>433</v>
      </c>
      <c r="F218" s="53"/>
      <c r="G218" s="548"/>
      <c r="H218" s="80"/>
    </row>
    <row r="219" spans="1:9" x14ac:dyDescent="0.25">
      <c r="A219" t="s">
        <v>1072</v>
      </c>
      <c r="B219" t="s">
        <v>432</v>
      </c>
      <c r="C219" t="s">
        <v>433</v>
      </c>
      <c r="D219" t="s">
        <v>437</v>
      </c>
      <c r="E219" t="s">
        <v>434</v>
      </c>
      <c r="F219" s="53">
        <v>0.72</v>
      </c>
      <c r="G219" s="4">
        <v>65</v>
      </c>
      <c r="H219" s="80">
        <v>70</v>
      </c>
      <c r="I219" t="s">
        <v>1073</v>
      </c>
    </row>
    <row r="220" spans="1:9" x14ac:dyDescent="0.25">
      <c r="A220" t="s">
        <v>2190</v>
      </c>
      <c r="B220" t="s">
        <v>432</v>
      </c>
      <c r="C220" t="s">
        <v>433</v>
      </c>
      <c r="D220" t="s">
        <v>443</v>
      </c>
      <c r="E220" t="s">
        <v>2191</v>
      </c>
      <c r="F220" s="53">
        <v>0.67500000000000004</v>
      </c>
      <c r="G220" s="548">
        <v>65</v>
      </c>
      <c r="H220" s="80">
        <v>75</v>
      </c>
      <c r="I220" t="s">
        <v>2192</v>
      </c>
    </row>
    <row r="221" spans="1:9" x14ac:dyDescent="0.25">
      <c r="A221" t="s">
        <v>2245</v>
      </c>
      <c r="B221" t="s">
        <v>432</v>
      </c>
      <c r="C221" t="s">
        <v>433</v>
      </c>
      <c r="D221" t="s">
        <v>434</v>
      </c>
      <c r="E221" t="s">
        <v>1214</v>
      </c>
      <c r="F221" s="53">
        <v>0.76</v>
      </c>
      <c r="G221" s="548"/>
      <c r="H221" s="80"/>
      <c r="I221" t="s">
        <v>2167</v>
      </c>
    </row>
    <row r="222" spans="1:9" x14ac:dyDescent="0.25">
      <c r="A222" t="s">
        <v>929</v>
      </c>
      <c r="B222" t="s">
        <v>432</v>
      </c>
      <c r="C222" t="s">
        <v>433</v>
      </c>
      <c r="D222" t="s">
        <v>434</v>
      </c>
      <c r="E222" t="s">
        <v>930</v>
      </c>
      <c r="F222" s="53">
        <v>0.74</v>
      </c>
      <c r="G222" s="4">
        <v>50</v>
      </c>
      <c r="H222" s="80">
        <v>55</v>
      </c>
      <c r="I222" t="s">
        <v>931</v>
      </c>
    </row>
    <row r="223" spans="1:9" x14ac:dyDescent="0.25">
      <c r="A223" t="s">
        <v>2186</v>
      </c>
      <c r="B223" t="s">
        <v>432</v>
      </c>
      <c r="C223" t="s">
        <v>433</v>
      </c>
      <c r="D223" t="s">
        <v>448</v>
      </c>
      <c r="E223" t="s">
        <v>1234</v>
      </c>
      <c r="F223" s="53">
        <v>0.77500000000000002</v>
      </c>
      <c r="G223" s="548">
        <v>65</v>
      </c>
      <c r="H223" s="80">
        <v>72</v>
      </c>
      <c r="I223" t="s">
        <v>2187</v>
      </c>
    </row>
    <row r="224" spans="1:9" x14ac:dyDescent="0.25">
      <c r="A224" s="20" t="s">
        <v>2087</v>
      </c>
      <c r="B224" t="s">
        <v>507</v>
      </c>
      <c r="C224" t="s">
        <v>883</v>
      </c>
      <c r="D224" t="s">
        <v>443</v>
      </c>
      <c r="E224" t="s">
        <v>2088</v>
      </c>
      <c r="F224" s="53"/>
      <c r="G224" s="4">
        <v>63</v>
      </c>
      <c r="H224" s="80">
        <v>72</v>
      </c>
      <c r="I224" t="s">
        <v>2089</v>
      </c>
    </row>
    <row r="225" spans="1:9" x14ac:dyDescent="0.25">
      <c r="A225" t="s">
        <v>1076</v>
      </c>
      <c r="B225" t="s">
        <v>432</v>
      </c>
      <c r="C225" t="s">
        <v>898</v>
      </c>
      <c r="D225" t="s">
        <v>434</v>
      </c>
      <c r="E225" t="s">
        <v>434</v>
      </c>
      <c r="F225" s="53"/>
      <c r="G225" s="4">
        <v>46</v>
      </c>
      <c r="H225" s="80">
        <v>54</v>
      </c>
      <c r="I225" t="s">
        <v>1077</v>
      </c>
    </row>
    <row r="226" spans="1:9" x14ac:dyDescent="0.25">
      <c r="A226" t="s">
        <v>932</v>
      </c>
      <c r="B226" t="s">
        <v>432</v>
      </c>
      <c r="C226" t="s">
        <v>433</v>
      </c>
      <c r="D226" t="s">
        <v>434</v>
      </c>
      <c r="E226" t="s">
        <v>434</v>
      </c>
      <c r="F226" s="53">
        <v>0.7</v>
      </c>
      <c r="G226" s="4">
        <v>48</v>
      </c>
      <c r="H226" s="80">
        <v>52</v>
      </c>
      <c r="I226" t="s">
        <v>933</v>
      </c>
    </row>
    <row r="227" spans="1:9" x14ac:dyDescent="0.25">
      <c r="A227" t="s">
        <v>1034</v>
      </c>
      <c r="B227" t="s">
        <v>432</v>
      </c>
      <c r="C227" t="s">
        <v>447</v>
      </c>
      <c r="D227" t="s">
        <v>434</v>
      </c>
      <c r="E227" t="s">
        <v>1035</v>
      </c>
      <c r="F227" s="53">
        <v>0.72</v>
      </c>
      <c r="G227" s="4">
        <v>48</v>
      </c>
      <c r="H227" s="80">
        <v>56</v>
      </c>
      <c r="I227" t="s">
        <v>1036</v>
      </c>
    </row>
    <row r="228" spans="1:9" x14ac:dyDescent="0.25">
      <c r="A228" t="s">
        <v>1037</v>
      </c>
      <c r="B228" t="s">
        <v>432</v>
      </c>
      <c r="C228" t="s">
        <v>447</v>
      </c>
      <c r="D228" t="s">
        <v>434</v>
      </c>
      <c r="E228" t="s">
        <v>1225</v>
      </c>
      <c r="F228" s="53">
        <v>0.73</v>
      </c>
      <c r="G228" s="4">
        <v>52</v>
      </c>
      <c r="H228" s="80">
        <v>62</v>
      </c>
      <c r="I228" t="s">
        <v>1038</v>
      </c>
    </row>
    <row r="229" spans="1:9" x14ac:dyDescent="0.25">
      <c r="A229" s="20" t="s">
        <v>1262</v>
      </c>
      <c r="B229" t="s">
        <v>507</v>
      </c>
      <c r="C229" t="s">
        <v>883</v>
      </c>
      <c r="D229" t="s">
        <v>1111</v>
      </c>
      <c r="E229" t="s">
        <v>434</v>
      </c>
      <c r="F229" s="53">
        <v>0.7</v>
      </c>
      <c r="G229" s="4">
        <v>63</v>
      </c>
      <c r="H229" s="80">
        <v>72</v>
      </c>
      <c r="I229" t="s">
        <v>1112</v>
      </c>
    </row>
    <row r="230" spans="1:9" x14ac:dyDescent="0.25">
      <c r="A230" t="s">
        <v>581</v>
      </c>
      <c r="B230" t="s">
        <v>507</v>
      </c>
      <c r="C230" t="s">
        <v>582</v>
      </c>
      <c r="D230" t="s">
        <v>441</v>
      </c>
      <c r="E230" t="s">
        <v>441</v>
      </c>
      <c r="F230" s="53"/>
      <c r="G230" s="4">
        <v>57</v>
      </c>
      <c r="H230" s="80">
        <v>77</v>
      </c>
      <c r="I230" t="s">
        <v>583</v>
      </c>
    </row>
    <row r="231" spans="1:9" x14ac:dyDescent="0.25">
      <c r="A231" t="s">
        <v>584</v>
      </c>
      <c r="B231" t="s">
        <v>507</v>
      </c>
      <c r="C231" t="s">
        <v>582</v>
      </c>
      <c r="D231" t="s">
        <v>441</v>
      </c>
      <c r="E231" t="s">
        <v>441</v>
      </c>
      <c r="F231" s="53"/>
      <c r="G231" s="4">
        <v>57</v>
      </c>
      <c r="H231" s="80">
        <v>77</v>
      </c>
      <c r="I231" t="s">
        <v>585</v>
      </c>
    </row>
    <row r="232" spans="1:9" x14ac:dyDescent="0.25">
      <c r="A232" t="s">
        <v>894</v>
      </c>
      <c r="B232" t="s">
        <v>432</v>
      </c>
      <c r="C232" t="s">
        <v>433</v>
      </c>
      <c r="D232" t="s">
        <v>434</v>
      </c>
      <c r="E232" t="s">
        <v>895</v>
      </c>
      <c r="F232" s="53">
        <v>0.80500000000000005</v>
      </c>
      <c r="G232" s="4">
        <v>76</v>
      </c>
      <c r="H232" s="80">
        <v>85</v>
      </c>
      <c r="I232" t="s">
        <v>896</v>
      </c>
    </row>
    <row r="233" spans="1:9" x14ac:dyDescent="0.25">
      <c r="A233" t="s">
        <v>2090</v>
      </c>
      <c r="B233" t="s">
        <v>507</v>
      </c>
      <c r="C233" t="s">
        <v>883</v>
      </c>
      <c r="D233" t="s">
        <v>434</v>
      </c>
      <c r="F233" s="53" t="s">
        <v>434</v>
      </c>
      <c r="G233" s="4">
        <v>59</v>
      </c>
      <c r="H233" s="80">
        <v>72</v>
      </c>
      <c r="I233" t="s">
        <v>2091</v>
      </c>
    </row>
    <row r="234" spans="1:9" x14ac:dyDescent="0.25">
      <c r="A234" t="s">
        <v>2202</v>
      </c>
      <c r="B234" t="s">
        <v>432</v>
      </c>
      <c r="C234" t="s">
        <v>433</v>
      </c>
      <c r="D234" t="s">
        <v>448</v>
      </c>
      <c r="E234" t="s">
        <v>2203</v>
      </c>
      <c r="F234" s="53">
        <v>0.7</v>
      </c>
      <c r="G234" s="548"/>
      <c r="H234" s="80"/>
      <c r="I234" t="s">
        <v>2204</v>
      </c>
    </row>
    <row r="235" spans="1:9" x14ac:dyDescent="0.25">
      <c r="A235" t="s">
        <v>1052</v>
      </c>
      <c r="B235" t="s">
        <v>507</v>
      </c>
      <c r="C235" t="s">
        <v>910</v>
      </c>
      <c r="D235" t="s">
        <v>434</v>
      </c>
      <c r="E235" t="s">
        <v>434</v>
      </c>
      <c r="F235" s="53"/>
      <c r="G235" s="4">
        <v>64</v>
      </c>
      <c r="H235" s="80">
        <v>72</v>
      </c>
      <c r="I235" t="s">
        <v>1053</v>
      </c>
    </row>
    <row r="236" spans="1:9" x14ac:dyDescent="0.25">
      <c r="A236" t="s">
        <v>934</v>
      </c>
      <c r="B236" t="s">
        <v>432</v>
      </c>
      <c r="C236" t="s">
        <v>447</v>
      </c>
      <c r="D236" t="s">
        <v>441</v>
      </c>
      <c r="E236" t="s">
        <v>1223</v>
      </c>
      <c r="F236" s="53">
        <v>0.73</v>
      </c>
      <c r="G236" s="4">
        <v>52</v>
      </c>
      <c r="H236" s="80">
        <v>58</v>
      </c>
      <c r="I236" t="s">
        <v>1226</v>
      </c>
    </row>
    <row r="237" spans="1:9" x14ac:dyDescent="0.25">
      <c r="A237" t="s">
        <v>1086</v>
      </c>
      <c r="B237" t="s">
        <v>432</v>
      </c>
      <c r="C237" t="s">
        <v>440</v>
      </c>
      <c r="D237" t="s">
        <v>443</v>
      </c>
      <c r="E237" t="s">
        <v>441</v>
      </c>
      <c r="F237" s="53"/>
      <c r="G237" s="4">
        <v>68</v>
      </c>
      <c r="H237" s="80">
        <v>72</v>
      </c>
      <c r="I237" t="s">
        <v>1087</v>
      </c>
    </row>
    <row r="238" spans="1:9" x14ac:dyDescent="0.25">
      <c r="A238" t="s">
        <v>897</v>
      </c>
      <c r="B238" t="s">
        <v>432</v>
      </c>
      <c r="C238" t="s">
        <v>898</v>
      </c>
      <c r="D238" t="s">
        <v>441</v>
      </c>
      <c r="E238" t="s">
        <v>441</v>
      </c>
      <c r="F238" s="53"/>
      <c r="G238" s="4">
        <v>65</v>
      </c>
      <c r="H238" s="80">
        <v>70</v>
      </c>
      <c r="I238" t="s">
        <v>899</v>
      </c>
    </row>
    <row r="239" spans="1:9" x14ac:dyDescent="0.25">
      <c r="A239" t="s">
        <v>586</v>
      </c>
      <c r="B239" t="s">
        <v>432</v>
      </c>
      <c r="C239" t="s">
        <v>447</v>
      </c>
      <c r="D239" t="s">
        <v>441</v>
      </c>
      <c r="E239" t="s">
        <v>545</v>
      </c>
      <c r="F239" s="53">
        <v>0.69</v>
      </c>
      <c r="G239" s="4">
        <v>65</v>
      </c>
      <c r="H239" s="80">
        <v>75</v>
      </c>
      <c r="I239" t="s">
        <v>587</v>
      </c>
    </row>
    <row r="240" spans="1:9" x14ac:dyDescent="0.25">
      <c r="A240" t="s">
        <v>588</v>
      </c>
      <c r="B240" t="s">
        <v>507</v>
      </c>
      <c r="C240" t="s">
        <v>883</v>
      </c>
      <c r="D240" t="s">
        <v>441</v>
      </c>
      <c r="E240" t="s">
        <v>441</v>
      </c>
      <c r="F240" s="53">
        <v>0.75</v>
      </c>
      <c r="G240" s="4">
        <v>50</v>
      </c>
      <c r="H240" s="80">
        <v>72</v>
      </c>
      <c r="I240" t="s">
        <v>589</v>
      </c>
    </row>
    <row r="241" spans="1:9" x14ac:dyDescent="0.25">
      <c r="A241" t="s">
        <v>1100</v>
      </c>
      <c r="B241" t="s">
        <v>432</v>
      </c>
      <c r="C241" t="s">
        <v>447</v>
      </c>
      <c r="D241" t="s">
        <v>448</v>
      </c>
      <c r="E241" t="s">
        <v>449</v>
      </c>
      <c r="F241" s="53">
        <v>0.75</v>
      </c>
      <c r="G241" s="4">
        <v>48</v>
      </c>
      <c r="H241" s="80">
        <v>58</v>
      </c>
      <c r="I241" t="s">
        <v>1101</v>
      </c>
    </row>
    <row r="242" spans="1:9" x14ac:dyDescent="0.25">
      <c r="A242" t="s">
        <v>1102</v>
      </c>
      <c r="B242" t="s">
        <v>432</v>
      </c>
      <c r="C242" t="s">
        <v>433</v>
      </c>
      <c r="D242" t="s">
        <v>434</v>
      </c>
      <c r="E242" t="s">
        <v>1103</v>
      </c>
      <c r="F242" s="53">
        <v>0.69</v>
      </c>
      <c r="G242" s="4">
        <v>52</v>
      </c>
      <c r="H242" s="80">
        <v>58</v>
      </c>
      <c r="I242" t="s">
        <v>1104</v>
      </c>
    </row>
    <row r="243" spans="1:9" x14ac:dyDescent="0.25">
      <c r="A243" t="s">
        <v>1039</v>
      </c>
      <c r="B243" t="s">
        <v>432</v>
      </c>
      <c r="C243" t="s">
        <v>433</v>
      </c>
      <c r="D243" t="s">
        <v>434</v>
      </c>
      <c r="E243" t="s">
        <v>1040</v>
      </c>
      <c r="F243" s="53">
        <v>0.69</v>
      </c>
      <c r="G243" s="4">
        <v>50</v>
      </c>
      <c r="H243" s="80">
        <v>55</v>
      </c>
      <c r="I243" t="s">
        <v>1041</v>
      </c>
    </row>
    <row r="244" spans="1:9" x14ac:dyDescent="0.25">
      <c r="A244" t="s">
        <v>900</v>
      </c>
      <c r="B244" t="s">
        <v>432</v>
      </c>
      <c r="C244" t="s">
        <v>898</v>
      </c>
      <c r="D244" t="s">
        <v>441</v>
      </c>
      <c r="E244" t="s">
        <v>443</v>
      </c>
      <c r="F244" s="53">
        <v>0.76</v>
      </c>
      <c r="G244" s="4">
        <v>60</v>
      </c>
      <c r="H244" s="80">
        <v>68</v>
      </c>
      <c r="I244" t="s">
        <v>1183</v>
      </c>
    </row>
    <row r="245" spans="1:9" x14ac:dyDescent="0.25">
      <c r="A245" t="s">
        <v>901</v>
      </c>
      <c r="B245" t="s">
        <v>432</v>
      </c>
      <c r="C245" t="s">
        <v>898</v>
      </c>
      <c r="D245" t="s">
        <v>434</v>
      </c>
      <c r="E245" t="s">
        <v>434</v>
      </c>
      <c r="F245" s="53"/>
      <c r="G245" s="4">
        <v>58</v>
      </c>
      <c r="H245" s="80">
        <v>68</v>
      </c>
      <c r="I245" t="s">
        <v>902</v>
      </c>
    </row>
    <row r="246" spans="1:9" x14ac:dyDescent="0.25">
      <c r="A246" t="s">
        <v>903</v>
      </c>
      <c r="B246" t="s">
        <v>432</v>
      </c>
      <c r="C246" s="20" t="s">
        <v>433</v>
      </c>
      <c r="D246" t="s">
        <v>434</v>
      </c>
      <c r="E246" t="s">
        <v>434</v>
      </c>
      <c r="F246" s="53"/>
      <c r="G246" s="4">
        <v>66</v>
      </c>
      <c r="H246" s="80">
        <v>70</v>
      </c>
      <c r="I246" t="s">
        <v>904</v>
      </c>
    </row>
    <row r="247" spans="1:9" x14ac:dyDescent="0.25">
      <c r="A247" t="s">
        <v>2189</v>
      </c>
      <c r="B247" t="s">
        <v>432</v>
      </c>
      <c r="C247" s="20" t="s">
        <v>433</v>
      </c>
      <c r="D247" t="s">
        <v>437</v>
      </c>
      <c r="E247" t="s">
        <v>2049</v>
      </c>
      <c r="F247" s="53">
        <v>0.75</v>
      </c>
      <c r="G247" s="548">
        <v>77</v>
      </c>
      <c r="H247" s="80">
        <v>95</v>
      </c>
      <c r="I247" t="s">
        <v>2188</v>
      </c>
    </row>
    <row r="248" spans="1:9" x14ac:dyDescent="0.25">
      <c r="A248" t="s">
        <v>1019</v>
      </c>
      <c r="B248" t="s">
        <v>432</v>
      </c>
      <c r="C248" t="s">
        <v>898</v>
      </c>
      <c r="E248" t="s">
        <v>434</v>
      </c>
      <c r="F248" s="53"/>
      <c r="G248" s="4">
        <v>68</v>
      </c>
      <c r="H248" s="80">
        <v>74</v>
      </c>
      <c r="I248" t="s">
        <v>1020</v>
      </c>
    </row>
    <row r="249" spans="1:9" x14ac:dyDescent="0.25">
      <c r="A249" t="s">
        <v>590</v>
      </c>
      <c r="B249" t="s">
        <v>432</v>
      </c>
      <c r="C249" t="s">
        <v>433</v>
      </c>
      <c r="D249" t="s">
        <v>441</v>
      </c>
      <c r="E249" t="s">
        <v>547</v>
      </c>
      <c r="F249" s="53">
        <v>0.67500000000000004</v>
      </c>
      <c r="G249" s="4">
        <v>65</v>
      </c>
      <c r="H249" s="80">
        <v>68</v>
      </c>
      <c r="I249" t="s">
        <v>591</v>
      </c>
    </row>
    <row r="250" spans="1:9" x14ac:dyDescent="0.25">
      <c r="A250" t="s">
        <v>1021</v>
      </c>
      <c r="B250" t="s">
        <v>432</v>
      </c>
      <c r="C250" t="s">
        <v>447</v>
      </c>
      <c r="E250" t="s">
        <v>145</v>
      </c>
      <c r="F250" s="53"/>
      <c r="G250" s="4">
        <v>60</v>
      </c>
      <c r="H250" s="80">
        <v>95</v>
      </c>
      <c r="I250" t="s">
        <v>1018</v>
      </c>
    </row>
    <row r="251" spans="1:9" x14ac:dyDescent="0.25">
      <c r="A251" t="s">
        <v>2212</v>
      </c>
      <c r="B251" t="s">
        <v>432</v>
      </c>
      <c r="C251" t="s">
        <v>433</v>
      </c>
      <c r="D251" t="s">
        <v>2213</v>
      </c>
      <c r="F251" s="53"/>
      <c r="G251" s="548"/>
      <c r="H251" s="80"/>
      <c r="I251" t="s">
        <v>2214</v>
      </c>
    </row>
    <row r="252" spans="1:9" x14ac:dyDescent="0.25">
      <c r="A252" t="s">
        <v>1088</v>
      </c>
      <c r="B252" t="s">
        <v>432</v>
      </c>
      <c r="C252" t="s">
        <v>447</v>
      </c>
      <c r="D252" t="s">
        <v>434</v>
      </c>
      <c r="E252" t="s">
        <v>574</v>
      </c>
      <c r="F252" s="53">
        <v>0.73</v>
      </c>
      <c r="G252" s="4">
        <v>48</v>
      </c>
      <c r="H252" s="80">
        <v>56</v>
      </c>
      <c r="I252" t="s">
        <v>1089</v>
      </c>
    </row>
    <row r="253" spans="1:9" x14ac:dyDescent="0.25">
      <c r="A253" t="s">
        <v>1090</v>
      </c>
      <c r="B253" t="s">
        <v>432</v>
      </c>
      <c r="C253" t="s">
        <v>433</v>
      </c>
      <c r="D253" t="s">
        <v>437</v>
      </c>
      <c r="E253" t="s">
        <v>1091</v>
      </c>
      <c r="F253" s="53">
        <v>0.745</v>
      </c>
      <c r="G253" s="4">
        <v>50</v>
      </c>
      <c r="H253" s="80">
        <v>55</v>
      </c>
      <c r="I253" t="s">
        <v>1092</v>
      </c>
    </row>
    <row r="254" spans="1:9" x14ac:dyDescent="0.25">
      <c r="A254" t="s">
        <v>2159</v>
      </c>
      <c r="B254" t="s">
        <v>432</v>
      </c>
      <c r="C254" t="s">
        <v>433</v>
      </c>
      <c r="D254" t="s">
        <v>434</v>
      </c>
      <c r="E254" t="s">
        <v>444</v>
      </c>
      <c r="F254" s="53">
        <v>0.72499999999999998</v>
      </c>
      <c r="G254" s="548">
        <v>67</v>
      </c>
      <c r="H254" s="80">
        <v>70</v>
      </c>
      <c r="I254" t="s">
        <v>2160</v>
      </c>
    </row>
    <row r="255" spans="1:9" x14ac:dyDescent="0.25">
      <c r="A255" t="s">
        <v>935</v>
      </c>
      <c r="B255" t="s">
        <v>432</v>
      </c>
      <c r="C255" t="s">
        <v>447</v>
      </c>
      <c r="D255" t="s">
        <v>443</v>
      </c>
      <c r="E255" t="s">
        <v>434</v>
      </c>
      <c r="F255" s="53"/>
      <c r="G255" s="4">
        <v>48</v>
      </c>
      <c r="H255" s="80">
        <v>68</v>
      </c>
      <c r="I255" t="s">
        <v>936</v>
      </c>
    </row>
    <row r="256" spans="1:9" x14ac:dyDescent="0.25">
      <c r="A256" t="s">
        <v>592</v>
      </c>
      <c r="B256" t="s">
        <v>432</v>
      </c>
      <c r="C256" t="s">
        <v>447</v>
      </c>
      <c r="D256" t="s">
        <v>441</v>
      </c>
      <c r="E256" t="s">
        <v>541</v>
      </c>
      <c r="F256" s="53">
        <v>0.7</v>
      </c>
      <c r="G256" s="4">
        <v>64</v>
      </c>
      <c r="H256" s="80">
        <v>74</v>
      </c>
      <c r="I256" t="s">
        <v>593</v>
      </c>
    </row>
    <row r="257" spans="1:9" x14ac:dyDescent="0.25">
      <c r="A257" t="s">
        <v>937</v>
      </c>
      <c r="B257" t="s">
        <v>432</v>
      </c>
      <c r="C257" t="s">
        <v>447</v>
      </c>
      <c r="D257" t="s">
        <v>437</v>
      </c>
      <c r="E257" t="s">
        <v>1219</v>
      </c>
      <c r="F257" s="53">
        <v>0.72</v>
      </c>
      <c r="G257" s="4">
        <v>48</v>
      </c>
      <c r="H257" s="80">
        <v>56</v>
      </c>
      <c r="I257" t="s">
        <v>1227</v>
      </c>
    </row>
    <row r="258" spans="1:9" x14ac:dyDescent="0.25">
      <c r="A258" t="s">
        <v>1022</v>
      </c>
      <c r="B258" t="s">
        <v>432</v>
      </c>
      <c r="C258" t="s">
        <v>447</v>
      </c>
      <c r="D258" t="s">
        <v>146</v>
      </c>
      <c r="E258" t="s">
        <v>1228</v>
      </c>
      <c r="F258" s="53">
        <v>0.8</v>
      </c>
      <c r="G258" s="4">
        <v>65</v>
      </c>
      <c r="H258" s="80">
        <v>85</v>
      </c>
      <c r="I258" t="s">
        <v>1229</v>
      </c>
    </row>
    <row r="259" spans="1:9" x14ac:dyDescent="0.25">
      <c r="A259" t="s">
        <v>2209</v>
      </c>
      <c r="B259" t="s">
        <v>432</v>
      </c>
      <c r="C259" t="s">
        <v>433</v>
      </c>
      <c r="D259" t="s">
        <v>443</v>
      </c>
      <c r="E259">
        <v>85</v>
      </c>
      <c r="F259" s="53">
        <v>0.85</v>
      </c>
      <c r="G259" s="548">
        <v>70</v>
      </c>
      <c r="H259" s="80">
        <v>85</v>
      </c>
      <c r="I259" t="s">
        <v>2208</v>
      </c>
    </row>
    <row r="260" spans="1:9" ht="26.4" x14ac:dyDescent="0.25">
      <c r="A260" t="s">
        <v>1239</v>
      </c>
      <c r="B260" t="s">
        <v>507</v>
      </c>
      <c r="C260" t="s">
        <v>549</v>
      </c>
      <c r="E260" s="43"/>
      <c r="F260" s="53">
        <v>0.9</v>
      </c>
      <c r="G260" s="4">
        <v>64.400000000000006</v>
      </c>
      <c r="H260" s="80">
        <v>82.4</v>
      </c>
      <c r="I260" s="77" t="s">
        <v>1240</v>
      </c>
    </row>
    <row r="261" spans="1:9" ht="26.4" x14ac:dyDescent="0.25">
      <c r="A261" t="s">
        <v>1255</v>
      </c>
      <c r="B261" t="s">
        <v>507</v>
      </c>
      <c r="C261" t="s">
        <v>549</v>
      </c>
      <c r="E261" s="43"/>
      <c r="F261" s="53">
        <v>0.82</v>
      </c>
      <c r="G261" s="4">
        <v>59</v>
      </c>
      <c r="H261" s="80">
        <v>68</v>
      </c>
      <c r="I261" s="77" t="s">
        <v>1256</v>
      </c>
    </row>
    <row r="262" spans="1:9" ht="39.6" x14ac:dyDescent="0.25">
      <c r="A262" t="s">
        <v>1253</v>
      </c>
      <c r="B262" t="s">
        <v>507</v>
      </c>
      <c r="C262" t="s">
        <v>549</v>
      </c>
      <c r="E262" s="43"/>
      <c r="F262" s="53"/>
      <c r="G262" s="4">
        <v>59</v>
      </c>
      <c r="H262" s="80">
        <v>77</v>
      </c>
      <c r="I262" s="77" t="s">
        <v>1254</v>
      </c>
    </row>
    <row r="263" spans="1:9" ht="26.4" x14ac:dyDescent="0.25">
      <c r="A263" t="s">
        <v>1251</v>
      </c>
      <c r="B263" t="s">
        <v>507</v>
      </c>
      <c r="C263" t="s">
        <v>549</v>
      </c>
      <c r="E263" s="43"/>
      <c r="F263" s="53">
        <v>0.81</v>
      </c>
      <c r="G263" s="4">
        <v>59</v>
      </c>
      <c r="H263" s="80">
        <v>68</v>
      </c>
      <c r="I263" s="77" t="s">
        <v>1252</v>
      </c>
    </row>
    <row r="264" spans="1:9" ht="39.6" x14ac:dyDescent="0.25">
      <c r="A264" t="s">
        <v>1241</v>
      </c>
      <c r="B264" t="s">
        <v>507</v>
      </c>
      <c r="C264" t="s">
        <v>549</v>
      </c>
      <c r="E264" s="43"/>
      <c r="F264" s="53">
        <v>0.79</v>
      </c>
      <c r="G264" s="4">
        <v>59</v>
      </c>
      <c r="H264" s="80">
        <v>68</v>
      </c>
      <c r="I264" s="77" t="s">
        <v>1242</v>
      </c>
    </row>
    <row r="265" spans="1:9" ht="39.6" x14ac:dyDescent="0.25">
      <c r="A265" t="s">
        <v>1246</v>
      </c>
      <c r="B265" t="s">
        <v>507</v>
      </c>
      <c r="C265" t="s">
        <v>549</v>
      </c>
      <c r="E265" s="43"/>
      <c r="F265" s="53">
        <v>0.75</v>
      </c>
      <c r="G265" s="4">
        <v>59</v>
      </c>
      <c r="H265" s="80">
        <v>68</v>
      </c>
      <c r="I265" s="77" t="s">
        <v>1247</v>
      </c>
    </row>
    <row r="266" spans="1:9" ht="26.4" x14ac:dyDescent="0.25">
      <c r="A266" t="s">
        <v>1244</v>
      </c>
      <c r="B266" t="s">
        <v>507</v>
      </c>
      <c r="C266" t="s">
        <v>549</v>
      </c>
      <c r="E266" s="43"/>
      <c r="F266" s="53">
        <v>0.75</v>
      </c>
      <c r="G266" s="4">
        <v>59</v>
      </c>
      <c r="H266" s="80">
        <v>68</v>
      </c>
      <c r="I266" s="77" t="s">
        <v>1245</v>
      </c>
    </row>
    <row r="267" spans="1:9" ht="26.4" x14ac:dyDescent="0.25">
      <c r="A267" t="s">
        <v>1243</v>
      </c>
      <c r="B267" t="s">
        <v>507</v>
      </c>
      <c r="C267" t="s">
        <v>549</v>
      </c>
      <c r="D267" t="s">
        <v>434</v>
      </c>
      <c r="E267" t="s">
        <v>441</v>
      </c>
      <c r="F267" s="53">
        <v>0.81</v>
      </c>
      <c r="G267" s="4">
        <v>64</v>
      </c>
      <c r="H267" s="80">
        <v>82</v>
      </c>
      <c r="I267" s="77" t="s">
        <v>1238</v>
      </c>
    </row>
    <row r="268" spans="1:9" x14ac:dyDescent="0.25">
      <c r="A268" t="s">
        <v>1113</v>
      </c>
      <c r="B268" t="s">
        <v>507</v>
      </c>
      <c r="C268" t="s">
        <v>549</v>
      </c>
      <c r="D268" t="s">
        <v>441</v>
      </c>
      <c r="E268" t="s">
        <v>441</v>
      </c>
      <c r="F268" s="53">
        <v>0.86</v>
      </c>
      <c r="G268" s="4">
        <v>64</v>
      </c>
      <c r="H268" s="80">
        <v>75</v>
      </c>
      <c r="I268" t="s">
        <v>1114</v>
      </c>
    </row>
    <row r="269" spans="1:9" ht="26.4" x14ac:dyDescent="0.25">
      <c r="A269" t="s">
        <v>1257</v>
      </c>
      <c r="B269" t="s">
        <v>507</v>
      </c>
      <c r="C269" t="s">
        <v>549</v>
      </c>
      <c r="E269" s="43"/>
      <c r="F269" s="53">
        <v>0.84</v>
      </c>
      <c r="G269" s="4">
        <v>53.6</v>
      </c>
      <c r="H269" s="80">
        <v>59</v>
      </c>
      <c r="I269" s="77" t="s">
        <v>1258</v>
      </c>
    </row>
    <row r="270" spans="1:9" x14ac:dyDescent="0.25">
      <c r="A270" t="s">
        <v>1250</v>
      </c>
      <c r="B270" t="s">
        <v>507</v>
      </c>
      <c r="C270" t="s">
        <v>549</v>
      </c>
      <c r="D270" t="s">
        <v>437</v>
      </c>
      <c r="E270" s="43">
        <v>0.8</v>
      </c>
      <c r="F270" s="53">
        <v>0.8</v>
      </c>
      <c r="G270" s="4">
        <v>48</v>
      </c>
      <c r="H270" s="80">
        <v>59</v>
      </c>
      <c r="I270" t="s">
        <v>1093</v>
      </c>
    </row>
    <row r="271" spans="1:9" x14ac:dyDescent="0.25">
      <c r="A271" t="s">
        <v>1249</v>
      </c>
      <c r="B271" t="s">
        <v>507</v>
      </c>
      <c r="C271" t="s">
        <v>549</v>
      </c>
      <c r="D271" t="s">
        <v>441</v>
      </c>
      <c r="E271" t="s">
        <v>441</v>
      </c>
      <c r="F271" s="53">
        <v>0.83</v>
      </c>
      <c r="G271" s="4">
        <v>54</v>
      </c>
      <c r="H271" s="80">
        <v>59</v>
      </c>
      <c r="I271" t="s">
        <v>938</v>
      </c>
    </row>
    <row r="272" spans="1:9" x14ac:dyDescent="0.25">
      <c r="A272" t="s">
        <v>1180</v>
      </c>
      <c r="B272" t="s">
        <v>432</v>
      </c>
      <c r="C272" t="s">
        <v>898</v>
      </c>
      <c r="D272" t="s">
        <v>434</v>
      </c>
      <c r="E272" t="s">
        <v>434</v>
      </c>
      <c r="F272" s="53">
        <v>0.8</v>
      </c>
      <c r="G272" s="4">
        <v>75</v>
      </c>
      <c r="H272" s="80">
        <v>85</v>
      </c>
      <c r="I272" t="s">
        <v>1181</v>
      </c>
    </row>
    <row r="273" spans="1:9" x14ac:dyDescent="0.25">
      <c r="A273" t="s">
        <v>1178</v>
      </c>
      <c r="B273" t="s">
        <v>432</v>
      </c>
      <c r="C273" t="s">
        <v>898</v>
      </c>
      <c r="D273" t="s">
        <v>434</v>
      </c>
      <c r="E273" t="s">
        <v>434</v>
      </c>
      <c r="F273" s="53">
        <v>0.77</v>
      </c>
      <c r="G273" s="4">
        <v>75</v>
      </c>
      <c r="H273" s="80">
        <v>82</v>
      </c>
      <c r="I273" t="s">
        <v>1186</v>
      </c>
    </row>
    <row r="274" spans="1:9" x14ac:dyDescent="0.25">
      <c r="A274" s="20" t="s">
        <v>2066</v>
      </c>
      <c r="B274" t="s">
        <v>432</v>
      </c>
      <c r="C274" t="s">
        <v>2024</v>
      </c>
      <c r="D274" t="s">
        <v>443</v>
      </c>
      <c r="E274" s="20" t="s">
        <v>2067</v>
      </c>
      <c r="F274" s="113">
        <v>0.85</v>
      </c>
      <c r="G274" s="4">
        <v>65</v>
      </c>
      <c r="H274" s="80">
        <v>78</v>
      </c>
      <c r="I274" s="20" t="s">
        <v>2068</v>
      </c>
    </row>
    <row r="275" spans="1:9" x14ac:dyDescent="0.25">
      <c r="A275" t="s">
        <v>905</v>
      </c>
      <c r="B275" t="s">
        <v>432</v>
      </c>
      <c r="C275" t="s">
        <v>433</v>
      </c>
      <c r="D275" t="s">
        <v>437</v>
      </c>
      <c r="E275" t="s">
        <v>441</v>
      </c>
      <c r="F275" s="53">
        <v>0.75</v>
      </c>
      <c r="G275" s="4">
        <v>65</v>
      </c>
      <c r="H275" s="80">
        <v>68</v>
      </c>
      <c r="I275" t="s">
        <v>906</v>
      </c>
    </row>
    <row r="276" spans="1:9" x14ac:dyDescent="0.25">
      <c r="A276" t="s">
        <v>594</v>
      </c>
      <c r="B276" t="s">
        <v>432</v>
      </c>
      <c r="C276" t="s">
        <v>433</v>
      </c>
      <c r="D276" t="s">
        <v>441</v>
      </c>
      <c r="E276" t="s">
        <v>547</v>
      </c>
      <c r="F276" s="53">
        <v>0.67500000000000004</v>
      </c>
      <c r="G276" s="4">
        <v>58</v>
      </c>
      <c r="H276" s="80">
        <v>65</v>
      </c>
      <c r="I276" t="s">
        <v>595</v>
      </c>
    </row>
    <row r="277" spans="1:9" x14ac:dyDescent="0.25">
      <c r="A277" t="s">
        <v>2246</v>
      </c>
      <c r="B277" t="s">
        <v>432</v>
      </c>
      <c r="C277" t="s">
        <v>433</v>
      </c>
      <c r="D277" t="s">
        <v>434</v>
      </c>
      <c r="E277" t="s">
        <v>435</v>
      </c>
      <c r="F277" s="53">
        <v>0.77500000000000002</v>
      </c>
      <c r="G277" s="4">
        <v>72</v>
      </c>
      <c r="H277" s="80">
        <v>77</v>
      </c>
      <c r="I277" t="s">
        <v>1107</v>
      </c>
    </row>
    <row r="278" spans="1:9" x14ac:dyDescent="0.25">
      <c r="A278" t="s">
        <v>596</v>
      </c>
      <c r="B278" t="s">
        <v>432</v>
      </c>
      <c r="C278" t="s">
        <v>447</v>
      </c>
      <c r="D278" t="s">
        <v>441</v>
      </c>
      <c r="E278" t="s">
        <v>597</v>
      </c>
      <c r="F278" s="53">
        <v>0.71</v>
      </c>
      <c r="G278" s="4">
        <v>55</v>
      </c>
      <c r="H278" s="80">
        <v>75</v>
      </c>
      <c r="I278" t="s">
        <v>598</v>
      </c>
    </row>
    <row r="279" spans="1:9" x14ac:dyDescent="0.25">
      <c r="A279" t="s">
        <v>941</v>
      </c>
      <c r="B279" t="s">
        <v>432</v>
      </c>
      <c r="C279" t="s">
        <v>898</v>
      </c>
      <c r="D279" t="s">
        <v>434</v>
      </c>
      <c r="E279" t="s">
        <v>1175</v>
      </c>
      <c r="F279" s="53">
        <v>0.78500000000000003</v>
      </c>
      <c r="G279" s="4">
        <v>60</v>
      </c>
      <c r="H279" s="80">
        <v>68</v>
      </c>
      <c r="I279" t="s">
        <v>1179</v>
      </c>
    </row>
    <row r="280" spans="1:9" x14ac:dyDescent="0.25">
      <c r="A280" t="s">
        <v>1189</v>
      </c>
      <c r="B280" t="s">
        <v>432</v>
      </c>
      <c r="C280" t="s">
        <v>898</v>
      </c>
      <c r="F280" s="53">
        <v>0.75</v>
      </c>
      <c r="G280" s="4">
        <v>62</v>
      </c>
      <c r="H280" s="80">
        <v>68</v>
      </c>
      <c r="I280" t="s">
        <v>1190</v>
      </c>
    </row>
    <row r="281" spans="1:9" x14ac:dyDescent="0.25">
      <c r="A281" t="s">
        <v>2177</v>
      </c>
      <c r="B281" t="s">
        <v>432</v>
      </c>
      <c r="C281" t="s">
        <v>433</v>
      </c>
      <c r="D281" t="s">
        <v>434</v>
      </c>
      <c r="E281" t="s">
        <v>1219</v>
      </c>
      <c r="F281" s="53">
        <v>0.72</v>
      </c>
      <c r="G281" s="548">
        <v>66</v>
      </c>
      <c r="H281" s="80">
        <v>70</v>
      </c>
      <c r="I281" t="s">
        <v>2178</v>
      </c>
    </row>
    <row r="282" spans="1:9" x14ac:dyDescent="0.25">
      <c r="A282" t="s">
        <v>1042</v>
      </c>
      <c r="B282" t="s">
        <v>432</v>
      </c>
      <c r="C282" t="s">
        <v>433</v>
      </c>
      <c r="D282" t="s">
        <v>437</v>
      </c>
      <c r="E282" t="s">
        <v>1043</v>
      </c>
      <c r="F282" s="53">
        <v>0.72</v>
      </c>
      <c r="G282" s="4">
        <v>50</v>
      </c>
      <c r="H282" s="80">
        <v>55</v>
      </c>
      <c r="I282" t="s">
        <v>1044</v>
      </c>
    </row>
    <row r="283" spans="1:9" x14ac:dyDescent="0.25">
      <c r="A283" t="s">
        <v>2156</v>
      </c>
      <c r="B283" t="s">
        <v>432</v>
      </c>
      <c r="C283" t="s">
        <v>433</v>
      </c>
      <c r="D283" t="s">
        <v>434</v>
      </c>
      <c r="E283" t="s">
        <v>2157</v>
      </c>
      <c r="F283" s="53">
        <v>0.71499999999999997</v>
      </c>
      <c r="G283" s="548">
        <v>66</v>
      </c>
      <c r="H283" s="80">
        <v>69</v>
      </c>
      <c r="I283" t="s">
        <v>2158</v>
      </c>
    </row>
    <row r="284" spans="1:9" x14ac:dyDescent="0.25">
      <c r="A284" t="s">
        <v>1045</v>
      </c>
      <c r="B284" t="s">
        <v>432</v>
      </c>
      <c r="C284" t="s">
        <v>447</v>
      </c>
      <c r="D284" t="s">
        <v>434</v>
      </c>
      <c r="E284" t="s">
        <v>1219</v>
      </c>
      <c r="F284" s="53">
        <v>0.72</v>
      </c>
      <c r="G284" s="4">
        <v>50</v>
      </c>
      <c r="H284" s="80">
        <v>58</v>
      </c>
      <c r="I284" t="s">
        <v>1230</v>
      </c>
    </row>
    <row r="285" spans="1:9" x14ac:dyDescent="0.25">
      <c r="A285" t="s">
        <v>599</v>
      </c>
      <c r="B285" t="s">
        <v>432</v>
      </c>
      <c r="C285" t="s">
        <v>433</v>
      </c>
      <c r="D285" t="s">
        <v>434</v>
      </c>
      <c r="E285" t="s">
        <v>942</v>
      </c>
      <c r="F285" s="53">
        <v>0.82</v>
      </c>
      <c r="G285" s="4">
        <v>65</v>
      </c>
      <c r="H285" s="80">
        <v>69</v>
      </c>
      <c r="I285" t="s">
        <v>600</v>
      </c>
    </row>
    <row r="286" spans="1:9" x14ac:dyDescent="0.25">
      <c r="A286" t="s">
        <v>2165</v>
      </c>
      <c r="B286" t="s">
        <v>432</v>
      </c>
      <c r="C286" t="s">
        <v>433</v>
      </c>
      <c r="D286" t="s">
        <v>434</v>
      </c>
      <c r="E286" t="s">
        <v>435</v>
      </c>
      <c r="F286" s="53">
        <v>0.77500000000000002</v>
      </c>
      <c r="G286" s="4">
        <v>75</v>
      </c>
      <c r="H286" s="80">
        <v>79</v>
      </c>
      <c r="I286" t="s">
        <v>943</v>
      </c>
    </row>
    <row r="287" spans="1:9" x14ac:dyDescent="0.25">
      <c r="A287" t="s">
        <v>2161</v>
      </c>
      <c r="B287" t="s">
        <v>432</v>
      </c>
      <c r="C287" t="s">
        <v>433</v>
      </c>
      <c r="D287" t="s">
        <v>441</v>
      </c>
      <c r="E287" t="s">
        <v>1231</v>
      </c>
      <c r="F287" s="53">
        <v>0.75</v>
      </c>
      <c r="G287" s="548"/>
      <c r="H287" s="80"/>
      <c r="I287" t="s">
        <v>2162</v>
      </c>
    </row>
    <row r="288" spans="1:9" x14ac:dyDescent="0.25">
      <c r="A288" t="s">
        <v>601</v>
      </c>
      <c r="B288" t="s">
        <v>432</v>
      </c>
      <c r="C288" t="s">
        <v>447</v>
      </c>
      <c r="D288" t="s">
        <v>434</v>
      </c>
      <c r="E288" t="s">
        <v>454</v>
      </c>
      <c r="F288" s="53">
        <v>0.74</v>
      </c>
      <c r="G288" s="4">
        <v>62</v>
      </c>
      <c r="H288" s="80">
        <v>72</v>
      </c>
      <c r="I288" t="s">
        <v>602</v>
      </c>
    </row>
    <row r="289" spans="1:9" x14ac:dyDescent="0.25">
      <c r="A289" t="s">
        <v>1054</v>
      </c>
      <c r="B289" t="s">
        <v>432</v>
      </c>
      <c r="C289" t="s">
        <v>447</v>
      </c>
      <c r="D289" t="s">
        <v>441</v>
      </c>
      <c r="E289" t="s">
        <v>1231</v>
      </c>
      <c r="F289" s="53">
        <v>0.75</v>
      </c>
      <c r="G289" s="4">
        <v>60</v>
      </c>
      <c r="H289" s="80">
        <v>70</v>
      </c>
      <c r="I289" t="s">
        <v>1232</v>
      </c>
    </row>
    <row r="290" spans="1:9" x14ac:dyDescent="0.25">
      <c r="A290" t="s">
        <v>979</v>
      </c>
      <c r="B290" t="s">
        <v>507</v>
      </c>
      <c r="C290" t="s">
        <v>892</v>
      </c>
      <c r="D290" t="s">
        <v>434</v>
      </c>
      <c r="E290" t="s">
        <v>435</v>
      </c>
      <c r="F290" s="53">
        <v>0.77500000000000002</v>
      </c>
      <c r="G290" s="4">
        <v>66</v>
      </c>
      <c r="H290" s="80">
        <v>72</v>
      </c>
      <c r="I290" t="s">
        <v>980</v>
      </c>
    </row>
    <row r="291" spans="1:9" x14ac:dyDescent="0.25">
      <c r="A291" t="s">
        <v>907</v>
      </c>
      <c r="B291" t="s">
        <v>507</v>
      </c>
      <c r="C291" t="s">
        <v>892</v>
      </c>
      <c r="D291" t="s">
        <v>441</v>
      </c>
      <c r="E291" t="s">
        <v>527</v>
      </c>
      <c r="F291" s="53">
        <v>0.75</v>
      </c>
      <c r="G291" s="4">
        <v>68</v>
      </c>
      <c r="H291" s="80">
        <v>75</v>
      </c>
      <c r="I291" t="s">
        <v>908</v>
      </c>
    </row>
    <row r="292" spans="1:9" x14ac:dyDescent="0.25">
      <c r="A292" t="s">
        <v>2201</v>
      </c>
      <c r="B292" t="s">
        <v>432</v>
      </c>
      <c r="C292" t="s">
        <v>433</v>
      </c>
      <c r="D292" t="s">
        <v>448</v>
      </c>
      <c r="E292" t="s">
        <v>2199</v>
      </c>
      <c r="F292" s="53">
        <v>0.4</v>
      </c>
      <c r="G292" s="548">
        <v>50</v>
      </c>
      <c r="H292" s="80">
        <v>86</v>
      </c>
      <c r="I292" t="s">
        <v>2200</v>
      </c>
    </row>
    <row r="293" spans="1:9" x14ac:dyDescent="0.25">
      <c r="A293" t="s">
        <v>603</v>
      </c>
      <c r="B293" t="s">
        <v>432</v>
      </c>
      <c r="C293" t="s">
        <v>440</v>
      </c>
      <c r="D293" t="s">
        <v>434</v>
      </c>
      <c r="E293" t="s">
        <v>441</v>
      </c>
      <c r="F293" s="53"/>
      <c r="G293" s="4">
        <v>64</v>
      </c>
      <c r="H293" s="80">
        <v>72</v>
      </c>
      <c r="I293" t="s">
        <v>981</v>
      </c>
    </row>
    <row r="294" spans="1:9" x14ac:dyDescent="0.25">
      <c r="A294" t="s">
        <v>604</v>
      </c>
      <c r="B294" t="s">
        <v>432</v>
      </c>
      <c r="C294" t="s">
        <v>433</v>
      </c>
      <c r="D294" t="s">
        <v>448</v>
      </c>
      <c r="E294" t="s">
        <v>435</v>
      </c>
      <c r="F294" s="53">
        <v>0.77500000000000002</v>
      </c>
      <c r="G294" s="4">
        <v>65</v>
      </c>
      <c r="H294" s="80">
        <v>72</v>
      </c>
      <c r="I294" t="s">
        <v>605</v>
      </c>
    </row>
    <row r="295" spans="1:9" x14ac:dyDescent="0.25">
      <c r="A295" t="s">
        <v>606</v>
      </c>
      <c r="B295" t="s">
        <v>432</v>
      </c>
      <c r="C295" t="s">
        <v>447</v>
      </c>
      <c r="D295" t="s">
        <v>434</v>
      </c>
      <c r="E295" t="s">
        <v>460</v>
      </c>
      <c r="F295" s="53">
        <v>0.76</v>
      </c>
      <c r="G295" s="4">
        <v>64</v>
      </c>
      <c r="H295" s="80">
        <v>78</v>
      </c>
      <c r="I295" t="s">
        <v>607</v>
      </c>
    </row>
    <row r="296" spans="1:9" x14ac:dyDescent="0.25">
      <c r="A296" t="s">
        <v>1233</v>
      </c>
      <c r="B296" t="s">
        <v>432</v>
      </c>
      <c r="C296" t="s">
        <v>447</v>
      </c>
      <c r="D296" t="s">
        <v>434</v>
      </c>
      <c r="E296" t="s">
        <v>1234</v>
      </c>
      <c r="F296" s="53">
        <v>0.77500000000000002</v>
      </c>
      <c r="G296" s="4">
        <v>68</v>
      </c>
      <c r="H296" s="80">
        <v>85</v>
      </c>
      <c r="I296" t="s">
        <v>1235</v>
      </c>
    </row>
    <row r="297" spans="1:9" x14ac:dyDescent="0.25">
      <c r="A297" s="20" t="s">
        <v>2042</v>
      </c>
      <c r="B297" t="s">
        <v>432</v>
      </c>
      <c r="C297" t="s">
        <v>2024</v>
      </c>
      <c r="D297" t="s">
        <v>443</v>
      </c>
      <c r="E297" s="20" t="s">
        <v>2043</v>
      </c>
      <c r="F297" s="53">
        <v>0.92500000000000004</v>
      </c>
      <c r="G297" s="4">
        <v>75</v>
      </c>
      <c r="H297" s="80">
        <v>85</v>
      </c>
      <c r="I297" s="20" t="s">
        <v>2044</v>
      </c>
    </row>
    <row r="298" spans="1:9" x14ac:dyDescent="0.25">
      <c r="A298" t="s">
        <v>1094</v>
      </c>
      <c r="B298" t="s">
        <v>432</v>
      </c>
      <c r="C298" t="s">
        <v>447</v>
      </c>
      <c r="D298" t="s">
        <v>437</v>
      </c>
      <c r="E298" t="s">
        <v>454</v>
      </c>
      <c r="F298" s="53">
        <v>0.74</v>
      </c>
      <c r="G298" s="4">
        <v>48</v>
      </c>
      <c r="H298" s="80">
        <v>56</v>
      </c>
      <c r="I298" t="s">
        <v>1095</v>
      </c>
    </row>
    <row r="299" spans="1:9" x14ac:dyDescent="0.25">
      <c r="A299" t="s">
        <v>909</v>
      </c>
      <c r="B299" t="s">
        <v>507</v>
      </c>
      <c r="C299" t="s">
        <v>910</v>
      </c>
      <c r="D299" t="s">
        <v>441</v>
      </c>
      <c r="E299" t="s">
        <v>441</v>
      </c>
      <c r="F299" s="53"/>
      <c r="G299" s="4">
        <v>59</v>
      </c>
      <c r="H299" s="80">
        <v>74</v>
      </c>
      <c r="I299" t="s">
        <v>911</v>
      </c>
    </row>
    <row r="300" spans="1:9" x14ac:dyDescent="0.25">
      <c r="A300" t="s">
        <v>2027</v>
      </c>
      <c r="B300" t="s">
        <v>432</v>
      </c>
      <c r="C300" t="s">
        <v>2024</v>
      </c>
      <c r="D300" t="s">
        <v>434</v>
      </c>
      <c r="E300" t="s">
        <v>2028</v>
      </c>
      <c r="F300" s="53">
        <v>0.78500000000000003</v>
      </c>
      <c r="G300" s="4">
        <v>72</v>
      </c>
      <c r="H300" s="80">
        <v>98</v>
      </c>
      <c r="I300" t="s">
        <v>2029</v>
      </c>
    </row>
    <row r="301" spans="1:9" x14ac:dyDescent="0.25">
      <c r="A301" s="20" t="s">
        <v>1685</v>
      </c>
      <c r="B301" s="20" t="s">
        <v>432</v>
      </c>
      <c r="C301" s="20" t="s">
        <v>1626</v>
      </c>
      <c r="D301" s="20" t="s">
        <v>443</v>
      </c>
      <c r="E301" s="20" t="s">
        <v>1234</v>
      </c>
      <c r="F301" s="113">
        <v>0.77500000000000002</v>
      </c>
      <c r="G301" s="4">
        <v>64</v>
      </c>
      <c r="H301" s="80">
        <v>74</v>
      </c>
      <c r="I301" s="20" t="s">
        <v>1686</v>
      </c>
    </row>
    <row r="302" spans="1:9" x14ac:dyDescent="0.25">
      <c r="A302" t="s">
        <v>608</v>
      </c>
      <c r="B302" t="s">
        <v>432</v>
      </c>
      <c r="C302" t="s">
        <v>447</v>
      </c>
      <c r="D302" t="s">
        <v>443</v>
      </c>
      <c r="E302" t="s">
        <v>449</v>
      </c>
      <c r="F302" s="53">
        <v>0.75</v>
      </c>
      <c r="G302" s="4">
        <v>64</v>
      </c>
      <c r="H302" s="80">
        <v>75</v>
      </c>
      <c r="I302" t="s">
        <v>609</v>
      </c>
    </row>
    <row r="303" spans="1:9" x14ac:dyDescent="0.25">
      <c r="A303" s="20" t="s">
        <v>2045</v>
      </c>
      <c r="B303" t="s">
        <v>432</v>
      </c>
      <c r="C303" t="s">
        <v>2024</v>
      </c>
      <c r="D303" t="s">
        <v>448</v>
      </c>
      <c r="E303" s="20" t="s">
        <v>2046</v>
      </c>
      <c r="F303" s="113">
        <v>0.76500000000000001</v>
      </c>
      <c r="G303" s="4">
        <v>60</v>
      </c>
      <c r="H303" s="80">
        <v>73</v>
      </c>
      <c r="I303" s="20" t="s">
        <v>2047</v>
      </c>
    </row>
    <row r="304" spans="1:9" x14ac:dyDescent="0.25">
      <c r="A304" t="s">
        <v>1055</v>
      </c>
      <c r="B304" t="s">
        <v>432</v>
      </c>
      <c r="C304" t="s">
        <v>447</v>
      </c>
      <c r="D304" t="s">
        <v>441</v>
      </c>
      <c r="E304" t="s">
        <v>1236</v>
      </c>
      <c r="F304" s="53">
        <v>0.69</v>
      </c>
      <c r="G304" s="4">
        <v>64</v>
      </c>
      <c r="H304" s="80">
        <v>72</v>
      </c>
      <c r="I304" t="s">
        <v>1237</v>
      </c>
    </row>
    <row r="305" spans="1:9" x14ac:dyDescent="0.25">
      <c r="A305" t="s">
        <v>610</v>
      </c>
      <c r="B305" t="s">
        <v>432</v>
      </c>
      <c r="C305" t="s">
        <v>447</v>
      </c>
      <c r="D305" t="s">
        <v>441</v>
      </c>
      <c r="E305" t="s">
        <v>541</v>
      </c>
      <c r="F305" s="53">
        <v>0.7</v>
      </c>
      <c r="G305" s="4">
        <v>64</v>
      </c>
      <c r="H305" s="80">
        <v>74</v>
      </c>
      <c r="I305" t="s">
        <v>611</v>
      </c>
    </row>
    <row r="306" spans="1:9" x14ac:dyDescent="0.25">
      <c r="A306" t="s">
        <v>2153</v>
      </c>
      <c r="B306" t="s">
        <v>432</v>
      </c>
      <c r="C306" t="s">
        <v>433</v>
      </c>
      <c r="D306" t="s">
        <v>441</v>
      </c>
      <c r="E306" t="s">
        <v>612</v>
      </c>
      <c r="F306" s="53">
        <v>0.7</v>
      </c>
      <c r="G306" s="4">
        <v>66</v>
      </c>
      <c r="H306" s="80">
        <v>70</v>
      </c>
      <c r="I306" t="s">
        <v>613</v>
      </c>
    </row>
    <row r="307" spans="1:9" x14ac:dyDescent="0.25">
      <c r="A307" t="s">
        <v>944</v>
      </c>
      <c r="B307" t="s">
        <v>507</v>
      </c>
      <c r="C307" t="s">
        <v>883</v>
      </c>
      <c r="D307" t="s">
        <v>443</v>
      </c>
      <c r="E307" t="s">
        <v>434</v>
      </c>
      <c r="F307" s="53">
        <v>0.75</v>
      </c>
      <c r="G307" s="4">
        <v>59</v>
      </c>
      <c r="H307" s="80">
        <v>72</v>
      </c>
      <c r="I307" t="s">
        <v>614</v>
      </c>
    </row>
    <row r="308" spans="1:9" x14ac:dyDescent="0.25">
      <c r="A308" t="s">
        <v>912</v>
      </c>
      <c r="B308" t="s">
        <v>507</v>
      </c>
      <c r="C308" t="s">
        <v>910</v>
      </c>
      <c r="D308" t="s">
        <v>434</v>
      </c>
      <c r="E308" t="s">
        <v>441</v>
      </c>
      <c r="F308" s="53"/>
      <c r="G308" s="4">
        <v>59</v>
      </c>
      <c r="H308" s="80">
        <v>68</v>
      </c>
      <c r="I308" t="s">
        <v>913</v>
      </c>
    </row>
    <row r="309" spans="1:9" x14ac:dyDescent="0.25">
      <c r="A309" t="s">
        <v>1063</v>
      </c>
      <c r="B309" t="s">
        <v>507</v>
      </c>
      <c r="C309" t="s">
        <v>892</v>
      </c>
      <c r="D309" t="s">
        <v>434</v>
      </c>
      <c r="E309" t="s">
        <v>492</v>
      </c>
      <c r="F309" s="53">
        <v>0.7</v>
      </c>
      <c r="G309" s="4">
        <v>65</v>
      </c>
      <c r="H309" s="80">
        <v>70</v>
      </c>
      <c r="I309" t="s">
        <v>1064</v>
      </c>
    </row>
    <row r="310" spans="1:9" x14ac:dyDescent="0.25">
      <c r="A310" t="s">
        <v>1056</v>
      </c>
      <c r="B310" t="s">
        <v>432</v>
      </c>
      <c r="C310" t="s">
        <v>433</v>
      </c>
      <c r="D310" t="s">
        <v>441</v>
      </c>
      <c r="E310" t="s">
        <v>443</v>
      </c>
      <c r="F310" s="53">
        <v>0.7</v>
      </c>
      <c r="G310" s="4">
        <v>65</v>
      </c>
      <c r="H310" s="80">
        <v>70</v>
      </c>
      <c r="I310" t="s">
        <v>1057</v>
      </c>
    </row>
    <row r="311" spans="1:9" x14ac:dyDescent="0.25">
      <c r="A311" t="s">
        <v>1096</v>
      </c>
      <c r="B311" t="s">
        <v>432</v>
      </c>
      <c r="C311" t="s">
        <v>433</v>
      </c>
      <c r="D311" t="s">
        <v>434</v>
      </c>
      <c r="E311" t="s">
        <v>527</v>
      </c>
      <c r="F311" s="53">
        <v>0.75</v>
      </c>
      <c r="G311" s="4">
        <v>50</v>
      </c>
      <c r="H311" s="80">
        <v>55</v>
      </c>
      <c r="I311" t="s">
        <v>1097</v>
      </c>
    </row>
  </sheetData>
  <sheetProtection sheet="1" autoFilter="0"/>
  <sortState xmlns:xlrd2="http://schemas.microsoft.com/office/spreadsheetml/2017/richdata2" ref="A1:G726">
    <sortCondition ref="A1:A726"/>
  </sortState>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workbookViewId="0">
      <selection activeCell="B9" sqref="B9"/>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877" t="s">
        <v>1707</v>
      </c>
      <c r="B1" s="877"/>
      <c r="C1" s="877"/>
      <c r="F1" s="124" t="s">
        <v>100</v>
      </c>
      <c r="G1" s="465" t="s">
        <v>1708</v>
      </c>
    </row>
    <row r="2" spans="1:7" ht="14.4" x14ac:dyDescent="0.3">
      <c r="A2" s="1" t="s">
        <v>1709</v>
      </c>
      <c r="B2" s="466">
        <v>14.74</v>
      </c>
      <c r="C2" s="2" t="s">
        <v>1710</v>
      </c>
      <c r="E2" s="877" t="s">
        <v>1711</v>
      </c>
      <c r="F2" s="877"/>
      <c r="G2" s="877"/>
    </row>
    <row r="3" spans="1:7" x14ac:dyDescent="0.25">
      <c r="A3" s="1" t="s">
        <v>1287</v>
      </c>
      <c r="B3" s="504">
        <f>1+(B2/(258.6-((B2/258.2)*227.1) ) )</f>
        <v>1.0600076319236915</v>
      </c>
      <c r="C3" s="2"/>
      <c r="D3" s="4"/>
      <c r="E3" s="1" t="s">
        <v>1712</v>
      </c>
      <c r="F3" s="466">
        <v>60</v>
      </c>
      <c r="G3" s="2" t="str">
        <f>IF($G$1="Fahrenheit","°F","°C")</f>
        <v>°F</v>
      </c>
    </row>
    <row r="4" spans="1:7" x14ac:dyDescent="0.25">
      <c r="A4" s="1" t="s">
        <v>1713</v>
      </c>
      <c r="B4" s="466">
        <v>204</v>
      </c>
      <c r="C4" s="2" t="s">
        <v>1714</v>
      </c>
      <c r="D4" s="4"/>
      <c r="E4" s="1" t="s">
        <v>1717</v>
      </c>
      <c r="F4" s="466">
        <v>61</v>
      </c>
      <c r="G4" s="2" t="str">
        <f>IF($G$1="Fahrenheit","°F","°C")</f>
        <v>°F</v>
      </c>
    </row>
    <row r="5" spans="1:7" x14ac:dyDescent="0.25">
      <c r="A5" s="1" t="s">
        <v>1716</v>
      </c>
      <c r="B5" s="505">
        <f>B4*B2/100</f>
        <v>30.069600000000001</v>
      </c>
      <c r="C5" s="2" t="s">
        <v>1714</v>
      </c>
      <c r="D5" s="4"/>
      <c r="E5" s="1" t="s">
        <v>1715</v>
      </c>
      <c r="F5" s="467">
        <v>1.0580000000000001</v>
      </c>
    </row>
    <row r="6" spans="1:7" x14ac:dyDescent="0.25">
      <c r="A6" s="1" t="s">
        <v>1718</v>
      </c>
      <c r="B6" s="505">
        <f>B4-B5</f>
        <v>173.93039999999999</v>
      </c>
      <c r="C6" s="2" t="s">
        <v>1714</v>
      </c>
      <c r="D6" s="4"/>
      <c r="E6" s="1" t="s">
        <v>1719</v>
      </c>
      <c r="F6" s="506">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5">
      <c r="D7" s="4"/>
    </row>
    <row r="8" spans="1:7" x14ac:dyDescent="0.25">
      <c r="A8" s="878" t="s">
        <v>1721</v>
      </c>
      <c r="B8" s="878"/>
      <c r="C8" s="878"/>
      <c r="G8" s="4"/>
    </row>
    <row r="9" spans="1:7" x14ac:dyDescent="0.25">
      <c r="A9" s="1" t="s">
        <v>1720</v>
      </c>
      <c r="B9" s="466">
        <v>14.74</v>
      </c>
      <c r="C9" s="2"/>
    </row>
    <row r="10" spans="1:7" x14ac:dyDescent="0.25">
      <c r="A10" s="1" t="s">
        <v>1287</v>
      </c>
      <c r="B10" s="504">
        <f>(B9/(258.6-((B9/258.2)*227.1))) + 1</f>
        <v>1.0600076319236915</v>
      </c>
      <c r="C10" s="2"/>
    </row>
  </sheetData>
  <sheetProtection sheet="1" objects="1" scenario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workbookViewId="0">
      <selection activeCell="C2" sqref="C2:C7"/>
    </sheetView>
  </sheetViews>
  <sheetFormatPr defaultRowHeight="14.4" x14ac:dyDescent="0.3"/>
  <cols>
    <col min="1" max="1" width="33.44140625" style="452" bestFit="1" customWidth="1"/>
    <col min="2" max="2" width="5.109375" style="452" customWidth="1"/>
    <col min="3" max="3" width="12" style="452" customWidth="1"/>
    <col min="4" max="4" width="7.6640625" style="452" bestFit="1" customWidth="1"/>
    <col min="5" max="5" width="9.44140625" style="452" customWidth="1"/>
    <col min="6" max="6" width="7.33203125" style="452" bestFit="1" customWidth="1"/>
    <col min="7" max="7" width="8.88671875" style="452"/>
    <col min="8" max="8" width="12" style="452" bestFit="1" customWidth="1"/>
    <col min="9" max="16384" width="8.88671875" style="452"/>
  </cols>
  <sheetData>
    <row r="1" spans="1:6" x14ac:dyDescent="0.3">
      <c r="C1" s="453" t="s">
        <v>1897</v>
      </c>
    </row>
    <row r="2" spans="1:6" ht="16.2" x14ac:dyDescent="0.3">
      <c r="A2" s="452" t="s">
        <v>1898</v>
      </c>
      <c r="B2" s="452" t="s">
        <v>1899</v>
      </c>
      <c r="C2" s="520">
        <v>12</v>
      </c>
      <c r="D2" s="452" t="s">
        <v>1900</v>
      </c>
      <c r="E2" s="454">
        <f>C2*144</f>
        <v>1728</v>
      </c>
      <c r="F2" s="452" t="s">
        <v>1901</v>
      </c>
    </row>
    <row r="3" spans="1:6" x14ac:dyDescent="0.3">
      <c r="A3" s="452" t="s">
        <v>1902</v>
      </c>
      <c r="B3" s="452" t="s">
        <v>1903</v>
      </c>
      <c r="C3" s="521">
        <v>1.01</v>
      </c>
    </row>
    <row r="4" spans="1:6" ht="15.6" x14ac:dyDescent="0.35">
      <c r="A4" s="452" t="s">
        <v>1904</v>
      </c>
      <c r="B4" s="452" t="s">
        <v>1905</v>
      </c>
      <c r="C4" s="522">
        <f>31/12</f>
        <v>2.5833333333333335</v>
      </c>
      <c r="D4" s="452">
        <v>22</v>
      </c>
    </row>
    <row r="5" spans="1:6" x14ac:dyDescent="0.3">
      <c r="A5" s="452" t="s">
        <v>1906</v>
      </c>
      <c r="B5" s="452" t="s">
        <v>507</v>
      </c>
      <c r="C5" s="520">
        <v>0.1875</v>
      </c>
      <c r="D5" s="452" t="s">
        <v>1907</v>
      </c>
      <c r="E5" s="454">
        <f>C5/12</f>
        <v>1.5625E-2</v>
      </c>
      <c r="F5" s="452" t="s">
        <v>1908</v>
      </c>
    </row>
    <row r="6" spans="1:6" x14ac:dyDescent="0.3">
      <c r="A6" s="452" t="s">
        <v>1909</v>
      </c>
      <c r="B6" s="452" t="s">
        <v>1910</v>
      </c>
      <c r="C6" s="523">
        <f>0.0015/25.4*1/12</f>
        <v>4.9212598425196856E-6</v>
      </c>
      <c r="D6" s="452" t="s">
        <v>1908</v>
      </c>
    </row>
    <row r="7" spans="1:6" x14ac:dyDescent="0.3">
      <c r="A7" s="452" t="s">
        <v>1911</v>
      </c>
      <c r="C7" s="520">
        <v>10</v>
      </c>
      <c r="D7" s="452" t="s">
        <v>1912</v>
      </c>
    </row>
    <row r="8" spans="1:6" x14ac:dyDescent="0.3">
      <c r="C8" s="455"/>
    </row>
    <row r="9" spans="1:6" x14ac:dyDescent="0.3">
      <c r="C9" s="456" t="s">
        <v>1913</v>
      </c>
    </row>
    <row r="10" spans="1:6" ht="16.8" x14ac:dyDescent="0.35">
      <c r="A10" s="452" t="s">
        <v>1914</v>
      </c>
      <c r="B10" s="457" t="s">
        <v>1915</v>
      </c>
      <c r="C10" s="458">
        <v>1.94</v>
      </c>
      <c r="D10" s="452" t="s">
        <v>1916</v>
      </c>
      <c r="E10" s="454">
        <f>C10*32.174049</f>
        <v>62.417655059999994</v>
      </c>
      <c r="F10" s="452" t="s">
        <v>1917</v>
      </c>
    </row>
    <row r="11" spans="1:6" ht="16.2" x14ac:dyDescent="0.3">
      <c r="A11" s="452" t="s">
        <v>1918</v>
      </c>
      <c r="B11" s="457" t="s">
        <v>1714</v>
      </c>
      <c r="C11" s="458">
        <f>C3*E10</f>
        <v>63.041831610599992</v>
      </c>
      <c r="D11" s="452" t="s">
        <v>1919</v>
      </c>
    </row>
    <row r="12" spans="1:6" ht="16.2" x14ac:dyDescent="0.3">
      <c r="A12" s="452" t="s">
        <v>1920</v>
      </c>
      <c r="B12" s="452" t="s">
        <v>1921</v>
      </c>
      <c r="C12" s="458">
        <f>PI()*(E5/2)^2</f>
        <v>1.9174759848570515E-4</v>
      </c>
      <c r="D12" s="452" t="s">
        <v>1922</v>
      </c>
    </row>
    <row r="13" spans="1:6" ht="16.2" x14ac:dyDescent="0.3">
      <c r="A13" s="452" t="s">
        <v>1923</v>
      </c>
      <c r="B13" s="452" t="s">
        <v>1924</v>
      </c>
      <c r="C13" s="458">
        <f>0.016710069444/C7</f>
        <v>1.6710069444000001E-3</v>
      </c>
      <c r="D13" s="452" t="s">
        <v>1925</v>
      </c>
    </row>
    <row r="14" spans="1:6" x14ac:dyDescent="0.3">
      <c r="A14" s="452" t="s">
        <v>1926</v>
      </c>
      <c r="B14" s="452" t="s">
        <v>1927</v>
      </c>
      <c r="C14" s="458">
        <f>C13/C12</f>
        <v>8.7146173281777735</v>
      </c>
      <c r="D14" s="452" t="s">
        <v>1928</v>
      </c>
    </row>
    <row r="15" spans="1:6" ht="16.8" x14ac:dyDescent="0.35">
      <c r="A15" s="452" t="s">
        <v>1929</v>
      </c>
      <c r="B15" s="452" t="s">
        <v>1930</v>
      </c>
      <c r="C15" s="458">
        <f>0.00003228*C3</f>
        <v>3.2602800000000006E-5</v>
      </c>
      <c r="D15" s="452" t="s">
        <v>1931</v>
      </c>
    </row>
    <row r="16" spans="1:6" ht="16.2" x14ac:dyDescent="0.3">
      <c r="A16" s="452" t="s">
        <v>1932</v>
      </c>
      <c r="B16" s="457" t="s">
        <v>1933</v>
      </c>
      <c r="C16" s="458">
        <f>C15/C10</f>
        <v>1.6805567010309282E-5</v>
      </c>
      <c r="D16" s="452" t="s">
        <v>1934</v>
      </c>
    </row>
    <row r="17" spans="1:4" x14ac:dyDescent="0.3">
      <c r="A17" s="452" t="s">
        <v>1935</v>
      </c>
      <c r="B17" s="452" t="s">
        <v>1936</v>
      </c>
      <c r="C17" s="458">
        <f>(C13*E5)/(C16*C12)</f>
        <v>8102.4279436241259</v>
      </c>
    </row>
    <row r="18" spans="1:4" x14ac:dyDescent="0.3">
      <c r="A18" s="452" t="s">
        <v>1937</v>
      </c>
      <c r="B18" s="452" t="s">
        <v>1938</v>
      </c>
      <c r="C18" s="458">
        <f>0.25*(LOG10(C6/(3.7*C5)+5.74/C17^0.9))^-2</f>
        <v>3.2888353186781065E-2</v>
      </c>
    </row>
    <row r="19" spans="1:4" ht="15" thickBot="1" x14ac:dyDescent="0.35"/>
    <row r="20" spans="1:4" ht="15.6" thickTop="1" thickBot="1" x14ac:dyDescent="0.35">
      <c r="A20" s="456" t="s">
        <v>1939</v>
      </c>
      <c r="B20" s="459" t="s">
        <v>1940</v>
      </c>
      <c r="C20" s="460">
        <f>(E2/C11-C4)*E5/C18*2*32.2/C14^2</f>
        <v>10.002119249741197</v>
      </c>
      <c r="D20" s="461" t="s">
        <v>1908</v>
      </c>
    </row>
    <row r="21" spans="1:4" ht="15" thickTop="1" x14ac:dyDescent="0.3"/>
    <row r="22" spans="1:4" x14ac:dyDescent="0.3">
      <c r="A22" s="452" t="s">
        <v>1941</v>
      </c>
    </row>
    <row r="23" spans="1:4" x14ac:dyDescent="0.3">
      <c r="A23" s="452" t="s">
        <v>1942</v>
      </c>
    </row>
    <row r="24" spans="1:4" x14ac:dyDescent="0.3">
      <c r="A24" s="452" t="s">
        <v>1943</v>
      </c>
    </row>
    <row r="25" spans="1:4" x14ac:dyDescent="0.3">
      <c r="A25" s="452" t="s">
        <v>1944</v>
      </c>
    </row>
    <row r="26" spans="1:4" x14ac:dyDescent="0.3">
      <c r="A26" s="452" t="s">
        <v>1945</v>
      </c>
    </row>
    <row r="27" spans="1:4" x14ac:dyDescent="0.3">
      <c r="A27" s="452" t="s">
        <v>1946</v>
      </c>
    </row>
    <row r="29" spans="1:4" x14ac:dyDescent="0.3">
      <c r="A29" s="452" t="s">
        <v>1947</v>
      </c>
    </row>
    <row r="30" spans="1:4" x14ac:dyDescent="0.3">
      <c r="A30" s="462" t="s">
        <v>1948</v>
      </c>
    </row>
    <row r="34" spans="7:9" x14ac:dyDescent="0.3">
      <c r="G34" s="463"/>
      <c r="H34" s="464"/>
      <c r="I34" s="464"/>
    </row>
  </sheetData>
  <sheetProtection sheet="1" objects="1" scenario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workbookViewId="0">
      <selection activeCell="F2" sqref="F2"/>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21875" customWidth="1"/>
    <col min="9" max="9" width="18" customWidth="1"/>
    <col min="10" max="10" width="10.6640625" customWidth="1"/>
    <col min="11" max="11" width="13.5546875" customWidth="1"/>
    <col min="12" max="12" width="6.77734375" customWidth="1"/>
    <col min="13" max="13" width="4.88671875" customWidth="1"/>
    <col min="14" max="14" width="2.6640625" customWidth="1"/>
    <col min="15" max="15" width="9.109375" customWidth="1"/>
    <col min="17" max="17" width="8.5546875" customWidth="1"/>
    <col min="18" max="18" width="8.77734375" customWidth="1"/>
    <col min="19" max="19" width="2.88671875" customWidth="1"/>
    <col min="20" max="20" width="18.109375" customWidth="1"/>
    <col min="21" max="21" width="7.88671875" bestFit="1" customWidth="1"/>
    <col min="22" max="22" width="9" customWidth="1"/>
  </cols>
  <sheetData>
    <row r="1" spans="1:22" ht="15.6" x14ac:dyDescent="0.25">
      <c r="A1" s="879" t="s">
        <v>64</v>
      </c>
      <c r="B1" s="880"/>
      <c r="C1" s="880"/>
      <c r="E1" s="879" t="s">
        <v>61</v>
      </c>
      <c r="F1" s="880"/>
      <c r="G1" s="880"/>
      <c r="I1" s="879" t="s">
        <v>1700</v>
      </c>
      <c r="J1" s="880"/>
      <c r="K1" s="880"/>
      <c r="O1" s="879" t="s">
        <v>37</v>
      </c>
      <c r="P1" s="880"/>
      <c r="Q1" s="880"/>
      <c r="R1" s="881"/>
      <c r="T1" s="879" t="s">
        <v>28</v>
      </c>
      <c r="U1" s="880"/>
      <c r="V1" s="880"/>
    </row>
    <row r="2" spans="1:22" ht="15.6" x14ac:dyDescent="0.35">
      <c r="A2" s="5" t="s">
        <v>38</v>
      </c>
      <c r="B2" s="59">
        <v>0.88</v>
      </c>
      <c r="C2" s="2" t="s">
        <v>15</v>
      </c>
      <c r="E2" s="5" t="s">
        <v>53</v>
      </c>
      <c r="F2" s="59">
        <v>1.73</v>
      </c>
      <c r="G2" s="2" t="s">
        <v>55</v>
      </c>
      <c r="I2" s="5" t="s">
        <v>53</v>
      </c>
      <c r="J2" s="59">
        <v>1.73</v>
      </c>
      <c r="K2" s="2" t="s">
        <v>55</v>
      </c>
      <c r="O2" s="878" t="s">
        <v>19</v>
      </c>
      <c r="P2" s="878"/>
      <c r="Q2" s="891" t="s">
        <v>46</v>
      </c>
      <c r="R2" s="890" t="s">
        <v>65</v>
      </c>
      <c r="T2" s="878" t="s">
        <v>21</v>
      </c>
      <c r="U2" s="886" t="s">
        <v>45</v>
      </c>
      <c r="V2" s="890" t="s">
        <v>35</v>
      </c>
    </row>
    <row r="3" spans="1:22" ht="15.6" x14ac:dyDescent="0.35">
      <c r="A3" s="5" t="s">
        <v>36</v>
      </c>
      <c r="B3" s="59">
        <v>3.6</v>
      </c>
      <c r="C3" s="2" t="s">
        <v>15</v>
      </c>
      <c r="E3" s="5" t="s">
        <v>54</v>
      </c>
      <c r="F3" s="59">
        <v>6.5</v>
      </c>
      <c r="G3" s="2" t="s">
        <v>55</v>
      </c>
      <c r="I3" s="5" t="s">
        <v>54</v>
      </c>
      <c r="J3" s="59">
        <v>6.5</v>
      </c>
      <c r="K3" s="2" t="s">
        <v>55</v>
      </c>
      <c r="O3" s="2" t="s">
        <v>18</v>
      </c>
      <c r="P3" s="2" t="s">
        <v>20</v>
      </c>
      <c r="Q3" s="892"/>
      <c r="R3" s="890"/>
      <c r="T3" s="878"/>
      <c r="U3" s="889"/>
      <c r="V3" s="890"/>
    </row>
    <row r="4" spans="1:22" ht="30" customHeight="1" x14ac:dyDescent="0.25">
      <c r="A4" s="115" t="s">
        <v>1697</v>
      </c>
      <c r="B4" s="116">
        <f>'Recipe Sheet'!V44</f>
        <v>40</v>
      </c>
      <c r="C4" s="116" t="str">
        <f>'Brewhouse Setup &amp; Calcs'!C12</f>
        <v>qt</v>
      </c>
      <c r="E4" s="115" t="s">
        <v>1697</v>
      </c>
      <c r="F4" s="116">
        <f>'Recipe Sheet'!V44</f>
        <v>40</v>
      </c>
      <c r="G4" s="116" t="str">
        <f>'Brewhouse Setup &amp; Calcs'!C12</f>
        <v>qt</v>
      </c>
      <c r="I4" s="115" t="s">
        <v>1697</v>
      </c>
      <c r="J4" s="116">
        <f>'Recipe Sheet'!V44</f>
        <v>40</v>
      </c>
      <c r="K4" s="116" t="str">
        <f>'Brewhouse Setup &amp; Calcs'!C12</f>
        <v>qt</v>
      </c>
      <c r="O4" s="2">
        <v>0</v>
      </c>
      <c r="P4" s="7">
        <f t="shared" ref="P4:P15" si="0">O4*9/5+32</f>
        <v>32</v>
      </c>
      <c r="Q4" s="6">
        <v>3.34</v>
      </c>
      <c r="R4" s="6">
        <v>1.7</v>
      </c>
      <c r="T4" s="1" t="s">
        <v>22</v>
      </c>
      <c r="U4" s="2" t="s">
        <v>47</v>
      </c>
      <c r="V4" s="14" t="s">
        <v>70</v>
      </c>
    </row>
    <row r="5" spans="1:22" ht="16.2" customHeight="1" thickBot="1" x14ac:dyDescent="0.4">
      <c r="A5" s="886" t="s">
        <v>56</v>
      </c>
      <c r="B5" s="117">
        <f>(B3-B2)*'Common Variables'!C14/(2*('Common Variables'!D6*'Common Variables'!D7/'Common Variables'!D8))</f>
        <v>10.18538810444088</v>
      </c>
      <c r="C5" s="118" t="s">
        <v>16</v>
      </c>
      <c r="E5" s="886" t="s">
        <v>56</v>
      </c>
      <c r="F5" s="116">
        <f>(F3-F2)*2.16</f>
        <v>10.3032</v>
      </c>
      <c r="G5" s="2" t="s">
        <v>16</v>
      </c>
      <c r="I5" s="762" t="s">
        <v>1702</v>
      </c>
      <c r="J5" s="117">
        <f>(J$3-J$2)/(0.5*0.91)</f>
        <v>10.483516483516482</v>
      </c>
      <c r="K5" s="118" t="s">
        <v>16</v>
      </c>
      <c r="O5" s="2">
        <v>2</v>
      </c>
      <c r="P5" s="7">
        <f t="shared" si="0"/>
        <v>35.6</v>
      </c>
      <c r="Q5" s="6">
        <v>3.14</v>
      </c>
      <c r="R5" s="6">
        <v>1.6</v>
      </c>
      <c r="T5" s="1" t="s">
        <v>31</v>
      </c>
      <c r="U5" s="2" t="s">
        <v>27</v>
      </c>
      <c r="V5" s="2" t="s">
        <v>23</v>
      </c>
    </row>
    <row r="6" spans="1:22" ht="13.8" thickBot="1" x14ac:dyDescent="0.3">
      <c r="A6" s="887"/>
      <c r="B6" s="121">
        <f>B5*$B$4</f>
        <v>407.41552417763523</v>
      </c>
      <c r="C6" s="114" t="s">
        <v>1699</v>
      </c>
      <c r="E6" s="888"/>
      <c r="F6" s="121">
        <f>F5*$B$4</f>
        <v>412.12800000000004</v>
      </c>
      <c r="G6" s="114" t="s">
        <v>1699</v>
      </c>
      <c r="I6" s="887"/>
      <c r="J6" s="121">
        <f>J5*$B$4</f>
        <v>419.34065934065927</v>
      </c>
      <c r="K6" s="114" t="s">
        <v>1699</v>
      </c>
      <c r="O6" s="2">
        <v>4</v>
      </c>
      <c r="P6" s="7">
        <f t="shared" si="0"/>
        <v>39.200000000000003</v>
      </c>
      <c r="Q6" s="6">
        <v>2.95</v>
      </c>
      <c r="R6" s="6">
        <v>1.5</v>
      </c>
      <c r="T6" s="1" t="s">
        <v>30</v>
      </c>
      <c r="U6" s="2" t="s">
        <v>48</v>
      </c>
      <c r="V6" s="2" t="s">
        <v>24</v>
      </c>
    </row>
    <row r="7" spans="1:22" ht="13.8" thickBot="1" x14ac:dyDescent="0.3">
      <c r="A7" s="888"/>
      <c r="B7" s="119">
        <f>B5/28.34952/1.056688</f>
        <v>0.34000483779648361</v>
      </c>
      <c r="C7" s="14" t="s">
        <v>1698</v>
      </c>
      <c r="E7" s="888"/>
      <c r="F7" s="119">
        <f>F5/28.34952/1.056688</f>
        <v>0.34393759068025542</v>
      </c>
      <c r="G7" s="14" t="s">
        <v>1698</v>
      </c>
      <c r="I7" s="888"/>
      <c r="J7" s="119">
        <f>J5/28.34952/1.056688</f>
        <v>0.34995684847400826</v>
      </c>
      <c r="K7" s="14" t="s">
        <v>1698</v>
      </c>
      <c r="O7" s="2">
        <v>6</v>
      </c>
      <c r="P7" s="7">
        <f t="shared" si="0"/>
        <v>42.8</v>
      </c>
      <c r="Q7" s="6">
        <v>2.75</v>
      </c>
      <c r="R7" s="6">
        <v>1.4</v>
      </c>
      <c r="T7" s="1" t="s">
        <v>29</v>
      </c>
      <c r="U7" s="2" t="s">
        <v>49</v>
      </c>
      <c r="V7" s="14" t="s">
        <v>74</v>
      </c>
    </row>
    <row r="8" spans="1:22" ht="13.8" thickBot="1" x14ac:dyDescent="0.3">
      <c r="A8" s="887"/>
      <c r="B8" s="122">
        <f>$B$4*B7</f>
        <v>13.600193511859345</v>
      </c>
      <c r="C8" s="114" t="s">
        <v>1695</v>
      </c>
      <c r="E8" s="889"/>
      <c r="F8" s="122">
        <f>$B$4*F7</f>
        <v>13.757503627210216</v>
      </c>
      <c r="G8" s="14" t="s">
        <v>1695</v>
      </c>
      <c r="I8" s="887"/>
      <c r="J8" s="122">
        <f>$B$4*J7</f>
        <v>13.998273938960331</v>
      </c>
      <c r="K8" s="114" t="s">
        <v>1695</v>
      </c>
      <c r="O8" s="2">
        <v>8</v>
      </c>
      <c r="P8" s="7">
        <f t="shared" si="0"/>
        <v>46.4</v>
      </c>
      <c r="Q8" s="6">
        <v>2.5499999999999998</v>
      </c>
      <c r="R8" s="6">
        <v>1.3</v>
      </c>
      <c r="T8" s="13" t="s">
        <v>68</v>
      </c>
      <c r="U8" s="2" t="s">
        <v>50</v>
      </c>
      <c r="V8" s="14" t="s">
        <v>72</v>
      </c>
    </row>
    <row r="9" spans="1:22" ht="16.2" customHeight="1" thickBot="1" x14ac:dyDescent="0.4">
      <c r="A9" s="886" t="s">
        <v>57</v>
      </c>
      <c r="B9" s="120">
        <f>B5*1.15</f>
        <v>11.713196320107011</v>
      </c>
      <c r="C9" s="2" t="s">
        <v>16</v>
      </c>
      <c r="E9" s="886" t="s">
        <v>57</v>
      </c>
      <c r="F9" s="116">
        <f>F5*1.15</f>
        <v>11.84868</v>
      </c>
      <c r="G9" s="2" t="s">
        <v>16</v>
      </c>
      <c r="I9" s="894" t="s">
        <v>1703</v>
      </c>
      <c r="J9" s="117">
        <f>(J$3-J$2)/(0.5*0.82*0.8)</f>
        <v>14.542682926829267</v>
      </c>
      <c r="K9" s="2" t="s">
        <v>16</v>
      </c>
      <c r="O9" s="2">
        <v>10</v>
      </c>
      <c r="P9" s="7">
        <f t="shared" si="0"/>
        <v>50</v>
      </c>
      <c r="Q9" s="6">
        <v>2.36</v>
      </c>
      <c r="R9" s="6">
        <v>1.2</v>
      </c>
      <c r="T9" s="13" t="s">
        <v>69</v>
      </c>
      <c r="U9" s="2"/>
      <c r="V9" s="14" t="s">
        <v>73</v>
      </c>
    </row>
    <row r="10" spans="1:22" ht="13.8" thickBot="1" x14ac:dyDescent="0.3">
      <c r="A10" s="888"/>
      <c r="B10" s="121">
        <f>B9*$B$4</f>
        <v>468.52785280428043</v>
      </c>
      <c r="C10" s="14" t="s">
        <v>1699</v>
      </c>
      <c r="E10" s="888"/>
      <c r="F10" s="121">
        <f>F9*$B$4</f>
        <v>473.94720000000001</v>
      </c>
      <c r="G10" s="14" t="s">
        <v>1699</v>
      </c>
      <c r="I10" s="883"/>
      <c r="J10" s="121">
        <f>J9*$B$4</f>
        <v>581.70731707317066</v>
      </c>
      <c r="K10" s="14" t="s">
        <v>1699</v>
      </c>
      <c r="O10" s="2">
        <v>12</v>
      </c>
      <c r="P10" s="7">
        <f t="shared" si="0"/>
        <v>53.6</v>
      </c>
      <c r="Q10" s="6">
        <v>2.2000000000000002</v>
      </c>
      <c r="R10" s="6">
        <v>1.1200000000000001</v>
      </c>
      <c r="T10" s="1" t="s">
        <v>32</v>
      </c>
      <c r="U10" s="2" t="s">
        <v>50</v>
      </c>
      <c r="V10" s="2" t="s">
        <v>25</v>
      </c>
    </row>
    <row r="11" spans="1:22" ht="13.8" thickBot="1" x14ac:dyDescent="0.3">
      <c r="A11" s="888"/>
      <c r="B11" s="64">
        <f>B9/28.34952/1.056688</f>
        <v>0.39100556346595611</v>
      </c>
      <c r="C11" s="14" t="s">
        <v>1698</v>
      </c>
      <c r="E11" s="888"/>
      <c r="F11" s="64">
        <f>F9/28.34952/1.056688</f>
        <v>0.3955282292822937</v>
      </c>
      <c r="G11" s="14" t="s">
        <v>1698</v>
      </c>
      <c r="I11" s="883"/>
      <c r="J11" s="64">
        <f>J9/28.34952/1.056688</f>
        <v>0.48545843309656644</v>
      </c>
      <c r="K11" s="14" t="s">
        <v>1698</v>
      </c>
      <c r="O11" s="2">
        <v>14</v>
      </c>
      <c r="P11" s="7">
        <f t="shared" si="0"/>
        <v>57.2</v>
      </c>
      <c r="Q11" s="6">
        <v>2.06</v>
      </c>
      <c r="R11" s="6">
        <v>1.05</v>
      </c>
      <c r="T11" s="1" t="s">
        <v>33</v>
      </c>
      <c r="U11" s="2" t="s">
        <v>52</v>
      </c>
      <c r="V11" s="2" t="s">
        <v>26</v>
      </c>
    </row>
    <row r="12" spans="1:22" ht="13.8" thickBot="1" x14ac:dyDescent="0.3">
      <c r="A12" s="889"/>
      <c r="B12" s="122">
        <f>$B$4*B11</f>
        <v>15.640222538638245</v>
      </c>
      <c r="C12" s="114" t="s">
        <v>1695</v>
      </c>
      <c r="E12" s="889"/>
      <c r="F12" s="122">
        <f>$B$4*F11</f>
        <v>15.821129171291748</v>
      </c>
      <c r="G12" s="114" t="s">
        <v>1695</v>
      </c>
      <c r="I12" s="884"/>
      <c r="J12" s="122">
        <f>$B$4*J11</f>
        <v>19.418337323862659</v>
      </c>
      <c r="K12" s="114" t="s">
        <v>1695</v>
      </c>
      <c r="O12" s="2">
        <v>16</v>
      </c>
      <c r="P12" s="7">
        <f t="shared" si="0"/>
        <v>60.8</v>
      </c>
      <c r="Q12" s="6">
        <v>1.94</v>
      </c>
      <c r="R12" s="6">
        <v>0.99</v>
      </c>
      <c r="T12" s="1" t="s">
        <v>34</v>
      </c>
      <c r="U12" s="2" t="s">
        <v>51</v>
      </c>
      <c r="V12" s="14" t="s">
        <v>71</v>
      </c>
    </row>
    <row r="13" spans="1:22" ht="15" customHeight="1" thickBot="1" x14ac:dyDescent="0.4">
      <c r="A13" s="882" t="s">
        <v>62</v>
      </c>
      <c r="B13" s="116">
        <f>B5*1.3</f>
        <v>13.241004535773145</v>
      </c>
      <c r="C13" s="2" t="s">
        <v>16</v>
      </c>
      <c r="E13" s="882" t="s">
        <v>62</v>
      </c>
      <c r="F13" s="116">
        <f>F5*1.3</f>
        <v>13.394160000000001</v>
      </c>
      <c r="G13" s="2" t="s">
        <v>16</v>
      </c>
      <c r="O13" s="2">
        <v>18</v>
      </c>
      <c r="P13" s="7">
        <f t="shared" si="0"/>
        <v>64.400000000000006</v>
      </c>
      <c r="Q13" s="6">
        <v>1.83</v>
      </c>
      <c r="R13" s="6">
        <v>0.93</v>
      </c>
      <c r="T13" s="1"/>
      <c r="U13" s="2"/>
      <c r="V13" s="2"/>
    </row>
    <row r="14" spans="1:22" ht="15" customHeight="1" thickBot="1" x14ac:dyDescent="0.3">
      <c r="A14" s="883"/>
      <c r="B14" s="121">
        <f>B13*$B$4</f>
        <v>529.64018143092585</v>
      </c>
      <c r="C14" s="114" t="s">
        <v>1699</v>
      </c>
      <c r="E14" s="883"/>
      <c r="F14" s="121">
        <f>F13*$B$4</f>
        <v>535.76640000000009</v>
      </c>
      <c r="G14" s="114" t="s">
        <v>1699</v>
      </c>
      <c r="O14" s="2">
        <v>20</v>
      </c>
      <c r="P14" s="7">
        <f t="shared" si="0"/>
        <v>68</v>
      </c>
      <c r="Q14" s="6">
        <v>1.73</v>
      </c>
      <c r="R14" s="6">
        <v>0.88</v>
      </c>
      <c r="T14" s="1"/>
      <c r="U14" s="2"/>
      <c r="V14" s="2"/>
    </row>
    <row r="15" spans="1:22" ht="13.8" thickBot="1" x14ac:dyDescent="0.3">
      <c r="A15" s="883"/>
      <c r="B15" s="64">
        <f>B13/28.34952/1.056688</f>
        <v>0.44200628913542872</v>
      </c>
      <c r="C15" s="14" t="s">
        <v>1698</v>
      </c>
      <c r="E15" s="883"/>
      <c r="F15" s="64">
        <f>F13/28.34952/1.056688</f>
        <v>0.44711886788433203</v>
      </c>
      <c r="G15" s="14" t="s">
        <v>1698</v>
      </c>
      <c r="O15" s="2">
        <v>22</v>
      </c>
      <c r="P15" s="7">
        <f t="shared" si="0"/>
        <v>71.599999999999994</v>
      </c>
      <c r="Q15" s="6">
        <v>1.63</v>
      </c>
      <c r="R15" s="6">
        <v>0.83</v>
      </c>
    </row>
    <row r="16" spans="1:22" ht="13.8" thickBot="1" x14ac:dyDescent="0.3">
      <c r="A16" s="884"/>
      <c r="B16" s="122">
        <f>$B$4*B15</f>
        <v>17.680251565417148</v>
      </c>
      <c r="C16" s="114" t="s">
        <v>1695</v>
      </c>
      <c r="E16" s="884"/>
      <c r="F16" s="122">
        <f>$B$4*F15</f>
        <v>17.88475471537328</v>
      </c>
      <c r="G16" s="114" t="s">
        <v>1695</v>
      </c>
    </row>
    <row r="17" spans="1:17" ht="16.2" thickBot="1" x14ac:dyDescent="0.4">
      <c r="A17" s="885" t="s">
        <v>63</v>
      </c>
      <c r="B17" s="116">
        <f>B5*1.4</f>
        <v>14.259543346217232</v>
      </c>
      <c r="C17" s="2" t="s">
        <v>16</v>
      </c>
      <c r="E17" s="885" t="s">
        <v>63</v>
      </c>
      <c r="F17" s="116">
        <f>F5*1.4</f>
        <v>14.424479999999999</v>
      </c>
      <c r="G17" s="2" t="s">
        <v>16</v>
      </c>
      <c r="Q17" s="4"/>
    </row>
    <row r="18" spans="1:17" ht="13.8" thickBot="1" x14ac:dyDescent="0.3">
      <c r="A18" s="885"/>
      <c r="B18" s="121">
        <f>B17*$B$4</f>
        <v>570.38173384868924</v>
      </c>
      <c r="C18" s="114" t="s">
        <v>1699</v>
      </c>
      <c r="E18" s="885"/>
      <c r="F18" s="121">
        <f>F17*$B$4</f>
        <v>576.97919999999999</v>
      </c>
      <c r="G18" s="114" t="s">
        <v>1699</v>
      </c>
      <c r="Q18" s="4"/>
    </row>
    <row r="19" spans="1:17" ht="13.8" thickBot="1" x14ac:dyDescent="0.3">
      <c r="A19" s="885"/>
      <c r="B19" s="64">
        <f>B17/28.34952/1.056688</f>
        <v>0.47600677291507704</v>
      </c>
      <c r="C19" s="2" t="s">
        <v>17</v>
      </c>
      <c r="E19" s="885"/>
      <c r="F19" s="64">
        <f>F17/28.34952/1.056688</f>
        <v>0.48151262695235753</v>
      </c>
      <c r="G19" s="2" t="s">
        <v>17</v>
      </c>
    </row>
    <row r="20" spans="1:17" ht="13.8" thickBot="1" x14ac:dyDescent="0.3">
      <c r="A20" s="885"/>
      <c r="B20" s="122">
        <f>$B$4*B19</f>
        <v>19.040270916603081</v>
      </c>
      <c r="C20" s="114" t="s">
        <v>1695</v>
      </c>
      <c r="E20" s="885"/>
      <c r="F20" s="122">
        <f>$B$4*F19</f>
        <v>19.260505078094301</v>
      </c>
      <c r="G20" s="114" t="s">
        <v>1695</v>
      </c>
    </row>
    <row r="22" spans="1:17" ht="15.6" x14ac:dyDescent="0.25">
      <c r="A22" s="12" t="s">
        <v>58</v>
      </c>
    </row>
    <row r="23" spans="1:17" ht="15.6" x14ac:dyDescent="0.25">
      <c r="A23" s="12" t="s">
        <v>59</v>
      </c>
    </row>
    <row r="24" spans="1:17" ht="15.6" x14ac:dyDescent="0.25">
      <c r="A24" s="12" t="s">
        <v>60</v>
      </c>
    </row>
    <row r="25" spans="1:17" ht="15.6" x14ac:dyDescent="0.25">
      <c r="A25" s="12" t="s">
        <v>1701</v>
      </c>
    </row>
    <row r="32" spans="1:17" x14ac:dyDescent="0.25">
      <c r="E32" s="733" t="s">
        <v>1574</v>
      </c>
      <c r="F32" s="733"/>
      <c r="G32" s="733"/>
    </row>
    <row r="33" spans="5:7" x14ac:dyDescent="0.25">
      <c r="E33" s="893" t="s">
        <v>1575</v>
      </c>
      <c r="F33" s="893"/>
      <c r="G33" s="100">
        <v>2.8</v>
      </c>
    </row>
    <row r="34" spans="5:7" x14ac:dyDescent="0.25">
      <c r="E34" s="893" t="s">
        <v>1576</v>
      </c>
      <c r="F34" s="893"/>
      <c r="G34" s="101">
        <v>38</v>
      </c>
    </row>
    <row r="35" spans="5:7" x14ac:dyDescent="0.25">
      <c r="E35" s="893" t="s">
        <v>1577</v>
      </c>
      <c r="F35" s="893"/>
      <c r="G35" s="102">
        <f xml:space="preserve"> -16.6999 - 0.0101059*G34 + 0.00116512*G34^2 + 0.173354*G34*G33 + 4.24267*G33 - 0.0684226*G33^2</f>
        <v>14.386417496000002</v>
      </c>
    </row>
    <row r="36" spans="5:7" x14ac:dyDescent="0.25">
      <c r="E36" s="97" t="s">
        <v>1578</v>
      </c>
    </row>
  </sheetData>
  <sheetProtection sheet="1" objects="1" scenarios="1"/>
  <mergeCells count="25">
    <mergeCell ref="E32:G32"/>
    <mergeCell ref="E33:F33"/>
    <mergeCell ref="E34:F34"/>
    <mergeCell ref="E35:F35"/>
    <mergeCell ref="T1:V1"/>
    <mergeCell ref="V2:V3"/>
    <mergeCell ref="T2:T3"/>
    <mergeCell ref="U2:U3"/>
    <mergeCell ref="I1:K1"/>
    <mergeCell ref="I5:I8"/>
    <mergeCell ref="I9:I12"/>
    <mergeCell ref="A1:C1"/>
    <mergeCell ref="O1:R1"/>
    <mergeCell ref="A13:A16"/>
    <mergeCell ref="A17:A20"/>
    <mergeCell ref="A5:A8"/>
    <mergeCell ref="A9:A12"/>
    <mergeCell ref="R2:R3"/>
    <mergeCell ref="E1:G1"/>
    <mergeCell ref="E5:E8"/>
    <mergeCell ref="E9:E12"/>
    <mergeCell ref="E13:E16"/>
    <mergeCell ref="E17:E20"/>
    <mergeCell ref="Q2:Q3"/>
    <mergeCell ref="O2:P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workbookViewId="0">
      <selection activeCell="C5" sqref="C5"/>
    </sheetView>
  </sheetViews>
  <sheetFormatPr defaultRowHeight="13.2" x14ac:dyDescent="0.25"/>
  <cols>
    <col min="3" max="3" width="9.44140625" customWidth="1"/>
    <col min="4" max="4" width="32.88671875" bestFit="1" customWidth="1"/>
    <col min="5" max="5" width="93.21875" customWidth="1"/>
  </cols>
  <sheetData>
    <row r="2" spans="2:5" x14ac:dyDescent="0.25">
      <c r="B2" s="895" t="s">
        <v>1604</v>
      </c>
      <c r="C2" s="896"/>
      <c r="D2" s="897"/>
      <c r="E2" s="27" t="s">
        <v>1605</v>
      </c>
    </row>
    <row r="3" spans="2:5" x14ac:dyDescent="0.25">
      <c r="B3" s="82" t="s">
        <v>1586</v>
      </c>
      <c r="C3" s="82" t="s">
        <v>104</v>
      </c>
      <c r="D3" s="82" t="s">
        <v>67</v>
      </c>
      <c r="E3" s="107" t="s">
        <v>1608</v>
      </c>
    </row>
    <row r="4" spans="2:5" x14ac:dyDescent="0.25">
      <c r="B4" s="14" t="s">
        <v>1587</v>
      </c>
      <c r="C4" s="36">
        <v>0.79</v>
      </c>
      <c r="D4" s="13" t="s">
        <v>1588</v>
      </c>
      <c r="E4" s="63" t="s">
        <v>1606</v>
      </c>
    </row>
    <row r="5" spans="2:5" x14ac:dyDescent="0.25">
      <c r="B5" s="2" t="s">
        <v>1583</v>
      </c>
      <c r="C5" s="36">
        <v>4.2000000000000003E-2</v>
      </c>
      <c r="D5" s="1" t="s">
        <v>1294</v>
      </c>
      <c r="E5" s="63" t="s">
        <v>1607</v>
      </c>
    </row>
    <row r="6" spans="2:5" x14ac:dyDescent="0.25">
      <c r="B6" s="2" t="s">
        <v>1584</v>
      </c>
      <c r="C6" s="105">
        <f>((C4-C5-0.002)*46.214)/1000+1</f>
        <v>1.034475644</v>
      </c>
      <c r="D6" s="1" t="s">
        <v>1585</v>
      </c>
    </row>
    <row r="8" spans="2:5" x14ac:dyDescent="0.25">
      <c r="B8" s="895" t="s">
        <v>1603</v>
      </c>
      <c r="C8" s="896"/>
      <c r="D8" s="897"/>
      <c r="E8" s="27" t="s">
        <v>1605</v>
      </c>
    </row>
    <row r="9" spans="2:5" x14ac:dyDescent="0.25">
      <c r="B9" s="82" t="s">
        <v>1586</v>
      </c>
      <c r="C9" s="82" t="s">
        <v>104</v>
      </c>
      <c r="D9" s="82" t="s">
        <v>67</v>
      </c>
      <c r="E9" s="20" t="s">
        <v>1609</v>
      </c>
    </row>
    <row r="10" spans="2:5" x14ac:dyDescent="0.25">
      <c r="B10" s="14" t="s">
        <v>1587</v>
      </c>
      <c r="C10" s="36">
        <v>0.79</v>
      </c>
      <c r="D10" s="13" t="s">
        <v>1588</v>
      </c>
    </row>
    <row r="11" spans="2:5" x14ac:dyDescent="0.25">
      <c r="B11" s="2"/>
      <c r="C11" s="108"/>
      <c r="D11" s="1"/>
    </row>
    <row r="12" spans="2:5" x14ac:dyDescent="0.25">
      <c r="B12" s="2" t="s">
        <v>1584</v>
      </c>
      <c r="C12" s="105">
        <f>((C10)*46.214)/1000+1</f>
        <v>1.03650906</v>
      </c>
      <c r="D12" s="1" t="s">
        <v>1585</v>
      </c>
    </row>
  </sheetData>
  <sheetProtection sheet="1" objects="1" scenario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workbookViewId="0">
      <selection activeCell="L11" sqref="L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77734375" style="72" bestFit="1" customWidth="1"/>
    <col min="8" max="8" width="13.6640625" customWidth="1"/>
    <col min="12" max="12" width="32.88671875" bestFit="1" customWidth="1"/>
  </cols>
  <sheetData>
    <row r="1" spans="1:8" x14ac:dyDescent="0.25">
      <c r="A1" s="878" t="s">
        <v>78</v>
      </c>
      <c r="B1" s="878"/>
      <c r="C1" s="878"/>
      <c r="D1" s="878"/>
    </row>
    <row r="2" spans="1:8" x14ac:dyDescent="0.25">
      <c r="A2" s="16" t="s">
        <v>76</v>
      </c>
      <c r="B2" s="3"/>
      <c r="C2" s="19" t="s">
        <v>79</v>
      </c>
      <c r="D2" s="3" t="s">
        <v>80</v>
      </c>
      <c r="F2" s="71" t="s">
        <v>1161</v>
      </c>
      <c r="G2" s="72">
        <v>0.45359237000000002</v>
      </c>
    </row>
    <row r="3" spans="1:8" x14ac:dyDescent="0.25">
      <c r="A3" s="60">
        <v>8.73</v>
      </c>
      <c r="B3" s="15" t="s">
        <v>0</v>
      </c>
      <c r="C3" s="18">
        <f>A3*0.8125</f>
        <v>7.0931250000000006</v>
      </c>
      <c r="D3" s="18">
        <f>A3*0.6875</f>
        <v>6.0018750000000001</v>
      </c>
      <c r="F3" s="41" t="s">
        <v>1162</v>
      </c>
      <c r="G3" s="72">
        <v>2.20462262185</v>
      </c>
    </row>
    <row r="4" spans="1:8" ht="26.4" x14ac:dyDescent="0.25">
      <c r="A4" s="16" t="s">
        <v>77</v>
      </c>
      <c r="B4" s="3"/>
      <c r="C4" s="19" t="s">
        <v>81</v>
      </c>
      <c r="D4" s="3" t="s">
        <v>82</v>
      </c>
      <c r="F4" s="71" t="s">
        <v>1163</v>
      </c>
      <c r="G4" s="72">
        <v>1.0566882049699999</v>
      </c>
    </row>
    <row r="5" spans="1:8" x14ac:dyDescent="0.25">
      <c r="A5" s="60">
        <v>7.57</v>
      </c>
      <c r="B5" s="15" t="s">
        <v>0</v>
      </c>
      <c r="C5" s="18">
        <f>A5*0.937</f>
        <v>7.093090000000001</v>
      </c>
      <c r="D5" s="18">
        <f>A5*0.7929</f>
        <v>6.0022530000000005</v>
      </c>
      <c r="F5" s="41" t="s">
        <v>1164</v>
      </c>
      <c r="G5" s="72">
        <v>0.94635294999999997</v>
      </c>
    </row>
    <row r="6" spans="1:8" x14ac:dyDescent="0.25">
      <c r="F6" s="24" t="s">
        <v>1165</v>
      </c>
      <c r="G6" s="72">
        <v>2.0863511218233199</v>
      </c>
    </row>
    <row r="7" spans="1:8" x14ac:dyDescent="0.25">
      <c r="A7" s="878" t="s">
        <v>75</v>
      </c>
      <c r="B7" s="878"/>
      <c r="C7" s="878"/>
      <c r="D7" s="878"/>
      <c r="F7" s="41" t="s">
        <v>1166</v>
      </c>
      <c r="G7" s="73">
        <v>154</v>
      </c>
      <c r="H7" s="74">
        <f>5/9*(G7-32)</f>
        <v>67.777777777777786</v>
      </c>
    </row>
    <row r="8" spans="1:8" x14ac:dyDescent="0.25">
      <c r="A8" s="17" t="s">
        <v>79</v>
      </c>
      <c r="B8" s="3"/>
      <c r="C8" s="900" t="s">
        <v>76</v>
      </c>
      <c r="D8" s="901"/>
      <c r="F8" s="24" t="s">
        <v>1167</v>
      </c>
      <c r="G8" s="72">
        <v>28.349519999999998</v>
      </c>
    </row>
    <row r="9" spans="1:8" x14ac:dyDescent="0.25">
      <c r="A9" s="60">
        <v>6.6</v>
      </c>
      <c r="B9" s="15" t="s">
        <v>0</v>
      </c>
      <c r="C9" s="898">
        <f>A9/0.8125</f>
        <v>8.1230769230769226</v>
      </c>
      <c r="D9" s="899"/>
      <c r="F9" s="41" t="s">
        <v>1168</v>
      </c>
      <c r="G9" s="72">
        <v>0.26417205124199999</v>
      </c>
    </row>
    <row r="10" spans="1:8" ht="26.4" x14ac:dyDescent="0.25">
      <c r="A10" s="17" t="s">
        <v>80</v>
      </c>
      <c r="B10" s="3"/>
      <c r="C10" s="900" t="s">
        <v>76</v>
      </c>
      <c r="D10" s="901"/>
      <c r="F10" s="75" t="s">
        <v>1170</v>
      </c>
      <c r="G10" s="72">
        <v>4.5100000000000001E-4</v>
      </c>
    </row>
    <row r="11" spans="1:8" ht="26.4" x14ac:dyDescent="0.25">
      <c r="A11" s="60">
        <v>6</v>
      </c>
      <c r="B11" s="15" t="s">
        <v>0</v>
      </c>
      <c r="C11" s="898">
        <f>A11/0.6875</f>
        <v>8.7272727272727266</v>
      </c>
      <c r="D11" s="899"/>
      <c r="F11" s="75" t="s">
        <v>1169</v>
      </c>
      <c r="G11" s="72">
        <f>G10*17.22</f>
        <v>7.7662199999999999E-3</v>
      </c>
    </row>
    <row r="12" spans="1:8" x14ac:dyDescent="0.25">
      <c r="A12" s="17" t="s">
        <v>81</v>
      </c>
      <c r="B12" s="3"/>
      <c r="C12" s="900" t="s">
        <v>76</v>
      </c>
      <c r="D12" s="901"/>
    </row>
    <row r="13" spans="1:8" x14ac:dyDescent="0.25">
      <c r="A13" s="60">
        <v>6</v>
      </c>
      <c r="B13" s="15" t="s">
        <v>0</v>
      </c>
      <c r="C13" s="898">
        <f>A13/0.937</f>
        <v>6.4034151547491991</v>
      </c>
      <c r="D13" s="899"/>
      <c r="F13" s="42" t="s">
        <v>1287</v>
      </c>
      <c r="G13" s="96" t="s">
        <v>89</v>
      </c>
    </row>
    <row r="14" spans="1:8" x14ac:dyDescent="0.25">
      <c r="A14" s="17" t="s">
        <v>82</v>
      </c>
      <c r="B14" s="3"/>
      <c r="C14" s="900" t="s">
        <v>76</v>
      </c>
      <c r="D14" s="901"/>
      <c r="G14" s="96">
        <v>1.6</v>
      </c>
      <c r="H14" s="20" t="s">
        <v>1288</v>
      </c>
    </row>
    <row r="15" spans="1:8" x14ac:dyDescent="0.25">
      <c r="A15" s="60">
        <v>6</v>
      </c>
      <c r="B15" s="15" t="s">
        <v>0</v>
      </c>
      <c r="C15" s="898">
        <f>A15/0.7929</f>
        <v>7.567158531971244</v>
      </c>
      <c r="D15" s="899"/>
      <c r="G15" s="72">
        <v>0.38</v>
      </c>
      <c r="H15" s="20" t="s">
        <v>1289</v>
      </c>
    </row>
    <row r="16" spans="1:8" x14ac:dyDescent="0.25">
      <c r="G16" s="96" t="s">
        <v>1290</v>
      </c>
    </row>
    <row r="17" spans="1:8" x14ac:dyDescent="0.25">
      <c r="A17" s="20" t="s">
        <v>84</v>
      </c>
      <c r="G17" s="72">
        <v>4.18</v>
      </c>
      <c r="H17" s="20" t="s">
        <v>1288</v>
      </c>
    </row>
    <row r="18" spans="1:8" x14ac:dyDescent="0.25">
      <c r="A18" s="20" t="s">
        <v>83</v>
      </c>
      <c r="G18" s="72">
        <v>0.99904397700000003</v>
      </c>
      <c r="H18" s="20" t="s">
        <v>1289</v>
      </c>
    </row>
    <row r="19" spans="1:8" x14ac:dyDescent="0.25">
      <c r="A19" s="20" t="s">
        <v>85</v>
      </c>
    </row>
    <row r="20" spans="1:8" x14ac:dyDescent="0.25">
      <c r="A20" s="20" t="s">
        <v>86</v>
      </c>
    </row>
    <row r="23" spans="1:8" x14ac:dyDescent="0.25">
      <c r="B23" s="20"/>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84A4-86BD-4F0E-967C-E90AA4CC4987}">
  <dimension ref="A1:L202"/>
  <sheetViews>
    <sheetView workbookViewId="0">
      <pane ySplit="1" topLeftCell="A2" activePane="bottomLeft" state="frozen"/>
      <selection pane="bottomLeft"/>
    </sheetView>
  </sheetViews>
  <sheetFormatPr defaultRowHeight="13.2" x14ac:dyDescent="0.25"/>
  <cols>
    <col min="1" max="1" width="31.88671875" style="564" bestFit="1" customWidth="1"/>
    <col min="2" max="2" width="14.21875" style="321" customWidth="1"/>
    <col min="3" max="3" width="12.5546875" style="321" customWidth="1"/>
    <col min="4" max="4" width="11.21875" style="321" customWidth="1"/>
    <col min="5" max="5" width="12.77734375" style="321" customWidth="1"/>
    <col min="6" max="6" width="11.6640625" style="321" customWidth="1"/>
    <col min="7" max="7" width="12.88671875" style="321" customWidth="1"/>
    <col min="8" max="8" width="15" style="321" customWidth="1"/>
    <col min="9" max="9" width="13.88671875" style="321" customWidth="1"/>
    <col min="10" max="10" width="13.21875" style="321" customWidth="1"/>
    <col min="11" max="11" width="13.33203125" style="321" customWidth="1"/>
    <col min="12" max="12" width="9.5546875" style="576" bestFit="1" customWidth="1"/>
    <col min="13" max="16384" width="8.88671875" style="307"/>
  </cols>
  <sheetData>
    <row r="1" spans="1:12" ht="13.8" thickBot="1" x14ac:dyDescent="0.3">
      <c r="A1" s="593" t="s">
        <v>21</v>
      </c>
      <c r="B1" s="591" t="s">
        <v>2259</v>
      </c>
      <c r="C1" s="591" t="s">
        <v>2260</v>
      </c>
      <c r="D1" s="591" t="s">
        <v>2261</v>
      </c>
      <c r="E1" s="591" t="s">
        <v>2262</v>
      </c>
      <c r="F1" s="591" t="s">
        <v>2263</v>
      </c>
      <c r="G1" s="591" t="s">
        <v>2264</v>
      </c>
      <c r="H1" s="591" t="s">
        <v>2265</v>
      </c>
      <c r="I1" s="591" t="s">
        <v>2266</v>
      </c>
      <c r="J1" s="591" t="s">
        <v>2268</v>
      </c>
      <c r="K1" s="591" t="s">
        <v>2267</v>
      </c>
      <c r="L1"/>
    </row>
    <row r="2" spans="1:12" ht="15" thickTop="1" x14ac:dyDescent="0.25">
      <c r="A2" s="592" t="s">
        <v>615</v>
      </c>
      <c r="B2" s="586">
        <v>1.028</v>
      </c>
      <c r="C2" s="586">
        <v>1.04</v>
      </c>
      <c r="D2" s="586">
        <v>0.998</v>
      </c>
      <c r="E2" s="586">
        <v>1.008</v>
      </c>
      <c r="F2" s="587">
        <v>8</v>
      </c>
      <c r="G2" s="588">
        <v>12</v>
      </c>
      <c r="H2" s="589">
        <v>2.8</v>
      </c>
      <c r="I2" s="590">
        <v>4.2</v>
      </c>
      <c r="J2" s="590">
        <v>2</v>
      </c>
      <c r="K2" s="590">
        <v>3</v>
      </c>
      <c r="L2"/>
    </row>
    <row r="3" spans="1:12" ht="14.4" x14ac:dyDescent="0.25">
      <c r="A3" s="1" t="s">
        <v>616</v>
      </c>
      <c r="B3" s="579">
        <v>1.04</v>
      </c>
      <c r="C3" s="579">
        <v>1.05</v>
      </c>
      <c r="D3" s="579">
        <v>1.004</v>
      </c>
      <c r="E3" s="579">
        <v>1.01</v>
      </c>
      <c r="F3" s="580">
        <v>8</v>
      </c>
      <c r="G3" s="581">
        <v>18</v>
      </c>
      <c r="H3" s="582">
        <v>4.2</v>
      </c>
      <c r="I3" s="583">
        <v>5.3</v>
      </c>
      <c r="J3" s="583">
        <v>2</v>
      </c>
      <c r="K3" s="583">
        <v>4</v>
      </c>
      <c r="L3"/>
    </row>
    <row r="4" spans="1:12" ht="14.4" x14ac:dyDescent="0.25">
      <c r="A4" s="1" t="s">
        <v>617</v>
      </c>
      <c r="B4" s="579">
        <v>1.042</v>
      </c>
      <c r="C4" s="579">
        <v>1.0549999999999999</v>
      </c>
      <c r="D4" s="579">
        <v>1.006</v>
      </c>
      <c r="E4" s="579">
        <v>1.012</v>
      </c>
      <c r="F4" s="580">
        <v>8</v>
      </c>
      <c r="G4" s="581">
        <v>20</v>
      </c>
      <c r="H4" s="582">
        <v>4.2</v>
      </c>
      <c r="I4" s="583">
        <v>5.6</v>
      </c>
      <c r="J4" s="583">
        <v>2.5</v>
      </c>
      <c r="K4" s="583">
        <v>5</v>
      </c>
      <c r="L4"/>
    </row>
    <row r="5" spans="1:12" ht="14.4" x14ac:dyDescent="0.25">
      <c r="A5" s="1" t="s">
        <v>618</v>
      </c>
      <c r="B5" s="579">
        <v>1.04</v>
      </c>
      <c r="C5" s="579">
        <v>1.0549999999999999</v>
      </c>
      <c r="D5" s="579">
        <v>1.008</v>
      </c>
      <c r="E5" s="579">
        <v>1.0129999999999999</v>
      </c>
      <c r="F5" s="580">
        <v>15</v>
      </c>
      <c r="G5" s="581">
        <v>30</v>
      </c>
      <c r="H5" s="582">
        <v>4</v>
      </c>
      <c r="I5" s="583">
        <v>5.5</v>
      </c>
      <c r="J5" s="583">
        <v>3</v>
      </c>
      <c r="K5" s="583">
        <v>6</v>
      </c>
      <c r="L5"/>
    </row>
    <row r="6" spans="1:12" ht="14.4" x14ac:dyDescent="0.25">
      <c r="A6" s="1" t="s">
        <v>619</v>
      </c>
      <c r="B6" s="579">
        <v>1.042</v>
      </c>
      <c r="C6" s="579">
        <v>1.05</v>
      </c>
      <c r="D6" s="579">
        <v>1.008</v>
      </c>
      <c r="E6" s="579">
        <v>1.012</v>
      </c>
      <c r="F6" s="580">
        <v>18</v>
      </c>
      <c r="G6" s="581">
        <v>25</v>
      </c>
      <c r="H6" s="582">
        <v>4.5999999999999996</v>
      </c>
      <c r="I6" s="583">
        <v>6</v>
      </c>
      <c r="J6" s="583">
        <v>2</v>
      </c>
      <c r="K6" s="583">
        <v>6</v>
      </c>
      <c r="L6"/>
    </row>
    <row r="7" spans="1:12" ht="14.4" x14ac:dyDescent="0.25">
      <c r="A7" s="1" t="s">
        <v>620</v>
      </c>
      <c r="B7" s="579">
        <v>1.042</v>
      </c>
      <c r="C7" s="579">
        <v>1.0549999999999999</v>
      </c>
      <c r="D7" s="579">
        <v>1.008</v>
      </c>
      <c r="E7" s="579">
        <v>1.014</v>
      </c>
      <c r="F7" s="580">
        <v>8</v>
      </c>
      <c r="G7" s="581">
        <v>25</v>
      </c>
      <c r="H7" s="582">
        <v>4.5999999999999996</v>
      </c>
      <c r="I7" s="583">
        <v>6</v>
      </c>
      <c r="J7" s="583">
        <v>7</v>
      </c>
      <c r="K7" s="583">
        <v>14</v>
      </c>
      <c r="L7"/>
    </row>
    <row r="8" spans="1:12" ht="14.4" x14ac:dyDescent="0.25">
      <c r="A8" s="1" t="s">
        <v>621</v>
      </c>
      <c r="B8" s="579">
        <v>1.044</v>
      </c>
      <c r="C8" s="579">
        <v>1.056</v>
      </c>
      <c r="D8" s="579">
        <v>1.008</v>
      </c>
      <c r="E8" s="579">
        <v>1.012</v>
      </c>
      <c r="F8" s="580">
        <v>8</v>
      </c>
      <c r="G8" s="581">
        <v>20</v>
      </c>
      <c r="H8" s="582">
        <v>4.2</v>
      </c>
      <c r="I8" s="583">
        <v>6</v>
      </c>
      <c r="J8" s="583">
        <v>14</v>
      </c>
      <c r="K8" s="583">
        <v>22</v>
      </c>
      <c r="L8"/>
    </row>
    <row r="9" spans="1:12" ht="14.4" x14ac:dyDescent="0.25">
      <c r="A9" s="1" t="s">
        <v>622</v>
      </c>
      <c r="B9" s="579">
        <v>1.028</v>
      </c>
      <c r="C9" s="579">
        <v>1.044</v>
      </c>
      <c r="D9" s="579">
        <v>1.008</v>
      </c>
      <c r="E9" s="579">
        <v>1.014</v>
      </c>
      <c r="F9" s="580">
        <v>20</v>
      </c>
      <c r="G9" s="581">
        <v>35</v>
      </c>
      <c r="H9" s="582">
        <v>3</v>
      </c>
      <c r="I9" s="583">
        <v>4.0999999999999996</v>
      </c>
      <c r="J9" s="583">
        <v>3</v>
      </c>
      <c r="K9" s="583">
        <v>6</v>
      </c>
      <c r="L9"/>
    </row>
    <row r="10" spans="1:12" ht="14.4" x14ac:dyDescent="0.25">
      <c r="A10" s="1" t="s">
        <v>623</v>
      </c>
      <c r="B10" s="579">
        <v>1.044</v>
      </c>
      <c r="C10" s="579">
        <v>1.06</v>
      </c>
      <c r="D10" s="579">
        <v>1.0129999999999999</v>
      </c>
      <c r="E10" s="579">
        <v>1.0169999999999999</v>
      </c>
      <c r="F10" s="580">
        <v>30</v>
      </c>
      <c r="G10" s="581">
        <v>45</v>
      </c>
      <c r="H10" s="582">
        <v>4.2</v>
      </c>
      <c r="I10" s="583">
        <v>5.8</v>
      </c>
      <c r="J10" s="583">
        <v>3.5</v>
      </c>
      <c r="K10" s="583">
        <v>6</v>
      </c>
      <c r="L10"/>
    </row>
    <row r="11" spans="1:12" ht="14.4" x14ac:dyDescent="0.25">
      <c r="A11" s="1" t="s">
        <v>624</v>
      </c>
      <c r="B11" s="579">
        <v>1.044</v>
      </c>
      <c r="C11" s="579">
        <v>1.06</v>
      </c>
      <c r="D11" s="579">
        <v>1.0129999999999999</v>
      </c>
      <c r="E11" s="579">
        <v>1.0169999999999999</v>
      </c>
      <c r="F11" s="580">
        <v>20</v>
      </c>
      <c r="G11" s="581">
        <v>35</v>
      </c>
      <c r="H11" s="582">
        <v>4.4000000000000004</v>
      </c>
      <c r="I11" s="583">
        <v>5.8</v>
      </c>
      <c r="J11" s="583">
        <v>10</v>
      </c>
      <c r="K11" s="583">
        <v>16</v>
      </c>
      <c r="L11"/>
    </row>
    <row r="12" spans="1:12" ht="14.4" x14ac:dyDescent="0.25">
      <c r="A12" s="1" t="s">
        <v>625</v>
      </c>
      <c r="B12" s="579">
        <v>1.044</v>
      </c>
      <c r="C12" s="579">
        <v>1.06</v>
      </c>
      <c r="D12" s="579">
        <v>1.0129999999999999</v>
      </c>
      <c r="E12" s="579">
        <v>1.0169999999999999</v>
      </c>
      <c r="F12" s="580">
        <v>18</v>
      </c>
      <c r="G12" s="581">
        <v>34</v>
      </c>
      <c r="H12" s="582">
        <v>4.4000000000000004</v>
      </c>
      <c r="I12" s="583">
        <v>5.8</v>
      </c>
      <c r="J12" s="583">
        <v>14</v>
      </c>
      <c r="K12" s="583">
        <v>35</v>
      </c>
      <c r="L12"/>
    </row>
    <row r="13" spans="1:12" ht="14.4" x14ac:dyDescent="0.25">
      <c r="A13" s="1" t="s">
        <v>626</v>
      </c>
      <c r="B13" s="579">
        <v>1.044</v>
      </c>
      <c r="C13" s="579">
        <v>1.048</v>
      </c>
      <c r="D13" s="579">
        <v>1.006</v>
      </c>
      <c r="E13" s="579">
        <v>1.012</v>
      </c>
      <c r="F13" s="580">
        <v>16</v>
      </c>
      <c r="G13" s="581">
        <v>22</v>
      </c>
      <c r="H13" s="582">
        <v>4.7</v>
      </c>
      <c r="I13" s="583">
        <v>5.4</v>
      </c>
      <c r="J13" s="583">
        <v>3</v>
      </c>
      <c r="K13" s="583">
        <v>5</v>
      </c>
      <c r="L13"/>
    </row>
    <row r="14" spans="1:12" ht="14.4" x14ac:dyDescent="0.25">
      <c r="A14" s="1" t="s">
        <v>627</v>
      </c>
      <c r="B14" s="579">
        <v>1.054</v>
      </c>
      <c r="C14" s="579">
        <v>1.0569999999999999</v>
      </c>
      <c r="D14" s="579">
        <v>1.01</v>
      </c>
      <c r="E14" s="579">
        <v>1.012</v>
      </c>
      <c r="F14" s="580">
        <v>18</v>
      </c>
      <c r="G14" s="581">
        <v>25</v>
      </c>
      <c r="H14" s="582">
        <v>5.8</v>
      </c>
      <c r="I14" s="583">
        <v>6.3</v>
      </c>
      <c r="J14" s="583">
        <v>4</v>
      </c>
      <c r="K14" s="583">
        <v>7</v>
      </c>
      <c r="L14"/>
    </row>
    <row r="15" spans="1:12" ht="14.4" x14ac:dyDescent="0.25">
      <c r="A15" s="1" t="s">
        <v>628</v>
      </c>
      <c r="B15" s="579">
        <v>1.0640000000000001</v>
      </c>
      <c r="C15" s="579">
        <v>1.0720000000000001</v>
      </c>
      <c r="D15" s="579">
        <v>1.0109999999999999</v>
      </c>
      <c r="E15" s="579">
        <v>1.018</v>
      </c>
      <c r="F15" s="580">
        <v>23</v>
      </c>
      <c r="G15" s="581">
        <v>35</v>
      </c>
      <c r="H15" s="582">
        <v>6.3</v>
      </c>
      <c r="I15" s="583">
        <v>7.4</v>
      </c>
      <c r="J15" s="583">
        <v>6</v>
      </c>
      <c r="K15" s="583">
        <v>11</v>
      </c>
      <c r="L15"/>
    </row>
    <row r="16" spans="1:12" ht="14.4" x14ac:dyDescent="0.25">
      <c r="A16" s="1" t="s">
        <v>629</v>
      </c>
      <c r="B16" s="579">
        <v>1.026</v>
      </c>
      <c r="C16" s="579">
        <v>1.034</v>
      </c>
      <c r="D16" s="579">
        <v>1.006</v>
      </c>
      <c r="E16" s="579">
        <v>1.01</v>
      </c>
      <c r="F16" s="580">
        <v>15</v>
      </c>
      <c r="G16" s="581">
        <v>28</v>
      </c>
      <c r="H16" s="582">
        <v>2.4</v>
      </c>
      <c r="I16" s="583">
        <v>3.6</v>
      </c>
      <c r="J16" s="583">
        <v>2</v>
      </c>
      <c r="K16" s="583">
        <v>5</v>
      </c>
      <c r="L16"/>
    </row>
    <row r="17" spans="1:12" ht="14.4" x14ac:dyDescent="0.25">
      <c r="A17" s="1" t="s">
        <v>630</v>
      </c>
      <c r="B17" s="579">
        <v>1.044</v>
      </c>
      <c r="C17" s="579">
        <v>1.05</v>
      </c>
      <c r="D17" s="579">
        <v>1.0069999999999999</v>
      </c>
      <c r="E17" s="579">
        <v>1.0109999999999999</v>
      </c>
      <c r="F17" s="580">
        <v>18</v>
      </c>
      <c r="G17" s="581">
        <v>30</v>
      </c>
      <c r="H17" s="582">
        <v>4.4000000000000004</v>
      </c>
      <c r="I17" s="583">
        <v>5.2</v>
      </c>
      <c r="J17" s="583">
        <v>3.5</v>
      </c>
      <c r="K17" s="583">
        <v>5</v>
      </c>
      <c r="L17"/>
    </row>
    <row r="18" spans="1:12" ht="14.4" x14ac:dyDescent="0.25">
      <c r="A18" s="1" t="s">
        <v>631</v>
      </c>
      <c r="B18" s="579">
        <v>1.048</v>
      </c>
      <c r="C18" s="579">
        <v>1.056</v>
      </c>
      <c r="D18" s="579">
        <v>1.01</v>
      </c>
      <c r="E18" s="579">
        <v>1.0149999999999999</v>
      </c>
      <c r="F18" s="580">
        <v>20</v>
      </c>
      <c r="G18" s="581">
        <v>30</v>
      </c>
      <c r="H18" s="582">
        <v>4.8</v>
      </c>
      <c r="I18" s="583">
        <v>6</v>
      </c>
      <c r="J18" s="583">
        <v>4</v>
      </c>
      <c r="K18" s="583">
        <v>7</v>
      </c>
      <c r="L18"/>
    </row>
    <row r="19" spans="1:12" ht="14.4" x14ac:dyDescent="0.25">
      <c r="A19" s="1" t="s">
        <v>632</v>
      </c>
      <c r="B19" s="579">
        <v>1.044</v>
      </c>
      <c r="C19" s="579">
        <v>1.05</v>
      </c>
      <c r="D19" s="579">
        <v>1.008</v>
      </c>
      <c r="E19" s="579">
        <v>1.0129999999999999</v>
      </c>
      <c r="F19" s="580">
        <v>22</v>
      </c>
      <c r="G19" s="581">
        <v>40</v>
      </c>
      <c r="H19" s="582">
        <v>4.4000000000000004</v>
      </c>
      <c r="I19" s="583">
        <v>5.2</v>
      </c>
      <c r="J19" s="583">
        <v>2</v>
      </c>
      <c r="K19" s="583">
        <v>5</v>
      </c>
      <c r="L19"/>
    </row>
    <row r="20" spans="1:12" ht="14.4" x14ac:dyDescent="0.25">
      <c r="A20" s="1" t="s">
        <v>637</v>
      </c>
      <c r="B20" s="579">
        <v>1.054</v>
      </c>
      <c r="C20" s="579">
        <v>1.06</v>
      </c>
      <c r="D20" s="579">
        <v>1.01</v>
      </c>
      <c r="E20" s="579">
        <v>1.014</v>
      </c>
      <c r="F20" s="580">
        <v>18</v>
      </c>
      <c r="G20" s="581">
        <v>24</v>
      </c>
      <c r="H20" s="582">
        <v>5.8</v>
      </c>
      <c r="I20" s="583">
        <v>6.3</v>
      </c>
      <c r="J20" s="583">
        <v>8</v>
      </c>
      <c r="K20" s="583">
        <v>17</v>
      </c>
      <c r="L20"/>
    </row>
    <row r="21" spans="1:12" ht="14.4" x14ac:dyDescent="0.25">
      <c r="A21" s="1" t="s">
        <v>638</v>
      </c>
      <c r="B21" s="579">
        <v>1.05</v>
      </c>
      <c r="C21" s="579">
        <v>1.0569999999999999</v>
      </c>
      <c r="D21" s="579">
        <v>1.012</v>
      </c>
      <c r="E21" s="579">
        <v>1.016</v>
      </c>
      <c r="F21" s="580">
        <v>20</v>
      </c>
      <c r="G21" s="581">
        <v>30</v>
      </c>
      <c r="H21" s="582">
        <v>4.8</v>
      </c>
      <c r="I21" s="583">
        <v>6</v>
      </c>
      <c r="J21" s="583">
        <v>12</v>
      </c>
      <c r="K21" s="583">
        <v>22</v>
      </c>
      <c r="L21"/>
    </row>
    <row r="22" spans="1:12" ht="14.4" x14ac:dyDescent="0.25">
      <c r="A22" s="1" t="s">
        <v>639</v>
      </c>
      <c r="B22" s="579">
        <v>1.0640000000000001</v>
      </c>
      <c r="C22" s="579">
        <v>1.0720000000000001</v>
      </c>
      <c r="D22" s="579">
        <v>1.0129999999999999</v>
      </c>
      <c r="E22" s="579">
        <v>1.0189999999999999</v>
      </c>
      <c r="F22" s="580">
        <v>20</v>
      </c>
      <c r="G22" s="581">
        <v>27</v>
      </c>
      <c r="H22" s="582">
        <v>6.3</v>
      </c>
      <c r="I22" s="583">
        <v>7.2</v>
      </c>
      <c r="J22" s="583">
        <v>14</v>
      </c>
      <c r="K22" s="583">
        <v>22</v>
      </c>
      <c r="L22"/>
    </row>
    <row r="23" spans="1:12" ht="14.4" x14ac:dyDescent="0.25">
      <c r="A23" s="1" t="s">
        <v>633</v>
      </c>
      <c r="B23" s="579">
        <v>1.048</v>
      </c>
      <c r="C23" s="579">
        <v>1.0549999999999999</v>
      </c>
      <c r="D23" s="579">
        <v>1.01</v>
      </c>
      <c r="E23" s="579">
        <v>1.014</v>
      </c>
      <c r="F23" s="580">
        <v>18</v>
      </c>
      <c r="G23" s="581">
        <v>30</v>
      </c>
      <c r="H23" s="582">
        <v>4.7</v>
      </c>
      <c r="I23" s="583">
        <v>5.5</v>
      </c>
      <c r="J23" s="583">
        <v>9</v>
      </c>
      <c r="K23" s="583">
        <v>15</v>
      </c>
      <c r="L23"/>
    </row>
    <row r="24" spans="1:12" ht="14.4" x14ac:dyDescent="0.25">
      <c r="A24" s="1" t="s">
        <v>634</v>
      </c>
      <c r="B24" s="579">
        <v>1.044</v>
      </c>
      <c r="C24" s="579">
        <v>1.052</v>
      </c>
      <c r="D24" s="579">
        <v>1.008</v>
      </c>
      <c r="E24" s="579">
        <v>1.014</v>
      </c>
      <c r="F24" s="580">
        <v>25</v>
      </c>
      <c r="G24" s="581">
        <v>50</v>
      </c>
      <c r="H24" s="582">
        <v>4.3</v>
      </c>
      <c r="I24" s="583">
        <v>5.5</v>
      </c>
      <c r="J24" s="583">
        <v>11</v>
      </c>
      <c r="K24" s="583">
        <v>17</v>
      </c>
      <c r="L24"/>
    </row>
    <row r="25" spans="1:12" ht="14.4" x14ac:dyDescent="0.25">
      <c r="A25" s="1" t="s">
        <v>635</v>
      </c>
      <c r="B25" s="579">
        <v>1.0449999999999999</v>
      </c>
      <c r="C25" s="579">
        <v>1.0509999999999999</v>
      </c>
      <c r="D25" s="579">
        <v>1.008</v>
      </c>
      <c r="E25" s="579">
        <v>1.012</v>
      </c>
      <c r="F25" s="580">
        <v>20</v>
      </c>
      <c r="G25" s="581">
        <v>35</v>
      </c>
      <c r="H25" s="582">
        <v>4.7</v>
      </c>
      <c r="I25" s="583">
        <v>5.4</v>
      </c>
      <c r="J25" s="583">
        <v>3</v>
      </c>
      <c r="K25" s="583">
        <v>7</v>
      </c>
      <c r="L25"/>
    </row>
    <row r="26" spans="1:12" ht="14.4" x14ac:dyDescent="0.25">
      <c r="A26" s="1" t="s">
        <v>636</v>
      </c>
      <c r="B26" s="579">
        <v>1.048</v>
      </c>
      <c r="C26" s="579">
        <v>1.054</v>
      </c>
      <c r="D26" s="579">
        <v>1.012</v>
      </c>
      <c r="E26" s="579">
        <v>1.016</v>
      </c>
      <c r="F26" s="580">
        <v>25</v>
      </c>
      <c r="G26" s="581">
        <v>40</v>
      </c>
      <c r="H26" s="582">
        <v>4.8</v>
      </c>
      <c r="I26" s="583">
        <v>5.4</v>
      </c>
      <c r="J26" s="583">
        <v>7</v>
      </c>
      <c r="K26" s="583">
        <v>17</v>
      </c>
      <c r="L26"/>
    </row>
    <row r="27" spans="1:12" ht="14.4" x14ac:dyDescent="0.25">
      <c r="A27" s="1" t="s">
        <v>640</v>
      </c>
      <c r="B27" s="579">
        <v>1.048</v>
      </c>
      <c r="C27" s="579">
        <v>1.056</v>
      </c>
      <c r="D27" s="579">
        <v>1.01</v>
      </c>
      <c r="E27" s="579">
        <v>1.016</v>
      </c>
      <c r="F27" s="580">
        <v>18</v>
      </c>
      <c r="G27" s="581">
        <v>28</v>
      </c>
      <c r="H27" s="582">
        <v>4.5</v>
      </c>
      <c r="I27" s="583">
        <v>5.6</v>
      </c>
      <c r="J27" s="583">
        <v>14</v>
      </c>
      <c r="K27" s="583">
        <v>28</v>
      </c>
      <c r="L27"/>
    </row>
    <row r="28" spans="1:12" ht="14.4" x14ac:dyDescent="0.25">
      <c r="A28" s="1" t="s">
        <v>641</v>
      </c>
      <c r="B28" s="579">
        <v>1.046</v>
      </c>
      <c r="C28" s="579">
        <v>1.052</v>
      </c>
      <c r="D28" s="579">
        <v>1.01</v>
      </c>
      <c r="E28" s="579">
        <v>1.016</v>
      </c>
      <c r="F28" s="580">
        <v>20</v>
      </c>
      <c r="G28" s="581">
        <v>30</v>
      </c>
      <c r="H28" s="582">
        <v>4.4000000000000004</v>
      </c>
      <c r="I28" s="583">
        <v>5.4</v>
      </c>
      <c r="J28" s="583">
        <v>17</v>
      </c>
      <c r="K28" s="583">
        <v>30</v>
      </c>
      <c r="L28"/>
    </row>
    <row r="29" spans="1:12" ht="14.4" x14ac:dyDescent="0.25">
      <c r="A29" s="1" t="s">
        <v>642</v>
      </c>
      <c r="B29" s="579">
        <v>1.0720000000000001</v>
      </c>
      <c r="C29" s="579">
        <v>1.1120000000000001</v>
      </c>
      <c r="D29" s="579">
        <v>1.016</v>
      </c>
      <c r="E29" s="579">
        <v>1.024</v>
      </c>
      <c r="F29" s="580">
        <v>16</v>
      </c>
      <c r="G29" s="581">
        <v>26</v>
      </c>
      <c r="H29" s="582">
        <v>7</v>
      </c>
      <c r="I29" s="583">
        <v>10</v>
      </c>
      <c r="J29" s="583">
        <v>6</v>
      </c>
      <c r="K29" s="583">
        <v>25</v>
      </c>
      <c r="L29"/>
    </row>
    <row r="30" spans="1:12" ht="14.4" x14ac:dyDescent="0.25">
      <c r="A30" s="1" t="s">
        <v>643</v>
      </c>
      <c r="B30" s="579">
        <v>1.0780000000000001</v>
      </c>
      <c r="C30" s="579">
        <v>1.1200000000000001</v>
      </c>
      <c r="D30" s="579">
        <v>1.02</v>
      </c>
      <c r="E30" s="579">
        <v>1.0349999999999999</v>
      </c>
      <c r="F30" s="580">
        <v>25</v>
      </c>
      <c r="G30" s="581">
        <v>35</v>
      </c>
      <c r="H30" s="582">
        <v>9</v>
      </c>
      <c r="I30" s="583">
        <v>14</v>
      </c>
      <c r="J30" s="583">
        <v>18</v>
      </c>
      <c r="K30" s="583">
        <v>30</v>
      </c>
      <c r="L30"/>
    </row>
    <row r="31" spans="1:12" ht="14.4" x14ac:dyDescent="0.25">
      <c r="A31" s="1" t="s">
        <v>644</v>
      </c>
      <c r="B31" s="579">
        <v>1.06</v>
      </c>
      <c r="C31" s="579">
        <v>1.0900000000000001</v>
      </c>
      <c r="D31" s="579">
        <v>1.016</v>
      </c>
      <c r="E31" s="579">
        <v>1.024</v>
      </c>
      <c r="F31" s="580">
        <v>20</v>
      </c>
      <c r="G31" s="581">
        <v>40</v>
      </c>
      <c r="H31" s="582">
        <v>6.5</v>
      </c>
      <c r="I31" s="583">
        <v>9.5</v>
      </c>
      <c r="J31" s="583">
        <v>17</v>
      </c>
      <c r="K31" s="583">
        <v>30</v>
      </c>
      <c r="L31"/>
    </row>
    <row r="32" spans="1:12" ht="14.4" x14ac:dyDescent="0.25">
      <c r="A32" s="1" t="s">
        <v>645</v>
      </c>
      <c r="B32" s="579">
        <v>1.044</v>
      </c>
      <c r="C32" s="579">
        <v>1.052</v>
      </c>
      <c r="D32" s="579">
        <v>1.01</v>
      </c>
      <c r="E32" s="579">
        <v>1.014</v>
      </c>
      <c r="F32" s="580">
        <v>8</v>
      </c>
      <c r="G32" s="581">
        <v>15</v>
      </c>
      <c r="H32" s="582">
        <v>4.3</v>
      </c>
      <c r="I32" s="583">
        <v>5.6</v>
      </c>
      <c r="J32" s="583">
        <v>2</v>
      </c>
      <c r="K32" s="583">
        <v>6</v>
      </c>
      <c r="L32"/>
    </row>
    <row r="33" spans="1:12" ht="14.4" x14ac:dyDescent="0.25">
      <c r="A33" s="1" t="s">
        <v>646</v>
      </c>
      <c r="B33" s="579">
        <v>1.044</v>
      </c>
      <c r="C33" s="579">
        <v>1.056</v>
      </c>
      <c r="D33" s="579">
        <v>1.01</v>
      </c>
      <c r="E33" s="579">
        <v>1.014</v>
      </c>
      <c r="F33" s="580">
        <v>10</v>
      </c>
      <c r="G33" s="581">
        <v>18</v>
      </c>
      <c r="H33" s="582">
        <v>4.3</v>
      </c>
      <c r="I33" s="583">
        <v>5.6</v>
      </c>
      <c r="J33" s="583">
        <v>14</v>
      </c>
      <c r="K33" s="583">
        <v>23</v>
      </c>
      <c r="L33"/>
    </row>
    <row r="34" spans="1:12" ht="14.4" x14ac:dyDescent="0.25">
      <c r="A34" s="1" t="s">
        <v>647</v>
      </c>
      <c r="B34" s="579">
        <v>1.0640000000000001</v>
      </c>
      <c r="C34" s="579">
        <v>1.0900000000000001</v>
      </c>
      <c r="D34" s="579">
        <v>1.0149999999999999</v>
      </c>
      <c r="E34" s="579">
        <v>1.022</v>
      </c>
      <c r="F34" s="580">
        <v>15</v>
      </c>
      <c r="G34" s="581">
        <v>30</v>
      </c>
      <c r="H34" s="582">
        <v>6.5</v>
      </c>
      <c r="I34" s="583">
        <v>9</v>
      </c>
      <c r="J34" s="583">
        <v>6</v>
      </c>
      <c r="K34" s="583">
        <v>25</v>
      </c>
      <c r="L34"/>
    </row>
    <row r="35" spans="1:12" ht="14.4" x14ac:dyDescent="0.25">
      <c r="A35" s="1" t="s">
        <v>648</v>
      </c>
      <c r="B35" s="579">
        <v>1.03</v>
      </c>
      <c r="C35" s="579">
        <v>1.0389999999999999</v>
      </c>
      <c r="D35" s="579">
        <v>1.0069999999999999</v>
      </c>
      <c r="E35" s="579">
        <v>1.0109999999999999</v>
      </c>
      <c r="F35" s="580">
        <v>25</v>
      </c>
      <c r="G35" s="581">
        <v>35</v>
      </c>
      <c r="H35" s="582">
        <v>3.2</v>
      </c>
      <c r="I35" s="583">
        <v>3.8</v>
      </c>
      <c r="J35" s="583">
        <v>8</v>
      </c>
      <c r="K35" s="583">
        <v>14</v>
      </c>
      <c r="L35"/>
    </row>
    <row r="36" spans="1:12" ht="14.4" x14ac:dyDescent="0.25">
      <c r="A36" s="1" t="s">
        <v>649</v>
      </c>
      <c r="B36" s="579">
        <v>1.04</v>
      </c>
      <c r="C36" s="579">
        <v>1.048</v>
      </c>
      <c r="D36" s="579">
        <v>1.008</v>
      </c>
      <c r="E36" s="579">
        <v>1.012</v>
      </c>
      <c r="F36" s="580">
        <v>25</v>
      </c>
      <c r="G36" s="581">
        <v>40</v>
      </c>
      <c r="H36" s="582">
        <v>3.8</v>
      </c>
      <c r="I36" s="583">
        <v>4.5999999999999996</v>
      </c>
      <c r="J36" s="583">
        <v>8</v>
      </c>
      <c r="K36" s="583">
        <v>16</v>
      </c>
      <c r="L36"/>
    </row>
    <row r="37" spans="1:12" ht="14.4" x14ac:dyDescent="0.25">
      <c r="A37" s="1" t="s">
        <v>650</v>
      </c>
      <c r="B37" s="579">
        <v>1.048</v>
      </c>
      <c r="C37" s="579">
        <v>1.06</v>
      </c>
      <c r="D37" s="579">
        <v>1.01</v>
      </c>
      <c r="E37" s="579">
        <v>1.016</v>
      </c>
      <c r="F37" s="580">
        <v>30</v>
      </c>
      <c r="G37" s="581">
        <v>50</v>
      </c>
      <c r="H37" s="582">
        <v>4.5999999999999996</v>
      </c>
      <c r="I37" s="583">
        <v>6.2</v>
      </c>
      <c r="J37" s="583">
        <v>8</v>
      </c>
      <c r="K37" s="583">
        <v>18</v>
      </c>
      <c r="L37"/>
    </row>
    <row r="38" spans="1:12" ht="14.4" x14ac:dyDescent="0.25">
      <c r="A38" s="1" t="s">
        <v>651</v>
      </c>
      <c r="B38" s="579">
        <v>1.038</v>
      </c>
      <c r="C38" s="579">
        <v>1.0529999999999999</v>
      </c>
      <c r="D38" s="579">
        <v>1.006</v>
      </c>
      <c r="E38" s="579">
        <v>1.012</v>
      </c>
      <c r="F38" s="580">
        <v>20</v>
      </c>
      <c r="G38" s="581">
        <v>45</v>
      </c>
      <c r="H38" s="582">
        <v>3.8</v>
      </c>
      <c r="I38" s="583">
        <v>5</v>
      </c>
      <c r="J38" s="583">
        <v>2</v>
      </c>
      <c r="K38" s="583">
        <v>6</v>
      </c>
      <c r="L38"/>
    </row>
    <row r="39" spans="1:12" ht="14.4" x14ac:dyDescent="0.25">
      <c r="A39" s="1" t="s">
        <v>652</v>
      </c>
      <c r="B39" s="579">
        <v>1.038</v>
      </c>
      <c r="C39" s="579">
        <v>1.05</v>
      </c>
      <c r="D39" s="579">
        <v>1.004</v>
      </c>
      <c r="E39" s="579">
        <v>1.006</v>
      </c>
      <c r="F39" s="580">
        <v>20</v>
      </c>
      <c r="G39" s="581">
        <v>35</v>
      </c>
      <c r="H39" s="582">
        <v>4.5</v>
      </c>
      <c r="I39" s="583">
        <v>6</v>
      </c>
      <c r="J39" s="583">
        <v>4</v>
      </c>
      <c r="K39" s="583">
        <v>7</v>
      </c>
      <c r="L39"/>
    </row>
    <row r="40" spans="1:12" ht="14.4" x14ac:dyDescent="0.25">
      <c r="A40" s="1" t="s">
        <v>653</v>
      </c>
      <c r="B40" s="579">
        <v>1.05</v>
      </c>
      <c r="C40" s="579">
        <v>1.075</v>
      </c>
      <c r="D40" s="579">
        <v>1.01</v>
      </c>
      <c r="E40" s="579">
        <v>1.018</v>
      </c>
      <c r="F40" s="580">
        <v>40</v>
      </c>
      <c r="G40" s="581">
        <v>60</v>
      </c>
      <c r="H40" s="582">
        <v>5</v>
      </c>
      <c r="I40" s="583">
        <v>7.5</v>
      </c>
      <c r="J40" s="583">
        <v>6</v>
      </c>
      <c r="K40" s="583">
        <v>14</v>
      </c>
      <c r="L40"/>
    </row>
    <row r="41" spans="1:12" ht="14.4" x14ac:dyDescent="0.25">
      <c r="A41" s="1" t="s">
        <v>654</v>
      </c>
      <c r="B41" s="579">
        <v>1.03</v>
      </c>
      <c r="C41" s="579">
        <v>1.038</v>
      </c>
      <c r="D41" s="579">
        <v>1.008</v>
      </c>
      <c r="E41" s="579">
        <v>1.0129999999999999</v>
      </c>
      <c r="F41" s="580">
        <v>10</v>
      </c>
      <c r="G41" s="581">
        <v>25</v>
      </c>
      <c r="H41" s="582">
        <v>3</v>
      </c>
      <c r="I41" s="583">
        <v>3.8</v>
      </c>
      <c r="J41" s="583">
        <v>12</v>
      </c>
      <c r="K41" s="583">
        <v>25</v>
      </c>
      <c r="L41"/>
    </row>
    <row r="42" spans="1:12" ht="14.4" x14ac:dyDescent="0.25">
      <c r="A42" s="1" t="s">
        <v>655</v>
      </c>
      <c r="B42" s="579">
        <v>1.04</v>
      </c>
      <c r="C42" s="579">
        <v>1.052</v>
      </c>
      <c r="D42" s="579">
        <v>1.008</v>
      </c>
      <c r="E42" s="579">
        <v>1.0129999999999999</v>
      </c>
      <c r="F42" s="580">
        <v>20</v>
      </c>
      <c r="G42" s="581">
        <v>30</v>
      </c>
      <c r="H42" s="582">
        <v>4.2</v>
      </c>
      <c r="I42" s="583">
        <v>5.4</v>
      </c>
      <c r="J42" s="583">
        <v>12</v>
      </c>
      <c r="K42" s="583">
        <v>22</v>
      </c>
      <c r="L42"/>
    </row>
    <row r="43" spans="1:12" ht="14.4" x14ac:dyDescent="0.25">
      <c r="A43" s="1" t="s">
        <v>656</v>
      </c>
      <c r="B43" s="579">
        <v>1.04</v>
      </c>
      <c r="C43" s="579">
        <v>1.052</v>
      </c>
      <c r="D43" s="579">
        <v>1.008</v>
      </c>
      <c r="E43" s="579">
        <v>1.014</v>
      </c>
      <c r="F43" s="580">
        <v>18</v>
      </c>
      <c r="G43" s="581">
        <v>35</v>
      </c>
      <c r="H43" s="582">
        <v>4</v>
      </c>
      <c r="I43" s="583">
        <v>5.4</v>
      </c>
      <c r="J43" s="583">
        <v>20</v>
      </c>
      <c r="K43" s="583">
        <v>30</v>
      </c>
      <c r="L43"/>
    </row>
    <row r="44" spans="1:12" ht="14.4" x14ac:dyDescent="0.25">
      <c r="A44" s="1" t="s">
        <v>657</v>
      </c>
      <c r="B44" s="579">
        <v>1.03</v>
      </c>
      <c r="C44" s="579">
        <v>1.0349999999999999</v>
      </c>
      <c r="D44" s="579">
        <v>1.01</v>
      </c>
      <c r="E44" s="579">
        <v>1.0129999999999999</v>
      </c>
      <c r="F44" s="580">
        <v>10</v>
      </c>
      <c r="G44" s="581">
        <v>20</v>
      </c>
      <c r="H44" s="582">
        <v>2.5</v>
      </c>
      <c r="I44" s="583">
        <v>3.2</v>
      </c>
      <c r="J44" s="583">
        <v>17</v>
      </c>
      <c r="K44" s="583">
        <v>22</v>
      </c>
      <c r="L44"/>
    </row>
    <row r="45" spans="1:12" ht="14.4" x14ac:dyDescent="0.25">
      <c r="A45" s="1" t="s">
        <v>658</v>
      </c>
      <c r="B45" s="579">
        <v>1.0349999999999999</v>
      </c>
      <c r="C45" s="579">
        <v>1.04</v>
      </c>
      <c r="D45" s="579">
        <v>1.01</v>
      </c>
      <c r="E45" s="579">
        <v>1.0149999999999999</v>
      </c>
      <c r="F45" s="580">
        <v>10</v>
      </c>
      <c r="G45" s="581">
        <v>20</v>
      </c>
      <c r="H45" s="582">
        <v>3.2</v>
      </c>
      <c r="I45" s="583">
        <v>3.9</v>
      </c>
      <c r="J45" s="583">
        <v>13</v>
      </c>
      <c r="K45" s="583">
        <v>22</v>
      </c>
      <c r="L45"/>
    </row>
    <row r="46" spans="1:12" ht="14.4" x14ac:dyDescent="0.25">
      <c r="A46" s="1" t="s">
        <v>659</v>
      </c>
      <c r="B46" s="579">
        <v>1.04</v>
      </c>
      <c r="C46" s="579">
        <v>1.06</v>
      </c>
      <c r="D46" s="579">
        <v>1.01</v>
      </c>
      <c r="E46" s="579">
        <v>1.016</v>
      </c>
      <c r="F46" s="580">
        <v>15</v>
      </c>
      <c r="G46" s="581">
        <v>30</v>
      </c>
      <c r="H46" s="582">
        <v>3.9</v>
      </c>
      <c r="I46" s="583">
        <v>6</v>
      </c>
      <c r="J46" s="583">
        <v>13</v>
      </c>
      <c r="K46" s="583">
        <v>22</v>
      </c>
      <c r="L46"/>
    </row>
    <row r="47" spans="1:12" ht="14.4" x14ac:dyDescent="0.25">
      <c r="A47" s="1" t="s">
        <v>660</v>
      </c>
      <c r="B47" s="579">
        <v>1.036</v>
      </c>
      <c r="C47" s="579">
        <v>1.046</v>
      </c>
      <c r="D47" s="579">
        <v>1.01</v>
      </c>
      <c r="E47" s="579">
        <v>1.014</v>
      </c>
      <c r="F47" s="580">
        <v>18</v>
      </c>
      <c r="G47" s="581">
        <v>28</v>
      </c>
      <c r="H47" s="582">
        <v>3.8</v>
      </c>
      <c r="I47" s="583">
        <v>5</v>
      </c>
      <c r="J47" s="583">
        <v>9</v>
      </c>
      <c r="K47" s="583">
        <v>14</v>
      </c>
      <c r="L47"/>
    </row>
    <row r="48" spans="1:12" ht="14.4" x14ac:dyDescent="0.25">
      <c r="A48" s="1" t="s">
        <v>661</v>
      </c>
      <c r="B48" s="579">
        <v>1.036</v>
      </c>
      <c r="C48" s="579">
        <v>1.044</v>
      </c>
      <c r="D48" s="579">
        <v>1.0069999999999999</v>
      </c>
      <c r="E48" s="579">
        <v>1.0109999999999999</v>
      </c>
      <c r="F48" s="580">
        <v>25</v>
      </c>
      <c r="G48" s="581">
        <v>45</v>
      </c>
      <c r="H48" s="582">
        <v>4</v>
      </c>
      <c r="I48" s="583">
        <v>4.5</v>
      </c>
      <c r="J48" s="583">
        <v>25</v>
      </c>
      <c r="K48" s="583">
        <v>40</v>
      </c>
      <c r="L48"/>
    </row>
    <row r="49" spans="1:12" ht="14.4" x14ac:dyDescent="0.25">
      <c r="A49" s="1" t="s">
        <v>662</v>
      </c>
      <c r="B49" s="579">
        <v>1.052</v>
      </c>
      <c r="C49" s="579">
        <v>1.0620000000000001</v>
      </c>
      <c r="D49" s="579">
        <v>1.01</v>
      </c>
      <c r="E49" s="579">
        <v>1.014</v>
      </c>
      <c r="F49" s="580">
        <v>35</v>
      </c>
      <c r="G49" s="581">
        <v>50</v>
      </c>
      <c r="H49" s="582">
        <v>5.5</v>
      </c>
      <c r="I49" s="583">
        <v>6.5</v>
      </c>
      <c r="J49" s="583">
        <v>25</v>
      </c>
      <c r="K49" s="583">
        <v>40</v>
      </c>
      <c r="L49"/>
    </row>
    <row r="50" spans="1:12" ht="14.4" x14ac:dyDescent="0.25">
      <c r="A50" s="1" t="s">
        <v>663</v>
      </c>
      <c r="B50" s="579">
        <v>1.044</v>
      </c>
      <c r="C50" s="579">
        <v>1.06</v>
      </c>
      <c r="D50" s="579">
        <v>1.012</v>
      </c>
      <c r="E50" s="579">
        <v>1.024</v>
      </c>
      <c r="F50" s="580">
        <v>20</v>
      </c>
      <c r="G50" s="581">
        <v>40</v>
      </c>
      <c r="H50" s="582">
        <v>4</v>
      </c>
      <c r="I50" s="583">
        <v>6</v>
      </c>
      <c r="J50" s="583">
        <v>30</v>
      </c>
      <c r="K50" s="583">
        <v>40</v>
      </c>
      <c r="L50"/>
    </row>
    <row r="51" spans="1:12" ht="14.4" x14ac:dyDescent="0.25">
      <c r="A51" s="1" t="s">
        <v>664</v>
      </c>
      <c r="B51" s="579">
        <v>1.0449999999999999</v>
      </c>
      <c r="C51" s="579">
        <v>1.0649999999999999</v>
      </c>
      <c r="D51" s="579">
        <v>1.01</v>
      </c>
      <c r="E51" s="579">
        <v>1.018</v>
      </c>
      <c r="F51" s="580">
        <v>25</v>
      </c>
      <c r="G51" s="581">
        <v>40</v>
      </c>
      <c r="H51" s="582">
        <v>4.2</v>
      </c>
      <c r="I51" s="583">
        <v>5.9</v>
      </c>
      <c r="J51" s="583">
        <v>22</v>
      </c>
      <c r="K51" s="583">
        <v>40</v>
      </c>
      <c r="L51"/>
    </row>
    <row r="52" spans="1:12" ht="14.4" x14ac:dyDescent="0.25">
      <c r="A52" s="1" t="s">
        <v>665</v>
      </c>
      <c r="B52" s="579">
        <v>1.056</v>
      </c>
      <c r="C52" s="579">
        <v>1.075</v>
      </c>
      <c r="D52" s="579">
        <v>1.01</v>
      </c>
      <c r="E52" s="579">
        <v>1.018</v>
      </c>
      <c r="F52" s="580">
        <v>30</v>
      </c>
      <c r="G52" s="581">
        <v>50</v>
      </c>
      <c r="H52" s="582">
        <v>5.5</v>
      </c>
      <c r="I52" s="583">
        <v>8</v>
      </c>
      <c r="J52" s="583">
        <v>30</v>
      </c>
      <c r="K52" s="583">
        <v>40</v>
      </c>
      <c r="L52"/>
    </row>
    <row r="53" spans="1:12" ht="14.4" x14ac:dyDescent="0.25">
      <c r="A53" s="1" t="s">
        <v>666</v>
      </c>
      <c r="B53" s="579">
        <v>1.056</v>
      </c>
      <c r="C53" s="579">
        <v>1.075</v>
      </c>
      <c r="D53" s="579">
        <v>1.01</v>
      </c>
      <c r="E53" s="579">
        <v>1.018</v>
      </c>
      <c r="F53" s="580">
        <v>50</v>
      </c>
      <c r="G53" s="581">
        <v>70</v>
      </c>
      <c r="H53" s="582">
        <v>6.3</v>
      </c>
      <c r="I53" s="583">
        <v>8</v>
      </c>
      <c r="J53" s="583">
        <v>30</v>
      </c>
      <c r="K53" s="583">
        <v>40</v>
      </c>
      <c r="L53"/>
    </row>
    <row r="54" spans="1:12" ht="14.4" x14ac:dyDescent="0.25">
      <c r="A54" s="1" t="s">
        <v>667</v>
      </c>
      <c r="B54" s="579">
        <v>1.0549999999999999</v>
      </c>
      <c r="C54" s="579">
        <v>1.08</v>
      </c>
      <c r="D54" s="579">
        <v>1.0149999999999999</v>
      </c>
      <c r="E54" s="579">
        <v>1.022</v>
      </c>
      <c r="F54" s="580">
        <v>30</v>
      </c>
      <c r="G54" s="581">
        <v>60</v>
      </c>
      <c r="H54" s="582">
        <v>5.5</v>
      </c>
      <c r="I54" s="583">
        <v>8</v>
      </c>
      <c r="J54" s="583">
        <v>8</v>
      </c>
      <c r="K54" s="583">
        <v>22</v>
      </c>
      <c r="L54"/>
    </row>
    <row r="55" spans="1:12" ht="14.4" x14ac:dyDescent="0.25">
      <c r="A55" s="1" t="s">
        <v>668</v>
      </c>
      <c r="B55" s="579">
        <v>1.0549999999999999</v>
      </c>
      <c r="C55" s="579">
        <v>1.0880000000000001</v>
      </c>
      <c r="D55" s="579">
        <v>1.0149999999999999</v>
      </c>
      <c r="E55" s="579">
        <v>1.022</v>
      </c>
      <c r="F55" s="580">
        <v>30</v>
      </c>
      <c r="G55" s="581">
        <v>60</v>
      </c>
      <c r="H55" s="582">
        <v>5.5</v>
      </c>
      <c r="I55" s="583">
        <v>9</v>
      </c>
      <c r="J55" s="583">
        <v>10</v>
      </c>
      <c r="K55" s="583">
        <v>22</v>
      </c>
      <c r="L55"/>
    </row>
    <row r="56" spans="1:12" ht="14.4" x14ac:dyDescent="0.25">
      <c r="A56" s="1" t="s">
        <v>669</v>
      </c>
      <c r="B56" s="579">
        <v>1.07</v>
      </c>
      <c r="C56" s="579">
        <v>1.1299999999999999</v>
      </c>
      <c r="D56" s="579">
        <v>1.018</v>
      </c>
      <c r="E56" s="579">
        <v>1.04</v>
      </c>
      <c r="F56" s="580">
        <v>17</v>
      </c>
      <c r="G56" s="581">
        <v>35</v>
      </c>
      <c r="H56" s="582">
        <v>6.5</v>
      </c>
      <c r="I56" s="583">
        <v>10</v>
      </c>
      <c r="J56" s="583">
        <v>14</v>
      </c>
      <c r="K56" s="583">
        <v>25</v>
      </c>
      <c r="L56"/>
    </row>
    <row r="57" spans="1:12" ht="14.4" x14ac:dyDescent="0.25">
      <c r="A57" s="1" t="s">
        <v>670</v>
      </c>
      <c r="B57" s="579">
        <v>1.08</v>
      </c>
      <c r="C57" s="579">
        <v>1.1200000000000001</v>
      </c>
      <c r="D57" s="579">
        <v>1.018</v>
      </c>
      <c r="E57" s="579">
        <v>1.03</v>
      </c>
      <c r="F57" s="580">
        <v>35</v>
      </c>
      <c r="G57" s="581">
        <v>70</v>
      </c>
      <c r="H57" s="582">
        <v>8</v>
      </c>
      <c r="I57" s="583">
        <v>12</v>
      </c>
      <c r="J57" s="583">
        <v>8</v>
      </c>
      <c r="K57" s="583">
        <v>22</v>
      </c>
      <c r="L57"/>
    </row>
    <row r="58" spans="1:12" ht="14.4" x14ac:dyDescent="0.25">
      <c r="A58" s="1" t="s">
        <v>671</v>
      </c>
      <c r="B58" s="579">
        <v>1.038</v>
      </c>
      <c r="C58" s="579">
        <v>1.054</v>
      </c>
      <c r="D58" s="579">
        <v>1.008</v>
      </c>
      <c r="E58" s="579">
        <v>1.0129999999999999</v>
      </c>
      <c r="F58" s="580">
        <v>15</v>
      </c>
      <c r="G58" s="581">
        <v>28</v>
      </c>
      <c r="H58" s="582">
        <v>3.8</v>
      </c>
      <c r="I58" s="583">
        <v>5.5</v>
      </c>
      <c r="J58" s="583">
        <v>3</v>
      </c>
      <c r="K58" s="583">
        <v>6</v>
      </c>
      <c r="L58"/>
    </row>
    <row r="59" spans="1:12" ht="14.4" x14ac:dyDescent="0.25">
      <c r="A59" s="1" t="s">
        <v>672</v>
      </c>
      <c r="B59" s="579">
        <v>1.0449999999999999</v>
      </c>
      <c r="C59" s="579">
        <v>1.06</v>
      </c>
      <c r="D59" s="579">
        <v>1.01</v>
      </c>
      <c r="E59" s="579">
        <v>1.0149999999999999</v>
      </c>
      <c r="F59" s="580">
        <v>30</v>
      </c>
      <c r="G59" s="581">
        <v>50</v>
      </c>
      <c r="H59" s="582">
        <v>4.5</v>
      </c>
      <c r="I59" s="583">
        <v>6.2</v>
      </c>
      <c r="J59" s="583">
        <v>5</v>
      </c>
      <c r="K59" s="583">
        <v>10</v>
      </c>
      <c r="L59"/>
    </row>
    <row r="60" spans="1:12" ht="14.4" x14ac:dyDescent="0.25">
      <c r="A60" s="1" t="s">
        <v>673</v>
      </c>
      <c r="B60" s="579">
        <v>1.0449999999999999</v>
      </c>
      <c r="C60" s="579">
        <v>1.06</v>
      </c>
      <c r="D60" s="579">
        <v>1.01</v>
      </c>
      <c r="E60" s="579">
        <v>1.0149999999999999</v>
      </c>
      <c r="F60" s="580">
        <v>25</v>
      </c>
      <c r="G60" s="581">
        <v>40</v>
      </c>
      <c r="H60" s="582">
        <v>4.5</v>
      </c>
      <c r="I60" s="583">
        <v>6.2</v>
      </c>
      <c r="J60" s="583">
        <v>10</v>
      </c>
      <c r="K60" s="583">
        <v>17</v>
      </c>
      <c r="L60"/>
    </row>
    <row r="61" spans="1:12" ht="14.4" x14ac:dyDescent="0.25">
      <c r="A61" s="1" t="s">
        <v>674</v>
      </c>
      <c r="B61" s="579">
        <v>1.048</v>
      </c>
      <c r="C61" s="579">
        <v>1.054</v>
      </c>
      <c r="D61" s="579">
        <v>1.0109999999999999</v>
      </c>
      <c r="E61" s="579">
        <v>1.014</v>
      </c>
      <c r="F61" s="580">
        <v>30</v>
      </c>
      <c r="G61" s="581">
        <v>45</v>
      </c>
      <c r="H61" s="582">
        <v>4.5</v>
      </c>
      <c r="I61" s="583">
        <v>5.5</v>
      </c>
      <c r="J61" s="583">
        <v>10</v>
      </c>
      <c r="K61" s="583">
        <v>14</v>
      </c>
      <c r="L61"/>
    </row>
    <row r="62" spans="1:12" ht="14.4" x14ac:dyDescent="0.25">
      <c r="A62" s="1" t="s">
        <v>675</v>
      </c>
      <c r="B62" s="579">
        <v>1.0449999999999999</v>
      </c>
      <c r="C62" s="579">
        <v>1.06</v>
      </c>
      <c r="D62" s="579">
        <v>1.01</v>
      </c>
      <c r="E62" s="579">
        <v>1.016</v>
      </c>
      <c r="F62" s="580">
        <v>20</v>
      </c>
      <c r="G62" s="581">
        <v>30</v>
      </c>
      <c r="H62" s="582">
        <v>4.3</v>
      </c>
      <c r="I62" s="583">
        <v>6.2</v>
      </c>
      <c r="J62" s="583">
        <v>18</v>
      </c>
      <c r="K62" s="583">
        <v>35</v>
      </c>
      <c r="L62"/>
    </row>
    <row r="63" spans="1:12" ht="14.4" x14ac:dyDescent="0.25">
      <c r="A63" s="1" t="s">
        <v>676</v>
      </c>
      <c r="B63" s="579">
        <v>1.05</v>
      </c>
      <c r="C63" s="579">
        <v>1.07</v>
      </c>
      <c r="D63" s="579">
        <v>1.012</v>
      </c>
      <c r="E63" s="579">
        <v>1.018</v>
      </c>
      <c r="F63" s="580">
        <v>25</v>
      </c>
      <c r="G63" s="581">
        <v>50</v>
      </c>
      <c r="H63" s="582">
        <v>4.8</v>
      </c>
      <c r="I63" s="583">
        <v>6.5</v>
      </c>
      <c r="J63" s="583">
        <v>22</v>
      </c>
      <c r="K63" s="583">
        <v>40</v>
      </c>
      <c r="L63"/>
    </row>
    <row r="64" spans="1:12" ht="14.4" x14ac:dyDescent="0.25">
      <c r="A64" s="1" t="s">
        <v>677</v>
      </c>
      <c r="B64" s="579">
        <v>1.05</v>
      </c>
      <c r="C64" s="579">
        <v>1.075</v>
      </c>
      <c r="D64" s="579">
        <v>1.01</v>
      </c>
      <c r="E64" s="579">
        <v>1.022</v>
      </c>
      <c r="F64" s="580">
        <v>35</v>
      </c>
      <c r="G64" s="581">
        <v>75</v>
      </c>
      <c r="H64" s="582">
        <v>5</v>
      </c>
      <c r="I64" s="583">
        <v>7</v>
      </c>
      <c r="J64" s="583">
        <v>30</v>
      </c>
      <c r="K64" s="583">
        <v>40</v>
      </c>
      <c r="L64"/>
    </row>
    <row r="65" spans="1:12" ht="14.4" x14ac:dyDescent="0.25">
      <c r="A65" s="1" t="s">
        <v>678</v>
      </c>
      <c r="B65" s="579">
        <v>1.075</v>
      </c>
      <c r="C65" s="579">
        <v>1.115</v>
      </c>
      <c r="D65" s="579">
        <v>1.018</v>
      </c>
      <c r="E65" s="579">
        <v>1.03</v>
      </c>
      <c r="F65" s="580">
        <v>50</v>
      </c>
      <c r="G65" s="581">
        <v>90</v>
      </c>
      <c r="H65" s="582">
        <v>8</v>
      </c>
      <c r="I65" s="583">
        <v>12</v>
      </c>
      <c r="J65" s="583">
        <v>30</v>
      </c>
      <c r="K65" s="583">
        <v>40</v>
      </c>
      <c r="L65"/>
    </row>
    <row r="66" spans="1:12" ht="14.4" x14ac:dyDescent="0.25">
      <c r="A66" s="1" t="s">
        <v>679</v>
      </c>
      <c r="B66" s="579">
        <v>1.056</v>
      </c>
      <c r="C66" s="579">
        <v>1.07</v>
      </c>
      <c r="D66" s="579">
        <v>1.008</v>
      </c>
      <c r="E66" s="579">
        <v>1.014</v>
      </c>
      <c r="F66" s="580">
        <v>40</v>
      </c>
      <c r="G66" s="581">
        <v>70</v>
      </c>
      <c r="H66" s="582">
        <v>5.5</v>
      </c>
      <c r="I66" s="583">
        <v>7.5</v>
      </c>
      <c r="J66" s="583">
        <v>6</v>
      </c>
      <c r="K66" s="583">
        <v>14</v>
      </c>
      <c r="L66"/>
    </row>
    <row r="67" spans="1:12" ht="14.4" x14ac:dyDescent="0.25">
      <c r="A67" s="1" t="s">
        <v>680</v>
      </c>
      <c r="B67" s="579">
        <v>1.0580000000000001</v>
      </c>
      <c r="C67" s="579">
        <v>1.08</v>
      </c>
      <c r="D67" s="579">
        <v>1.008</v>
      </c>
      <c r="E67" s="579">
        <v>1.016</v>
      </c>
      <c r="F67" s="580">
        <v>50</v>
      </c>
      <c r="G67" s="581">
        <v>100</v>
      </c>
      <c r="H67" s="582">
        <v>6.2</v>
      </c>
      <c r="I67" s="583">
        <v>9.5</v>
      </c>
      <c r="J67" s="583">
        <v>5</v>
      </c>
      <c r="K67" s="583">
        <v>15</v>
      </c>
      <c r="L67"/>
    </row>
    <row r="68" spans="1:12" ht="14.4" x14ac:dyDescent="0.25">
      <c r="A68" s="1" t="s">
        <v>681</v>
      </c>
      <c r="B68" s="579">
        <v>1.05</v>
      </c>
      <c r="C68" s="579">
        <v>1.085</v>
      </c>
      <c r="D68" s="579">
        <v>1.01</v>
      </c>
      <c r="E68" s="579">
        <v>1.018</v>
      </c>
      <c r="F68" s="580">
        <v>50</v>
      </c>
      <c r="G68" s="581">
        <v>90</v>
      </c>
      <c r="H68" s="582">
        <v>5.5</v>
      </c>
      <c r="I68" s="583">
        <v>9</v>
      </c>
      <c r="J68" s="583">
        <v>25</v>
      </c>
      <c r="K68" s="583">
        <v>40</v>
      </c>
      <c r="L68"/>
    </row>
    <row r="69" spans="1:12" ht="14.4" x14ac:dyDescent="0.25">
      <c r="A69" s="1" t="s">
        <v>682</v>
      </c>
      <c r="B69" s="579">
        <v>1.056</v>
      </c>
      <c r="C69" s="579">
        <v>1.07</v>
      </c>
      <c r="D69" s="579">
        <v>1.008</v>
      </c>
      <c r="E69" s="579">
        <v>1.016</v>
      </c>
      <c r="F69" s="580">
        <v>40</v>
      </c>
      <c r="G69" s="581">
        <v>70</v>
      </c>
      <c r="H69" s="582">
        <v>5.5</v>
      </c>
      <c r="I69" s="583">
        <v>7.5</v>
      </c>
      <c r="J69" s="583">
        <v>11</v>
      </c>
      <c r="K69" s="583">
        <v>19</v>
      </c>
      <c r="L69"/>
    </row>
    <row r="70" spans="1:12" ht="14.4" x14ac:dyDescent="0.25">
      <c r="A70" s="1" t="s">
        <v>2273</v>
      </c>
      <c r="B70" s="579">
        <v>1.06</v>
      </c>
      <c r="C70" s="579">
        <v>1.085</v>
      </c>
      <c r="D70" s="579">
        <v>1.01</v>
      </c>
      <c r="E70" s="579">
        <v>1.0149999999999999</v>
      </c>
      <c r="F70" s="580">
        <v>25</v>
      </c>
      <c r="G70" s="581">
        <v>60</v>
      </c>
      <c r="H70" s="582">
        <v>6</v>
      </c>
      <c r="I70" s="583">
        <v>9</v>
      </c>
      <c r="J70" s="583">
        <v>3</v>
      </c>
      <c r="K70" s="583">
        <v>7</v>
      </c>
      <c r="L70"/>
    </row>
    <row r="71" spans="1:12" ht="14.4" x14ac:dyDescent="0.25">
      <c r="A71" s="1" t="s">
        <v>683</v>
      </c>
      <c r="B71" s="579">
        <v>1.056</v>
      </c>
      <c r="C71" s="579">
        <v>1.07</v>
      </c>
      <c r="D71" s="579">
        <v>1.008</v>
      </c>
      <c r="E71" s="579">
        <v>1.016</v>
      </c>
      <c r="F71" s="580">
        <v>40</v>
      </c>
      <c r="G71" s="581">
        <v>70</v>
      </c>
      <c r="H71" s="582">
        <v>5.5</v>
      </c>
      <c r="I71" s="583">
        <v>7.5</v>
      </c>
      <c r="J71" s="583">
        <v>11</v>
      </c>
      <c r="K71" s="583">
        <v>19</v>
      </c>
      <c r="L71"/>
    </row>
    <row r="72" spans="1:12" ht="14.4" x14ac:dyDescent="0.25">
      <c r="A72" s="1" t="s">
        <v>684</v>
      </c>
      <c r="B72" s="579">
        <v>1.056</v>
      </c>
      <c r="C72" s="579">
        <v>1.075</v>
      </c>
      <c r="D72" s="579">
        <v>1.008</v>
      </c>
      <c r="E72" s="579">
        <v>1.014</v>
      </c>
      <c r="F72" s="580">
        <v>50</v>
      </c>
      <c r="G72" s="581">
        <v>75</v>
      </c>
      <c r="H72" s="582">
        <v>5.5</v>
      </c>
      <c r="I72" s="583">
        <v>8</v>
      </c>
      <c r="J72" s="583">
        <v>6</v>
      </c>
      <c r="K72" s="583">
        <v>14</v>
      </c>
      <c r="L72"/>
    </row>
    <row r="73" spans="1:12" ht="14.4" x14ac:dyDescent="0.25">
      <c r="A73" s="1" t="s">
        <v>685</v>
      </c>
      <c r="B73" s="579">
        <v>1.056</v>
      </c>
      <c r="C73" s="579">
        <v>1.0649999999999999</v>
      </c>
      <c r="D73" s="579">
        <v>1.01</v>
      </c>
      <c r="E73" s="579">
        <v>1.016</v>
      </c>
      <c r="F73" s="580">
        <v>40</v>
      </c>
      <c r="G73" s="581">
        <v>70</v>
      </c>
      <c r="H73" s="582">
        <v>5.5</v>
      </c>
      <c r="I73" s="583">
        <v>7</v>
      </c>
      <c r="J73" s="583">
        <v>5</v>
      </c>
      <c r="K73" s="583">
        <v>8</v>
      </c>
      <c r="L73"/>
    </row>
    <row r="74" spans="1:12" ht="14.4" x14ac:dyDescent="0.25">
      <c r="A74" s="1" t="s">
        <v>686</v>
      </c>
      <c r="B74" s="579">
        <v>1.0649999999999999</v>
      </c>
      <c r="C74" s="579">
        <v>1.085</v>
      </c>
      <c r="D74" s="579">
        <v>1.008</v>
      </c>
      <c r="E74" s="579">
        <v>1.018</v>
      </c>
      <c r="F74" s="580">
        <v>60</v>
      </c>
      <c r="G74" s="581">
        <v>120</v>
      </c>
      <c r="H74" s="582">
        <v>7.5</v>
      </c>
      <c r="I74" s="583">
        <v>10</v>
      </c>
      <c r="J74" s="583">
        <v>6</v>
      </c>
      <c r="K74" s="583">
        <v>14</v>
      </c>
      <c r="L74"/>
    </row>
    <row r="75" spans="1:12" ht="14.4" x14ac:dyDescent="0.25">
      <c r="A75" s="1" t="s">
        <v>687</v>
      </c>
      <c r="B75" s="579">
        <v>1.0620000000000001</v>
      </c>
      <c r="C75" s="579">
        <v>1.0900000000000001</v>
      </c>
      <c r="D75" s="579">
        <v>1.014</v>
      </c>
      <c r="E75" s="579">
        <v>1.024</v>
      </c>
      <c r="F75" s="580">
        <v>50</v>
      </c>
      <c r="G75" s="581">
        <v>100</v>
      </c>
      <c r="H75" s="582">
        <v>6.3</v>
      </c>
      <c r="I75" s="583">
        <v>10</v>
      </c>
      <c r="J75" s="583">
        <v>7</v>
      </c>
      <c r="K75" s="583">
        <v>19</v>
      </c>
      <c r="L75"/>
    </row>
    <row r="76" spans="1:12" ht="14.4" x14ac:dyDescent="0.25">
      <c r="A76" s="1" t="s">
        <v>688</v>
      </c>
      <c r="B76" s="579">
        <v>1.08</v>
      </c>
      <c r="C76" s="579">
        <v>1.1200000000000001</v>
      </c>
      <c r="D76" s="579">
        <v>1.016</v>
      </c>
      <c r="E76" s="579">
        <v>1.03</v>
      </c>
      <c r="F76" s="580">
        <v>50</v>
      </c>
      <c r="G76" s="581">
        <v>100</v>
      </c>
      <c r="H76" s="582">
        <v>8</v>
      </c>
      <c r="I76" s="583">
        <v>12</v>
      </c>
      <c r="J76" s="583">
        <v>10</v>
      </c>
      <c r="K76" s="583">
        <v>19</v>
      </c>
      <c r="L76"/>
    </row>
    <row r="77" spans="1:12" ht="14.4" x14ac:dyDescent="0.25">
      <c r="A77" s="1" t="s">
        <v>689</v>
      </c>
      <c r="B77" s="579">
        <v>1.08</v>
      </c>
      <c r="C77" s="579">
        <v>1.1200000000000001</v>
      </c>
      <c r="D77" s="579">
        <v>1.016</v>
      </c>
      <c r="E77" s="579">
        <v>1.03</v>
      </c>
      <c r="F77" s="580">
        <v>30</v>
      </c>
      <c r="G77" s="581">
        <v>60</v>
      </c>
      <c r="H77" s="582">
        <v>8</v>
      </c>
      <c r="I77" s="583">
        <v>12</v>
      </c>
      <c r="J77" s="583">
        <v>8</v>
      </c>
      <c r="K77" s="583">
        <v>15</v>
      </c>
      <c r="L77"/>
    </row>
    <row r="78" spans="1:12" ht="14.4" x14ac:dyDescent="0.25">
      <c r="A78" s="1" t="s">
        <v>690</v>
      </c>
      <c r="B78" s="579">
        <v>1.028</v>
      </c>
      <c r="C78" s="579">
        <v>1.032</v>
      </c>
      <c r="D78" s="579">
        <v>1.0029999999999999</v>
      </c>
      <c r="E78" s="579">
        <v>1.006</v>
      </c>
      <c r="F78" s="580">
        <v>3</v>
      </c>
      <c r="G78" s="581">
        <v>8</v>
      </c>
      <c r="H78" s="582">
        <v>2.8</v>
      </c>
      <c r="I78" s="583">
        <v>3.8</v>
      </c>
      <c r="J78" s="583">
        <v>2</v>
      </c>
      <c r="K78" s="583">
        <v>3</v>
      </c>
      <c r="L78"/>
    </row>
    <row r="79" spans="1:12" ht="14.4" x14ac:dyDescent="0.25">
      <c r="A79" s="1" t="s">
        <v>691</v>
      </c>
      <c r="B79" s="579">
        <v>1.048</v>
      </c>
      <c r="C79" s="579">
        <v>1.0569999999999999</v>
      </c>
      <c r="D79" s="579">
        <v>1.002</v>
      </c>
      <c r="E79" s="579">
        <v>1.012</v>
      </c>
      <c r="F79" s="580">
        <v>10</v>
      </c>
      <c r="G79" s="581">
        <v>25</v>
      </c>
      <c r="H79" s="582">
        <v>4.5999999999999996</v>
      </c>
      <c r="I79" s="583">
        <v>6.5</v>
      </c>
      <c r="J79" s="583">
        <v>10</v>
      </c>
      <c r="K79" s="583">
        <v>16</v>
      </c>
      <c r="L79"/>
    </row>
    <row r="80" spans="1:12" ht="14.4" x14ac:dyDescent="0.25">
      <c r="A80" s="1" t="s">
        <v>692</v>
      </c>
      <c r="B80" s="579">
        <v>1.04</v>
      </c>
      <c r="C80" s="579">
        <v>1.0740000000000001</v>
      </c>
      <c r="D80" s="579">
        <v>1.008</v>
      </c>
      <c r="E80" s="579">
        <v>1.012</v>
      </c>
      <c r="F80" s="580">
        <v>20</v>
      </c>
      <c r="G80" s="581">
        <v>25</v>
      </c>
      <c r="H80" s="582">
        <v>4</v>
      </c>
      <c r="I80" s="583">
        <v>8</v>
      </c>
      <c r="J80" s="583">
        <v>15</v>
      </c>
      <c r="K80" s="583">
        <v>22</v>
      </c>
      <c r="L80"/>
    </row>
    <row r="81" spans="1:12" ht="14.4" x14ac:dyDescent="0.25">
      <c r="A81" s="1" t="s">
        <v>693</v>
      </c>
      <c r="B81" s="579">
        <v>1.04</v>
      </c>
      <c r="C81" s="579">
        <v>1.054</v>
      </c>
      <c r="D81" s="579">
        <v>1.0009999999999999</v>
      </c>
      <c r="E81" s="579">
        <v>1.01</v>
      </c>
      <c r="F81" s="580">
        <v>0</v>
      </c>
      <c r="G81" s="581">
        <v>10</v>
      </c>
      <c r="H81" s="582">
        <v>5</v>
      </c>
      <c r="I81" s="583">
        <v>6.5</v>
      </c>
      <c r="J81" s="583">
        <v>3</v>
      </c>
      <c r="K81" s="583">
        <v>7</v>
      </c>
      <c r="L81"/>
    </row>
    <row r="82" spans="1:12" ht="14.4" x14ac:dyDescent="0.25">
      <c r="A82" s="1" t="s">
        <v>694</v>
      </c>
      <c r="B82" s="579">
        <v>1.04</v>
      </c>
      <c r="C82" s="579">
        <v>1.06</v>
      </c>
      <c r="D82" s="579">
        <v>1</v>
      </c>
      <c r="E82" s="579">
        <v>1.006</v>
      </c>
      <c r="F82" s="580">
        <v>0</v>
      </c>
      <c r="G82" s="581">
        <v>10</v>
      </c>
      <c r="H82" s="582">
        <v>5</v>
      </c>
      <c r="I82" s="583">
        <v>8</v>
      </c>
      <c r="J82" s="583">
        <v>3</v>
      </c>
      <c r="K82" s="583">
        <v>7</v>
      </c>
      <c r="L82"/>
    </row>
    <row r="83" spans="1:12" ht="14.4" x14ac:dyDescent="0.25">
      <c r="A83" s="1" t="s">
        <v>695</v>
      </c>
      <c r="B83" s="579">
        <v>1.04</v>
      </c>
      <c r="C83" s="579">
        <v>1.06</v>
      </c>
      <c r="D83" s="579">
        <v>1</v>
      </c>
      <c r="E83" s="579">
        <v>1.01</v>
      </c>
      <c r="F83" s="580">
        <v>0</v>
      </c>
      <c r="G83" s="581">
        <v>10</v>
      </c>
      <c r="H83" s="582">
        <v>5</v>
      </c>
      <c r="I83" s="583">
        <v>7</v>
      </c>
      <c r="J83" s="583">
        <v>3</v>
      </c>
      <c r="K83" s="583">
        <v>7</v>
      </c>
      <c r="L83"/>
    </row>
    <row r="84" spans="1:12" ht="14.4" x14ac:dyDescent="0.25">
      <c r="A84" s="1" t="s">
        <v>696</v>
      </c>
      <c r="B84" s="579">
        <v>1.044</v>
      </c>
      <c r="C84" s="579">
        <v>1.052</v>
      </c>
      <c r="D84" s="579">
        <v>1.008</v>
      </c>
      <c r="E84" s="579">
        <v>1.012</v>
      </c>
      <c r="F84" s="580">
        <v>8</v>
      </c>
      <c r="G84" s="581">
        <v>20</v>
      </c>
      <c r="H84" s="582">
        <v>4.5</v>
      </c>
      <c r="I84" s="583">
        <v>5.5</v>
      </c>
      <c r="J84" s="583">
        <v>2</v>
      </c>
      <c r="K84" s="583">
        <v>4</v>
      </c>
      <c r="L84"/>
    </row>
    <row r="85" spans="1:12" ht="14.4" x14ac:dyDescent="0.25">
      <c r="A85" s="1" t="s">
        <v>697</v>
      </c>
      <c r="B85" s="579">
        <v>1.048</v>
      </c>
      <c r="C85" s="579">
        <v>1.054</v>
      </c>
      <c r="D85" s="579">
        <v>1.01</v>
      </c>
      <c r="E85" s="579">
        <v>1.014</v>
      </c>
      <c r="F85" s="580">
        <v>20</v>
      </c>
      <c r="G85" s="581">
        <v>30</v>
      </c>
      <c r="H85" s="582">
        <v>4.8</v>
      </c>
      <c r="I85" s="583">
        <v>5.5</v>
      </c>
      <c r="J85" s="583">
        <v>8</v>
      </c>
      <c r="K85" s="583">
        <v>14</v>
      </c>
      <c r="L85"/>
    </row>
    <row r="86" spans="1:12" ht="14.4" x14ac:dyDescent="0.25">
      <c r="A86" s="1" t="s">
        <v>698</v>
      </c>
      <c r="B86" s="579">
        <v>1.06</v>
      </c>
      <c r="C86" s="579">
        <v>1.08</v>
      </c>
      <c r="D86" s="579">
        <v>1.008</v>
      </c>
      <c r="E86" s="579">
        <v>1.016</v>
      </c>
      <c r="F86" s="580">
        <v>18</v>
      </c>
      <c r="G86" s="581">
        <v>28</v>
      </c>
      <c r="H86" s="582">
        <v>6</v>
      </c>
      <c r="I86" s="583">
        <v>8.5</v>
      </c>
      <c r="J86" s="583">
        <v>6</v>
      </c>
      <c r="K86" s="583">
        <v>19</v>
      </c>
      <c r="L86"/>
    </row>
    <row r="87" spans="1:12" ht="14.4" x14ac:dyDescent="0.25">
      <c r="A87" s="1" t="s">
        <v>699</v>
      </c>
      <c r="B87" s="579">
        <v>1.0620000000000001</v>
      </c>
      <c r="C87" s="579">
        <v>1.075</v>
      </c>
      <c r="D87" s="579">
        <v>1.008</v>
      </c>
      <c r="E87" s="579">
        <v>1.018</v>
      </c>
      <c r="F87" s="580">
        <v>15</v>
      </c>
      <c r="G87" s="581">
        <v>30</v>
      </c>
      <c r="H87" s="582">
        <v>6</v>
      </c>
      <c r="I87" s="583">
        <v>7.5</v>
      </c>
      <c r="J87" s="583">
        <v>4</v>
      </c>
      <c r="K87" s="583">
        <v>7</v>
      </c>
      <c r="L87"/>
    </row>
    <row r="88" spans="1:12" ht="14.4" x14ac:dyDescent="0.25">
      <c r="A88" s="1" t="s">
        <v>700</v>
      </c>
      <c r="B88" s="579">
        <v>1.048</v>
      </c>
      <c r="C88" s="579">
        <v>1.0649999999999999</v>
      </c>
      <c r="D88" s="579">
        <v>1.002</v>
      </c>
      <c r="E88" s="579">
        <v>1.008</v>
      </c>
      <c r="F88" s="580">
        <v>20</v>
      </c>
      <c r="G88" s="581">
        <v>35</v>
      </c>
      <c r="H88" s="582">
        <v>3.5</v>
      </c>
      <c r="I88" s="583">
        <v>9.5</v>
      </c>
      <c r="J88" s="583">
        <v>5</v>
      </c>
      <c r="K88" s="583">
        <v>22</v>
      </c>
      <c r="L88"/>
    </row>
    <row r="89" spans="1:12" ht="14.4" x14ac:dyDescent="0.25">
      <c r="A89" s="1" t="s">
        <v>701</v>
      </c>
      <c r="B89" s="579">
        <v>1.07</v>
      </c>
      <c r="C89" s="579">
        <v>1.095</v>
      </c>
      <c r="D89" s="579">
        <v>1.0049999999999999</v>
      </c>
      <c r="E89" s="579">
        <v>1.016</v>
      </c>
      <c r="F89" s="580">
        <v>22</v>
      </c>
      <c r="G89" s="581">
        <v>35</v>
      </c>
      <c r="H89" s="582">
        <v>7.5</v>
      </c>
      <c r="I89" s="583">
        <v>10.5</v>
      </c>
      <c r="J89" s="583">
        <v>3</v>
      </c>
      <c r="K89" s="583">
        <v>6</v>
      </c>
      <c r="L89"/>
    </row>
    <row r="90" spans="1:12" ht="14.4" x14ac:dyDescent="0.25">
      <c r="A90" s="1" t="s">
        <v>702</v>
      </c>
      <c r="B90" s="579">
        <v>1.044</v>
      </c>
      <c r="C90" s="579">
        <v>1.054</v>
      </c>
      <c r="D90" s="579">
        <v>1.004</v>
      </c>
      <c r="E90" s="579">
        <v>1.01</v>
      </c>
      <c r="F90" s="580">
        <v>25</v>
      </c>
      <c r="G90" s="581">
        <v>45</v>
      </c>
      <c r="H90" s="582">
        <v>4.8</v>
      </c>
      <c r="I90" s="583">
        <v>6</v>
      </c>
      <c r="J90" s="583">
        <v>3</v>
      </c>
      <c r="K90" s="583">
        <v>5</v>
      </c>
      <c r="L90"/>
    </row>
    <row r="91" spans="1:12" ht="14.4" x14ac:dyDescent="0.25">
      <c r="A91" s="1" t="s">
        <v>703</v>
      </c>
      <c r="B91" s="579">
        <v>1.0620000000000001</v>
      </c>
      <c r="C91" s="579">
        <v>1.075</v>
      </c>
      <c r="D91" s="579">
        <v>1.008</v>
      </c>
      <c r="E91" s="579">
        <v>1.018</v>
      </c>
      <c r="F91" s="580">
        <v>15</v>
      </c>
      <c r="G91" s="581">
        <v>25</v>
      </c>
      <c r="H91" s="582">
        <v>6</v>
      </c>
      <c r="I91" s="583">
        <v>7.6</v>
      </c>
      <c r="J91" s="583">
        <v>10</v>
      </c>
      <c r="K91" s="583">
        <v>17</v>
      </c>
      <c r="L91"/>
    </row>
    <row r="92" spans="1:12" ht="14.4" x14ac:dyDescent="0.25">
      <c r="A92" s="1" t="s">
        <v>704</v>
      </c>
      <c r="B92" s="579">
        <v>1.075</v>
      </c>
      <c r="C92" s="579">
        <v>1.085</v>
      </c>
      <c r="D92" s="579">
        <v>1.008</v>
      </c>
      <c r="E92" s="579">
        <v>1.014</v>
      </c>
      <c r="F92" s="580">
        <v>20</v>
      </c>
      <c r="G92" s="581">
        <v>40</v>
      </c>
      <c r="H92" s="582">
        <v>7.5</v>
      </c>
      <c r="I92" s="583">
        <v>9.5</v>
      </c>
      <c r="J92" s="583">
        <v>4.5</v>
      </c>
      <c r="K92" s="583">
        <v>7</v>
      </c>
      <c r="L92"/>
    </row>
    <row r="93" spans="1:12" ht="14.4" x14ac:dyDescent="0.25">
      <c r="A93" s="1" t="s">
        <v>705</v>
      </c>
      <c r="B93" s="579">
        <v>1.075</v>
      </c>
      <c r="C93" s="579">
        <v>1.1100000000000001</v>
      </c>
      <c r="D93" s="579">
        <v>1.01</v>
      </c>
      <c r="E93" s="579">
        <v>1.024</v>
      </c>
      <c r="F93" s="580">
        <v>20</v>
      </c>
      <c r="G93" s="581">
        <v>35</v>
      </c>
      <c r="H93" s="582">
        <v>8</v>
      </c>
      <c r="I93" s="583">
        <v>12</v>
      </c>
      <c r="J93" s="583">
        <v>12</v>
      </c>
      <c r="K93" s="583">
        <v>22</v>
      </c>
      <c r="L93"/>
    </row>
    <row r="94" spans="1:12" ht="14.4" x14ac:dyDescent="0.25">
      <c r="A94" s="1" t="s">
        <v>2274</v>
      </c>
      <c r="B94" s="579">
        <v>1.036</v>
      </c>
      <c r="C94" s="579">
        <v>1.056</v>
      </c>
      <c r="D94" s="579">
        <v>1.006</v>
      </c>
      <c r="E94" s="579">
        <v>1.01</v>
      </c>
      <c r="F94" s="580">
        <v>5</v>
      </c>
      <c r="G94" s="581">
        <v>12</v>
      </c>
      <c r="H94" s="582">
        <v>4.2</v>
      </c>
      <c r="I94" s="583">
        <v>4.8</v>
      </c>
      <c r="J94" s="583">
        <v>3</v>
      </c>
      <c r="K94" s="583">
        <v>4</v>
      </c>
      <c r="L94"/>
    </row>
    <row r="95" spans="1:12" ht="14.4" x14ac:dyDescent="0.25">
      <c r="A95" s="1" t="s">
        <v>2275</v>
      </c>
      <c r="B95" s="579">
        <v>1.044</v>
      </c>
      <c r="C95" s="579">
        <v>1.0549999999999999</v>
      </c>
      <c r="D95" s="579">
        <v>1.01</v>
      </c>
      <c r="E95" s="579">
        <v>1.018</v>
      </c>
      <c r="F95" s="580">
        <v>15</v>
      </c>
      <c r="G95" s="581">
        <v>30</v>
      </c>
      <c r="H95" s="582">
        <v>4</v>
      </c>
      <c r="I95" s="583">
        <v>5.5</v>
      </c>
      <c r="J95" s="583">
        <v>11</v>
      </c>
      <c r="K95" s="583">
        <v>20</v>
      </c>
      <c r="L95"/>
    </row>
    <row r="96" spans="1:12" ht="14.4" x14ac:dyDescent="0.25">
      <c r="A96" s="1" t="s">
        <v>2276</v>
      </c>
      <c r="B96" s="579">
        <v>1.032</v>
      </c>
      <c r="C96" s="579">
        <v>1.04</v>
      </c>
      <c r="D96" s="579">
        <v>1.004</v>
      </c>
      <c r="E96" s="579">
        <v>1.008</v>
      </c>
      <c r="F96" s="580">
        <v>5</v>
      </c>
      <c r="G96" s="581">
        <v>12</v>
      </c>
      <c r="H96" s="582">
        <v>3.5</v>
      </c>
      <c r="I96" s="583">
        <v>4.7</v>
      </c>
      <c r="J96" s="583">
        <v>3</v>
      </c>
      <c r="K96" s="583">
        <v>6</v>
      </c>
      <c r="L96"/>
    </row>
    <row r="97" spans="1:12" ht="14.4" x14ac:dyDescent="0.25">
      <c r="A97" s="1" t="s">
        <v>2277</v>
      </c>
      <c r="B97" s="579">
        <v>1.0329999999999999</v>
      </c>
      <c r="C97" s="579">
        <v>1.038</v>
      </c>
      <c r="D97" s="579">
        <v>1.012</v>
      </c>
      <c r="E97" s="579">
        <v>1.0149999999999999</v>
      </c>
      <c r="F97" s="580">
        <v>15</v>
      </c>
      <c r="G97" s="581">
        <v>20</v>
      </c>
      <c r="H97" s="582">
        <v>2.8</v>
      </c>
      <c r="I97" s="583">
        <v>3.6</v>
      </c>
      <c r="J97" s="583">
        <v>22</v>
      </c>
      <c r="K97" s="583">
        <v>35</v>
      </c>
      <c r="L97"/>
    </row>
    <row r="98" spans="1:12" ht="14.4" x14ac:dyDescent="0.25">
      <c r="A98" s="1" t="s">
        <v>2278</v>
      </c>
      <c r="B98" s="579">
        <v>1.028</v>
      </c>
      <c r="C98" s="579">
        <v>1.032</v>
      </c>
      <c r="D98" s="579">
        <v>1.006</v>
      </c>
      <c r="E98" s="579">
        <v>1.012</v>
      </c>
      <c r="F98" s="580">
        <v>20</v>
      </c>
      <c r="G98" s="581">
        <v>35</v>
      </c>
      <c r="H98" s="582">
        <v>2.5</v>
      </c>
      <c r="I98" s="583">
        <v>3.3</v>
      </c>
      <c r="J98" s="583">
        <v>3</v>
      </c>
      <c r="K98" s="583">
        <v>6</v>
      </c>
      <c r="L98"/>
    </row>
    <row r="99" spans="1:12" ht="14.4" x14ac:dyDescent="0.25">
      <c r="A99" s="1" t="s">
        <v>2279</v>
      </c>
      <c r="B99" s="579">
        <v>1.044</v>
      </c>
      <c r="C99" s="579">
        <v>1.06</v>
      </c>
      <c r="D99" s="579">
        <v>1.01</v>
      </c>
      <c r="E99" s="579">
        <v>1.0149999999999999</v>
      </c>
      <c r="F99" s="580">
        <v>25</v>
      </c>
      <c r="G99" s="581">
        <v>40</v>
      </c>
      <c r="H99" s="582">
        <v>4.5</v>
      </c>
      <c r="I99" s="583">
        <v>6</v>
      </c>
      <c r="J99" s="583">
        <v>3</v>
      </c>
      <c r="K99" s="583">
        <v>6</v>
      </c>
      <c r="L99"/>
    </row>
    <row r="100" spans="1:12" ht="14.4" x14ac:dyDescent="0.25">
      <c r="A100" s="1" t="s">
        <v>2282</v>
      </c>
      <c r="B100" s="579">
        <v>1.046</v>
      </c>
      <c r="C100" s="579">
        <v>1.06</v>
      </c>
      <c r="D100" s="579">
        <v>1.01</v>
      </c>
      <c r="E100" s="579">
        <v>1.016</v>
      </c>
      <c r="F100" s="580">
        <v>20</v>
      </c>
      <c r="G100" s="581">
        <v>30</v>
      </c>
      <c r="H100" s="582">
        <v>4.5</v>
      </c>
      <c r="I100" s="583">
        <v>6</v>
      </c>
      <c r="J100" s="583">
        <v>18</v>
      </c>
      <c r="K100" s="583">
        <v>30</v>
      </c>
      <c r="L100"/>
    </row>
    <row r="101" spans="1:12" ht="14.4" x14ac:dyDescent="0.25">
      <c r="A101" s="1" t="s">
        <v>2280</v>
      </c>
      <c r="B101" s="579">
        <v>1.046</v>
      </c>
      <c r="C101" s="579">
        <v>1.056</v>
      </c>
      <c r="D101" s="579">
        <v>1.01</v>
      </c>
      <c r="E101" s="579">
        <v>1.014</v>
      </c>
      <c r="F101" s="580">
        <v>10</v>
      </c>
      <c r="G101" s="581">
        <v>20</v>
      </c>
      <c r="H101" s="582">
        <v>4.5</v>
      </c>
      <c r="I101" s="583">
        <v>6</v>
      </c>
      <c r="J101" s="583">
        <v>14</v>
      </c>
      <c r="K101" s="583">
        <v>19</v>
      </c>
      <c r="L101"/>
    </row>
    <row r="102" spans="1:12" ht="14.4" x14ac:dyDescent="0.25">
      <c r="A102" s="1" t="s">
        <v>2281</v>
      </c>
      <c r="B102" s="579">
        <v>1.0760000000000001</v>
      </c>
      <c r="C102" s="579">
        <v>1.1200000000000001</v>
      </c>
      <c r="D102" s="579">
        <v>1.016</v>
      </c>
      <c r="E102" s="579">
        <v>1.02</v>
      </c>
      <c r="F102" s="580">
        <v>7</v>
      </c>
      <c r="G102" s="581">
        <v>15</v>
      </c>
      <c r="H102" s="582">
        <v>7</v>
      </c>
      <c r="I102" s="583">
        <v>11</v>
      </c>
      <c r="J102" s="583">
        <v>4</v>
      </c>
      <c r="K102" s="583">
        <v>22</v>
      </c>
      <c r="L102"/>
    </row>
    <row r="103" spans="1:12" x14ac:dyDescent="0.25">
      <c r="A103" s="584" t="s">
        <v>706</v>
      </c>
      <c r="B103" s="585" t="s">
        <v>145</v>
      </c>
      <c r="C103" s="585" t="s">
        <v>145</v>
      </c>
      <c r="D103" s="585" t="s">
        <v>145</v>
      </c>
      <c r="E103" s="585" t="s">
        <v>145</v>
      </c>
      <c r="F103" s="585" t="s">
        <v>145</v>
      </c>
      <c r="G103" s="585" t="s">
        <v>145</v>
      </c>
      <c r="H103" s="585" t="s">
        <v>145</v>
      </c>
      <c r="I103" s="585" t="s">
        <v>145</v>
      </c>
      <c r="J103" s="585" t="s">
        <v>145</v>
      </c>
      <c r="K103" s="585" t="s">
        <v>145</v>
      </c>
      <c r="L103"/>
    </row>
    <row r="104" spans="1:12" x14ac:dyDescent="0.25">
      <c r="A104" s="584" t="s">
        <v>707</v>
      </c>
      <c r="B104" s="585" t="s">
        <v>145</v>
      </c>
      <c r="C104" s="585" t="s">
        <v>145</v>
      </c>
      <c r="D104" s="585" t="s">
        <v>145</v>
      </c>
      <c r="E104" s="585" t="s">
        <v>145</v>
      </c>
      <c r="F104" s="585" t="s">
        <v>145</v>
      </c>
      <c r="G104" s="585" t="s">
        <v>145</v>
      </c>
      <c r="H104" s="585" t="s">
        <v>145</v>
      </c>
      <c r="I104" s="585" t="s">
        <v>145</v>
      </c>
      <c r="J104" s="585" t="s">
        <v>145</v>
      </c>
      <c r="K104" s="585" t="s">
        <v>145</v>
      </c>
    </row>
    <row r="105" spans="1:12" x14ac:dyDescent="0.25">
      <c r="A105" s="584" t="s">
        <v>708</v>
      </c>
      <c r="B105" s="585" t="s">
        <v>145</v>
      </c>
      <c r="C105" s="585" t="s">
        <v>145</v>
      </c>
      <c r="D105" s="585" t="s">
        <v>145</v>
      </c>
      <c r="E105" s="585" t="s">
        <v>145</v>
      </c>
      <c r="F105" s="585" t="s">
        <v>145</v>
      </c>
      <c r="G105" s="585" t="s">
        <v>145</v>
      </c>
      <c r="H105" s="585" t="s">
        <v>145</v>
      </c>
      <c r="I105" s="585" t="s">
        <v>145</v>
      </c>
      <c r="J105" s="585" t="s">
        <v>145</v>
      </c>
      <c r="K105" s="585" t="s">
        <v>145</v>
      </c>
    </row>
    <row r="106" spans="1:12" x14ac:dyDescent="0.25">
      <c r="A106" s="584" t="s">
        <v>709</v>
      </c>
      <c r="B106" s="585" t="s">
        <v>145</v>
      </c>
      <c r="C106" s="585" t="s">
        <v>145</v>
      </c>
      <c r="D106" s="585" t="s">
        <v>145</v>
      </c>
      <c r="E106" s="585" t="s">
        <v>145</v>
      </c>
      <c r="F106" s="585" t="s">
        <v>145</v>
      </c>
      <c r="G106" s="585" t="s">
        <v>145</v>
      </c>
      <c r="H106" s="585" t="s">
        <v>145</v>
      </c>
      <c r="I106" s="585" t="s">
        <v>145</v>
      </c>
      <c r="J106" s="585" t="s">
        <v>145</v>
      </c>
      <c r="K106" s="585" t="s">
        <v>145</v>
      </c>
    </row>
    <row r="107" spans="1:12" x14ac:dyDescent="0.25">
      <c r="A107" s="584" t="s">
        <v>710</v>
      </c>
      <c r="B107" s="585" t="s">
        <v>145</v>
      </c>
      <c r="C107" s="585" t="s">
        <v>145</v>
      </c>
      <c r="D107" s="585" t="s">
        <v>145</v>
      </c>
      <c r="E107" s="585" t="s">
        <v>145</v>
      </c>
      <c r="F107" s="585" t="s">
        <v>145</v>
      </c>
      <c r="G107" s="585" t="s">
        <v>145</v>
      </c>
      <c r="H107" s="585" t="s">
        <v>145</v>
      </c>
      <c r="I107" s="585" t="s">
        <v>145</v>
      </c>
      <c r="J107" s="585" t="s">
        <v>145</v>
      </c>
      <c r="K107" s="585" t="s">
        <v>145</v>
      </c>
    </row>
    <row r="108" spans="1:12" x14ac:dyDescent="0.25">
      <c r="A108" s="584" t="s">
        <v>711</v>
      </c>
      <c r="B108" s="585" t="s">
        <v>145</v>
      </c>
      <c r="C108" s="585" t="s">
        <v>145</v>
      </c>
      <c r="D108" s="585" t="s">
        <v>145</v>
      </c>
      <c r="E108" s="585" t="s">
        <v>145</v>
      </c>
      <c r="F108" s="585" t="s">
        <v>145</v>
      </c>
      <c r="G108" s="585" t="s">
        <v>145</v>
      </c>
      <c r="H108" s="585" t="s">
        <v>145</v>
      </c>
      <c r="I108" s="585" t="s">
        <v>145</v>
      </c>
      <c r="J108" s="585" t="s">
        <v>145</v>
      </c>
      <c r="K108" s="585" t="s">
        <v>145</v>
      </c>
    </row>
    <row r="109" spans="1:12" x14ac:dyDescent="0.25">
      <c r="A109" s="584" t="s">
        <v>712</v>
      </c>
      <c r="B109" s="585" t="s">
        <v>145</v>
      </c>
      <c r="C109" s="585" t="s">
        <v>145</v>
      </c>
      <c r="D109" s="585" t="s">
        <v>145</v>
      </c>
      <c r="E109" s="585" t="s">
        <v>145</v>
      </c>
      <c r="F109" s="585" t="s">
        <v>145</v>
      </c>
      <c r="G109" s="585" t="s">
        <v>145</v>
      </c>
      <c r="H109" s="585" t="s">
        <v>145</v>
      </c>
      <c r="I109" s="585" t="s">
        <v>145</v>
      </c>
      <c r="J109" s="585" t="s">
        <v>145</v>
      </c>
      <c r="K109" s="585" t="s">
        <v>145</v>
      </c>
    </row>
    <row r="110" spans="1:12" x14ac:dyDescent="0.25">
      <c r="A110" s="584" t="s">
        <v>713</v>
      </c>
      <c r="B110" s="585" t="s">
        <v>145</v>
      </c>
      <c r="C110" s="585" t="s">
        <v>145</v>
      </c>
      <c r="D110" s="585" t="s">
        <v>145</v>
      </c>
      <c r="E110" s="585" t="s">
        <v>145</v>
      </c>
      <c r="F110" s="585" t="s">
        <v>145</v>
      </c>
      <c r="G110" s="585" t="s">
        <v>145</v>
      </c>
      <c r="H110" s="585" t="s">
        <v>145</v>
      </c>
      <c r="I110" s="585" t="s">
        <v>145</v>
      </c>
      <c r="J110" s="585" t="s">
        <v>145</v>
      </c>
      <c r="K110" s="585" t="s">
        <v>145</v>
      </c>
    </row>
    <row r="111" spans="1:12" x14ac:dyDescent="0.25">
      <c r="A111" s="584" t="s">
        <v>714</v>
      </c>
      <c r="B111" s="585" t="s">
        <v>145</v>
      </c>
      <c r="C111" s="585" t="s">
        <v>145</v>
      </c>
      <c r="D111" s="585" t="s">
        <v>145</v>
      </c>
      <c r="E111" s="585" t="s">
        <v>145</v>
      </c>
      <c r="F111" s="585" t="s">
        <v>145</v>
      </c>
      <c r="G111" s="585" t="s">
        <v>145</v>
      </c>
      <c r="H111" s="585" t="s">
        <v>145</v>
      </c>
      <c r="I111" s="585" t="s">
        <v>145</v>
      </c>
      <c r="J111" s="585" t="s">
        <v>145</v>
      </c>
      <c r="K111" s="585" t="s">
        <v>145</v>
      </c>
    </row>
    <row r="112" spans="1:12" x14ac:dyDescent="0.25">
      <c r="A112" s="584" t="s">
        <v>715</v>
      </c>
      <c r="B112" s="585" t="s">
        <v>145</v>
      </c>
      <c r="C112" s="585" t="s">
        <v>145</v>
      </c>
      <c r="D112" s="585" t="s">
        <v>145</v>
      </c>
      <c r="E112" s="585" t="s">
        <v>145</v>
      </c>
      <c r="F112" s="585" t="s">
        <v>145</v>
      </c>
      <c r="G112" s="585" t="s">
        <v>145</v>
      </c>
      <c r="H112" s="585" t="s">
        <v>145</v>
      </c>
      <c r="I112" s="585" t="s">
        <v>145</v>
      </c>
      <c r="J112" s="585" t="s">
        <v>145</v>
      </c>
      <c r="K112" s="585" t="s">
        <v>145</v>
      </c>
    </row>
    <row r="113" spans="1:11" x14ac:dyDescent="0.25">
      <c r="A113" s="584" t="s">
        <v>716</v>
      </c>
      <c r="B113" s="585" t="s">
        <v>145</v>
      </c>
      <c r="C113" s="585" t="s">
        <v>145</v>
      </c>
      <c r="D113" s="585" t="s">
        <v>145</v>
      </c>
      <c r="E113" s="585" t="s">
        <v>145</v>
      </c>
      <c r="F113" s="585" t="s">
        <v>145</v>
      </c>
      <c r="G113" s="585" t="s">
        <v>145</v>
      </c>
      <c r="H113" s="585" t="s">
        <v>145</v>
      </c>
      <c r="I113" s="585" t="s">
        <v>145</v>
      </c>
      <c r="J113" s="585" t="s">
        <v>145</v>
      </c>
      <c r="K113" s="585" t="s">
        <v>145</v>
      </c>
    </row>
    <row r="114" spans="1:11" x14ac:dyDescent="0.25">
      <c r="A114" s="584" t="s">
        <v>717</v>
      </c>
      <c r="B114" s="585" t="s">
        <v>145</v>
      </c>
      <c r="C114" s="585" t="s">
        <v>145</v>
      </c>
      <c r="D114" s="585" t="s">
        <v>145</v>
      </c>
      <c r="E114" s="585" t="s">
        <v>145</v>
      </c>
      <c r="F114" s="585" t="s">
        <v>145</v>
      </c>
      <c r="G114" s="585" t="s">
        <v>145</v>
      </c>
      <c r="H114" s="585" t="s">
        <v>145</v>
      </c>
      <c r="I114" s="585" t="s">
        <v>145</v>
      </c>
      <c r="J114" s="585" t="s">
        <v>145</v>
      </c>
      <c r="K114" s="585" t="s">
        <v>145</v>
      </c>
    </row>
    <row r="115" spans="1:11" x14ac:dyDescent="0.25">
      <c r="A115" s="584" t="s">
        <v>718</v>
      </c>
      <c r="B115" s="585" t="s">
        <v>145</v>
      </c>
      <c r="C115" s="585" t="s">
        <v>145</v>
      </c>
      <c r="D115" s="585" t="s">
        <v>145</v>
      </c>
      <c r="E115" s="585" t="s">
        <v>145</v>
      </c>
      <c r="F115" s="585" t="s">
        <v>145</v>
      </c>
      <c r="G115" s="585" t="s">
        <v>145</v>
      </c>
      <c r="H115" s="585" t="s">
        <v>145</v>
      </c>
      <c r="I115" s="585" t="s">
        <v>145</v>
      </c>
      <c r="J115" s="585" t="s">
        <v>145</v>
      </c>
      <c r="K115" s="585" t="s">
        <v>145</v>
      </c>
    </row>
    <row r="116" spans="1:11" x14ac:dyDescent="0.25">
      <c r="A116" s="584" t="s">
        <v>719</v>
      </c>
      <c r="B116" s="585" t="s">
        <v>145</v>
      </c>
      <c r="C116" s="585" t="s">
        <v>145</v>
      </c>
      <c r="D116" s="585" t="s">
        <v>145</v>
      </c>
      <c r="E116" s="585" t="s">
        <v>145</v>
      </c>
      <c r="F116" s="585" t="s">
        <v>145</v>
      </c>
      <c r="G116" s="585" t="s">
        <v>145</v>
      </c>
      <c r="H116" s="585" t="s">
        <v>145</v>
      </c>
      <c r="I116" s="585" t="s">
        <v>145</v>
      </c>
      <c r="J116" s="585" t="s">
        <v>145</v>
      </c>
      <c r="K116" s="585" t="s">
        <v>145</v>
      </c>
    </row>
    <row r="117" spans="1:11" x14ac:dyDescent="0.25">
      <c r="A117" s="584" t="s">
        <v>720</v>
      </c>
      <c r="B117" s="585" t="s">
        <v>145</v>
      </c>
      <c r="C117" s="585" t="s">
        <v>145</v>
      </c>
      <c r="D117" s="585" t="s">
        <v>145</v>
      </c>
      <c r="E117" s="585" t="s">
        <v>145</v>
      </c>
      <c r="F117" s="585" t="s">
        <v>145</v>
      </c>
      <c r="G117" s="585" t="s">
        <v>145</v>
      </c>
      <c r="H117" s="585" t="s">
        <v>145</v>
      </c>
      <c r="I117" s="585" t="s">
        <v>145</v>
      </c>
      <c r="J117" s="585" t="s">
        <v>145</v>
      </c>
      <c r="K117" s="585" t="s">
        <v>145</v>
      </c>
    </row>
    <row r="118" spans="1:11" x14ac:dyDescent="0.25">
      <c r="A118" s="584" t="s">
        <v>721</v>
      </c>
      <c r="B118" s="585" t="s">
        <v>145</v>
      </c>
      <c r="C118" s="585" t="s">
        <v>145</v>
      </c>
      <c r="D118" s="585" t="s">
        <v>145</v>
      </c>
      <c r="E118" s="585" t="s">
        <v>145</v>
      </c>
      <c r="F118" s="585" t="s">
        <v>145</v>
      </c>
      <c r="G118" s="585" t="s">
        <v>145</v>
      </c>
      <c r="H118" s="585" t="s">
        <v>145</v>
      </c>
      <c r="I118" s="585" t="s">
        <v>145</v>
      </c>
      <c r="J118" s="585" t="s">
        <v>145</v>
      </c>
      <c r="K118" s="585" t="s">
        <v>145</v>
      </c>
    </row>
    <row r="119" spans="1:11" x14ac:dyDescent="0.25">
      <c r="A119" s="584" t="s">
        <v>722</v>
      </c>
      <c r="B119" s="585" t="s">
        <v>145</v>
      </c>
      <c r="C119" s="585" t="s">
        <v>145</v>
      </c>
      <c r="D119" s="585" t="s">
        <v>145</v>
      </c>
      <c r="E119" s="585" t="s">
        <v>145</v>
      </c>
      <c r="F119" s="585" t="s">
        <v>145</v>
      </c>
      <c r="G119" s="585" t="s">
        <v>145</v>
      </c>
      <c r="H119" s="585" t="s">
        <v>145</v>
      </c>
      <c r="I119" s="585" t="s">
        <v>145</v>
      </c>
      <c r="J119" s="585" t="s">
        <v>145</v>
      </c>
      <c r="K119" s="585" t="s">
        <v>145</v>
      </c>
    </row>
    <row r="120" spans="1:11" x14ac:dyDescent="0.25">
      <c r="A120" s="584" t="s">
        <v>723</v>
      </c>
      <c r="B120" s="585" t="s">
        <v>145</v>
      </c>
      <c r="C120" s="585" t="s">
        <v>145</v>
      </c>
      <c r="D120" s="585" t="s">
        <v>145</v>
      </c>
      <c r="E120" s="585" t="s">
        <v>145</v>
      </c>
      <c r="F120" s="585" t="s">
        <v>145</v>
      </c>
      <c r="G120" s="585" t="s">
        <v>145</v>
      </c>
      <c r="H120" s="585" t="s">
        <v>145</v>
      </c>
      <c r="I120" s="585" t="s">
        <v>145</v>
      </c>
      <c r="J120" s="585" t="s">
        <v>145</v>
      </c>
      <c r="K120" s="585" t="s">
        <v>145</v>
      </c>
    </row>
    <row r="121" spans="1:11" x14ac:dyDescent="0.25">
      <c r="B121" s="577"/>
      <c r="C121" s="577"/>
      <c r="D121" s="577"/>
      <c r="E121" s="577"/>
      <c r="H121"/>
      <c r="I121"/>
      <c r="J121"/>
      <c r="K121"/>
    </row>
    <row r="122" spans="1:11" x14ac:dyDescent="0.25">
      <c r="B122" s="577"/>
      <c r="C122" s="577"/>
      <c r="D122" s="577"/>
      <c r="E122" s="577"/>
      <c r="H122"/>
      <c r="I122"/>
      <c r="J122"/>
      <c r="K122"/>
    </row>
    <row r="123" spans="1:11" x14ac:dyDescent="0.25">
      <c r="H123"/>
      <c r="I123"/>
      <c r="J123"/>
      <c r="K123"/>
    </row>
    <row r="124" spans="1:11" x14ac:dyDescent="0.25">
      <c r="H124"/>
      <c r="I124"/>
      <c r="J124"/>
      <c r="K124"/>
    </row>
    <row r="125" spans="1:11" x14ac:dyDescent="0.25">
      <c r="H125"/>
      <c r="I125"/>
      <c r="J125"/>
      <c r="K125"/>
    </row>
    <row r="126" spans="1:11" x14ac:dyDescent="0.25">
      <c r="H126"/>
      <c r="I126"/>
      <c r="J126"/>
      <c r="K126"/>
    </row>
    <row r="127" spans="1:11" x14ac:dyDescent="0.25">
      <c r="H127"/>
      <c r="I127"/>
      <c r="J127"/>
      <c r="K127"/>
    </row>
    <row r="128" spans="1:11" x14ac:dyDescent="0.25">
      <c r="H128"/>
      <c r="I128"/>
      <c r="J128"/>
      <c r="K128"/>
    </row>
    <row r="129" spans="8:11" x14ac:dyDescent="0.25">
      <c r="H129"/>
      <c r="I129"/>
      <c r="J129"/>
      <c r="K129"/>
    </row>
    <row r="130" spans="8:11" x14ac:dyDescent="0.25">
      <c r="H130"/>
      <c r="I130"/>
      <c r="J130"/>
      <c r="K130"/>
    </row>
    <row r="131" spans="8:11" x14ac:dyDescent="0.25">
      <c r="H131"/>
      <c r="I131"/>
      <c r="J131"/>
      <c r="K131"/>
    </row>
    <row r="132" spans="8:11" x14ac:dyDescent="0.25">
      <c r="H132"/>
      <c r="I132"/>
      <c r="J132"/>
      <c r="K132"/>
    </row>
    <row r="133" spans="8:11" x14ac:dyDescent="0.25">
      <c r="H133"/>
      <c r="I133"/>
      <c r="J133"/>
      <c r="K133"/>
    </row>
    <row r="134" spans="8:11" x14ac:dyDescent="0.25">
      <c r="H134"/>
      <c r="I134"/>
      <c r="J134"/>
      <c r="K134"/>
    </row>
    <row r="135" spans="8:11" x14ac:dyDescent="0.25">
      <c r="H135"/>
      <c r="I135"/>
      <c r="J135"/>
      <c r="K135"/>
    </row>
    <row r="136" spans="8:11" x14ac:dyDescent="0.25">
      <c r="H136"/>
      <c r="I136"/>
      <c r="J136"/>
      <c r="K136"/>
    </row>
    <row r="137" spans="8:11" x14ac:dyDescent="0.25">
      <c r="H137"/>
      <c r="I137"/>
      <c r="J137"/>
      <c r="K137"/>
    </row>
    <row r="138" spans="8:11" x14ac:dyDescent="0.25">
      <c r="H138"/>
      <c r="I138"/>
      <c r="J138"/>
      <c r="K138"/>
    </row>
    <row r="139" spans="8:11" x14ac:dyDescent="0.25">
      <c r="H139"/>
      <c r="I139"/>
      <c r="J139"/>
      <c r="K139"/>
    </row>
    <row r="140" spans="8:11" x14ac:dyDescent="0.25">
      <c r="H140"/>
      <c r="I140"/>
      <c r="J140"/>
      <c r="K140"/>
    </row>
    <row r="141" spans="8:11" x14ac:dyDescent="0.25">
      <c r="H141"/>
      <c r="I141"/>
      <c r="J141"/>
      <c r="K141"/>
    </row>
    <row r="142" spans="8:11" x14ac:dyDescent="0.25">
      <c r="H142"/>
      <c r="I142"/>
      <c r="J142"/>
      <c r="K142"/>
    </row>
    <row r="143" spans="8:11" x14ac:dyDescent="0.25">
      <c r="H143"/>
      <c r="I143"/>
      <c r="J143"/>
      <c r="K143"/>
    </row>
    <row r="144" spans="8:11" x14ac:dyDescent="0.25">
      <c r="H144"/>
      <c r="I144"/>
      <c r="J144"/>
      <c r="K144"/>
    </row>
    <row r="145" spans="8:11" x14ac:dyDescent="0.25">
      <c r="H145"/>
      <c r="I145"/>
      <c r="J145"/>
      <c r="K145"/>
    </row>
    <row r="146" spans="8:11" x14ac:dyDescent="0.25">
      <c r="H146"/>
      <c r="I146"/>
      <c r="J146"/>
      <c r="K146"/>
    </row>
    <row r="147" spans="8:11" x14ac:dyDescent="0.25">
      <c r="H147"/>
      <c r="I147"/>
      <c r="J147"/>
      <c r="K147"/>
    </row>
    <row r="148" spans="8:11" x14ac:dyDescent="0.25">
      <c r="H148"/>
      <c r="I148"/>
      <c r="J148"/>
      <c r="K148"/>
    </row>
    <row r="149" spans="8:11" x14ac:dyDescent="0.25">
      <c r="H149"/>
      <c r="I149"/>
      <c r="J149"/>
      <c r="K149"/>
    </row>
    <row r="150" spans="8:11" x14ac:dyDescent="0.25">
      <c r="H150"/>
      <c r="I150"/>
      <c r="J150"/>
      <c r="K150"/>
    </row>
    <row r="151" spans="8:11" x14ac:dyDescent="0.25">
      <c r="H151"/>
      <c r="I151"/>
      <c r="J151"/>
      <c r="K151"/>
    </row>
    <row r="152" spans="8:11" x14ac:dyDescent="0.25">
      <c r="H152"/>
      <c r="I152"/>
      <c r="J152"/>
      <c r="K152"/>
    </row>
    <row r="153" spans="8:11" x14ac:dyDescent="0.25">
      <c r="H153"/>
      <c r="I153"/>
      <c r="J153"/>
      <c r="K153"/>
    </row>
    <row r="154" spans="8:11" x14ac:dyDescent="0.25">
      <c r="H154"/>
      <c r="I154"/>
      <c r="J154"/>
      <c r="K154"/>
    </row>
    <row r="155" spans="8:11" x14ac:dyDescent="0.25">
      <c r="H155"/>
      <c r="I155"/>
      <c r="J155"/>
      <c r="K155"/>
    </row>
    <row r="156" spans="8:11" x14ac:dyDescent="0.25">
      <c r="H156"/>
      <c r="I156"/>
      <c r="J156"/>
      <c r="K156"/>
    </row>
    <row r="157" spans="8:11" x14ac:dyDescent="0.25">
      <c r="H157"/>
      <c r="I157"/>
      <c r="J157"/>
      <c r="K157"/>
    </row>
    <row r="158" spans="8:11" x14ac:dyDescent="0.25">
      <c r="H158"/>
      <c r="I158"/>
      <c r="J158"/>
      <c r="K158"/>
    </row>
    <row r="159" spans="8:11" x14ac:dyDescent="0.25">
      <c r="H159"/>
      <c r="I159"/>
      <c r="J159"/>
      <c r="K159"/>
    </row>
    <row r="160" spans="8:11" x14ac:dyDescent="0.25">
      <c r="H160"/>
      <c r="I160"/>
      <c r="J160"/>
      <c r="K160"/>
    </row>
    <row r="161" spans="8:11" x14ac:dyDescent="0.25">
      <c r="H161"/>
      <c r="I161"/>
      <c r="J161"/>
      <c r="K161"/>
    </row>
    <row r="162" spans="8:11" x14ac:dyDescent="0.25">
      <c r="H162"/>
      <c r="I162"/>
      <c r="J162"/>
      <c r="K162"/>
    </row>
    <row r="163" spans="8:11" x14ac:dyDescent="0.25">
      <c r="H163"/>
      <c r="I163"/>
      <c r="J163"/>
      <c r="K163"/>
    </row>
    <row r="164" spans="8:11" x14ac:dyDescent="0.25">
      <c r="H164"/>
      <c r="I164"/>
      <c r="J164"/>
      <c r="K164"/>
    </row>
    <row r="165" spans="8:11" x14ac:dyDescent="0.25">
      <c r="H165"/>
      <c r="I165"/>
      <c r="J165"/>
      <c r="K165"/>
    </row>
    <row r="166" spans="8:11" x14ac:dyDescent="0.25">
      <c r="H166"/>
      <c r="I166"/>
      <c r="J166"/>
      <c r="K166"/>
    </row>
    <row r="167" spans="8:11" x14ac:dyDescent="0.25">
      <c r="H167" s="578"/>
      <c r="I167" s="578"/>
    </row>
    <row r="168" spans="8:11" x14ac:dyDescent="0.25">
      <c r="H168" s="578"/>
      <c r="I168" s="578"/>
    </row>
    <row r="169" spans="8:11" x14ac:dyDescent="0.25">
      <c r="H169" s="578"/>
      <c r="I169" s="578"/>
    </row>
    <row r="170" spans="8:11" x14ac:dyDescent="0.25">
      <c r="H170" s="578"/>
      <c r="I170" s="578"/>
    </row>
    <row r="171" spans="8:11" x14ac:dyDescent="0.25">
      <c r="H171" s="578"/>
      <c r="I171" s="578"/>
    </row>
    <row r="172" spans="8:11" x14ac:dyDescent="0.25">
      <c r="H172" s="578"/>
      <c r="I172" s="578"/>
    </row>
    <row r="173" spans="8:11" x14ac:dyDescent="0.25">
      <c r="H173" s="578"/>
      <c r="I173" s="578"/>
    </row>
    <row r="174" spans="8:11" x14ac:dyDescent="0.25">
      <c r="H174" s="578"/>
      <c r="I174" s="578"/>
    </row>
    <row r="175" spans="8:11" x14ac:dyDescent="0.25">
      <c r="H175" s="578"/>
      <c r="I175" s="578"/>
    </row>
    <row r="176" spans="8:11" x14ac:dyDescent="0.25">
      <c r="H176" s="578"/>
      <c r="I176" s="578"/>
    </row>
    <row r="177" spans="8:9" x14ac:dyDescent="0.25">
      <c r="H177" s="578"/>
      <c r="I177" s="578"/>
    </row>
    <row r="178" spans="8:9" x14ac:dyDescent="0.25">
      <c r="H178" s="578"/>
      <c r="I178" s="578"/>
    </row>
    <row r="179" spans="8:9" x14ac:dyDescent="0.25">
      <c r="H179" s="578"/>
      <c r="I179" s="578"/>
    </row>
    <row r="180" spans="8:9" x14ac:dyDescent="0.25">
      <c r="H180" s="578"/>
      <c r="I180" s="578"/>
    </row>
    <row r="181" spans="8:9" x14ac:dyDescent="0.25">
      <c r="H181" s="578"/>
      <c r="I181" s="578"/>
    </row>
    <row r="182" spans="8:9" x14ac:dyDescent="0.25">
      <c r="H182" s="578"/>
      <c r="I182" s="578"/>
    </row>
    <row r="183" spans="8:9" x14ac:dyDescent="0.25">
      <c r="H183" s="578"/>
      <c r="I183" s="578"/>
    </row>
    <row r="184" spans="8:9" x14ac:dyDescent="0.25">
      <c r="H184" s="578"/>
      <c r="I184" s="578"/>
    </row>
    <row r="185" spans="8:9" x14ac:dyDescent="0.25">
      <c r="H185" s="578"/>
      <c r="I185" s="578"/>
    </row>
    <row r="186" spans="8:9" x14ac:dyDescent="0.25">
      <c r="H186" s="578"/>
      <c r="I186" s="578"/>
    </row>
    <row r="187" spans="8:9" x14ac:dyDescent="0.25">
      <c r="H187" s="578"/>
      <c r="I187" s="578"/>
    </row>
    <row r="188" spans="8:9" x14ac:dyDescent="0.25">
      <c r="H188" s="578"/>
      <c r="I188" s="578"/>
    </row>
    <row r="189" spans="8:9" x14ac:dyDescent="0.25">
      <c r="H189" s="578"/>
      <c r="I189" s="578"/>
    </row>
    <row r="190" spans="8:9" x14ac:dyDescent="0.25">
      <c r="H190" s="578"/>
      <c r="I190" s="578"/>
    </row>
    <row r="191" spans="8:9" x14ac:dyDescent="0.25">
      <c r="H191" s="578"/>
      <c r="I191" s="578"/>
    </row>
    <row r="192" spans="8:9" x14ac:dyDescent="0.25">
      <c r="H192" s="578"/>
      <c r="I192" s="578"/>
    </row>
    <row r="193" spans="8:9" x14ac:dyDescent="0.25">
      <c r="H193" s="578"/>
      <c r="I193" s="578"/>
    </row>
    <row r="194" spans="8:9" x14ac:dyDescent="0.25">
      <c r="H194" s="578"/>
      <c r="I194" s="578"/>
    </row>
    <row r="195" spans="8:9" x14ac:dyDescent="0.25">
      <c r="H195" s="578"/>
      <c r="I195" s="578"/>
    </row>
    <row r="196" spans="8:9" x14ac:dyDescent="0.25">
      <c r="H196" s="578"/>
      <c r="I196" s="578"/>
    </row>
    <row r="197" spans="8:9" x14ac:dyDescent="0.25">
      <c r="H197" s="578"/>
      <c r="I197" s="578"/>
    </row>
    <row r="198" spans="8:9" x14ac:dyDescent="0.25">
      <c r="H198" s="578"/>
      <c r="I198" s="578"/>
    </row>
    <row r="199" spans="8:9" x14ac:dyDescent="0.25">
      <c r="H199" s="578"/>
      <c r="I199" s="578"/>
    </row>
    <row r="200" spans="8:9" x14ac:dyDescent="0.25">
      <c r="H200" s="578"/>
      <c r="I200" s="578"/>
    </row>
    <row r="201" spans="8:9" x14ac:dyDescent="0.25">
      <c r="H201" s="578"/>
      <c r="I201" s="578"/>
    </row>
    <row r="202" spans="8:9" x14ac:dyDescent="0.25">
      <c r="H202" s="578"/>
      <c r="I202" s="578"/>
    </row>
  </sheetData>
  <sheetProtection sheet="1" objects="1" scenarios="1"/>
  <autoFilter ref="A1:K120" xr:uid="{EDD28789-AA07-405A-95B8-29FDA9ADF1E2}"/>
  <phoneticPr fontId="22" type="noConversion"/>
  <pageMargins left="0.7" right="0.7" top="0.75" bottom="0.75" header="0.3" footer="0.3"/>
  <pageSetup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D8" sqref="D6:D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878" t="s">
        <v>13</v>
      </c>
      <c r="D1" s="878"/>
      <c r="E1" s="878"/>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9">
        <v>8.20578E-2</v>
      </c>
      <c r="E6" s="11" t="s">
        <v>9</v>
      </c>
    </row>
    <row r="7" spans="1:8" x14ac:dyDescent="0.25">
      <c r="C7" s="1" t="s">
        <v>10</v>
      </c>
      <c r="D7" s="2">
        <v>293.14999999999998</v>
      </c>
      <c r="E7" s="2" t="s">
        <v>14</v>
      </c>
    </row>
    <row r="8" spans="1:8" x14ac:dyDescent="0.25">
      <c r="C8" s="1" t="s">
        <v>11</v>
      </c>
      <c r="D8" s="9">
        <v>1</v>
      </c>
      <c r="E8" s="2" t="s">
        <v>12</v>
      </c>
    </row>
    <row r="11" spans="1:8" ht="15.6" x14ac:dyDescent="0.35">
      <c r="A11" s="768" t="s">
        <v>1621</v>
      </c>
      <c r="B11" s="768"/>
      <c r="C11" s="768"/>
      <c r="D11" s="768"/>
      <c r="E11" s="768"/>
      <c r="F11" s="768"/>
      <c r="G11" s="768"/>
      <c r="H11" s="768"/>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20" t="s">
        <v>1615</v>
      </c>
      <c r="C17" s="41" t="s">
        <v>1616</v>
      </c>
      <c r="E17" s="4" t="s">
        <v>7</v>
      </c>
      <c r="G17" t="s">
        <v>44</v>
      </c>
    </row>
    <row r="18" spans="1:7" ht="18.600000000000001" x14ac:dyDescent="0.25">
      <c r="A18" s="8" t="s">
        <v>1617</v>
      </c>
      <c r="B18" s="8" t="s">
        <v>6</v>
      </c>
      <c r="C18" s="8" t="s">
        <v>1618</v>
      </c>
      <c r="D18" s="8" t="s">
        <v>42</v>
      </c>
      <c r="E18" s="8" t="s">
        <v>1619</v>
      </c>
      <c r="F18" s="8" t="s">
        <v>6</v>
      </c>
      <c r="G18" s="8" t="s">
        <v>1620</v>
      </c>
    </row>
    <row r="19" spans="1:7" x14ac:dyDescent="0.25">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Instructions</vt:lpstr>
      <vt:lpstr>Recipe Sheet</vt:lpstr>
      <vt:lpstr>Brewhouse Setup &amp; Calcs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Malt Sheet PPG Calcs</vt:lpstr>
      <vt:lpstr>Conversion Tables</vt:lpstr>
      <vt:lpstr>BJCP Guidelines</vt:lpstr>
      <vt:lpstr>Common Variables</vt:lpstr>
      <vt:lpstr>'Recipe Sheet'!Category</vt:lpstr>
      <vt:lpstr>'Brewhouse Setup &amp; Calcs'!Print_Area</vt:lpstr>
      <vt:lpstr>'Recipe Sheet'!Print_Area</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2020-07-11T19:05:47Z</cp:lastPrinted>
  <dcterms:created xsi:type="dcterms:W3CDTF">2003-11-09T22:26:20Z</dcterms:created>
  <dcterms:modified xsi:type="dcterms:W3CDTF">2020-07-30T19:49:42Z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